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esktop\Projects\InductorDesign\"/>
    </mc:Choice>
  </mc:AlternateContent>
  <xr:revisionPtr revIDLastSave="0" documentId="13_ncr:1_{F574B924-80DD-434A-A846-E8FF6CC6CDFE}" xr6:coauthVersionLast="47" xr6:coauthVersionMax="47" xr10:uidLastSave="{00000000-0000-0000-0000-000000000000}"/>
  <bookViews>
    <workbookView xWindow="-83" yWindow="0" windowWidth="10425" windowHeight="13043" xr2:uid="{880F8341-2F0F-419A-8A65-B6E7E097180D}"/>
    <workbookView minimized="1" xWindow="2602" yWindow="338" windowWidth="7501" windowHeight="5999" firstSheet="1" activeTab="4" xr2:uid="{6696F9DC-924A-44A9-A2FD-E47BEBE5118B}"/>
  </bookViews>
  <sheets>
    <sheet name="Isolation Transformer Design" sheetId="4" r:id="rId1"/>
    <sheet name="Tape and Iron Cores" sheetId="5" r:id="rId2"/>
    <sheet name="Inductor Design Selector" sheetId="1" r:id="rId3"/>
    <sheet name="AWG Chart" sheetId="2" r:id="rId4"/>
    <sheet name="Ferrite Cores" sheetId="3" r:id="rId5"/>
  </sheets>
  <definedNames>
    <definedName name="_xlnm._FilterDatabase" localSheetId="4" hidden="1">'Ferrite Cores'!$A$3:$V$103</definedName>
    <definedName name="_xlnm._FilterDatabase" localSheetId="1" hidden="1">'Tape and Iron Cores'!$A$3:$M$3</definedName>
    <definedName name="AWG">Wire_Gauge[AWG Gauge]</definedName>
    <definedName name="Ferrite_Core_ddown">Ferrite_Cores[Core Type]</definedName>
    <definedName name="Iron_core">Table1[Part Number]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6" i="4"/>
  <c r="B12" i="4"/>
  <c r="B7" i="4"/>
  <c r="B9" i="4" s="1"/>
  <c r="B10" i="4" s="1"/>
  <c r="B13" i="1"/>
  <c r="B14" i="1"/>
  <c r="F43" i="1"/>
  <c r="F44" i="1" s="1"/>
  <c r="F39" i="1"/>
  <c r="F40" i="1" s="1"/>
  <c r="F36" i="1"/>
  <c r="G4" i="1"/>
  <c r="F27" i="1"/>
  <c r="F26" i="1"/>
  <c r="F22" i="1"/>
  <c r="F23" i="1"/>
  <c r="F20" i="1"/>
  <c r="F18" i="1"/>
  <c r="F17" i="1"/>
  <c r="F16" i="1"/>
  <c r="F15" i="1"/>
  <c r="F14" i="1"/>
  <c r="F11" i="1"/>
  <c r="B74" i="1" s="1"/>
  <c r="B79" i="1" s="1"/>
  <c r="F9" i="1"/>
  <c r="F8" i="1"/>
  <c r="F6" i="1"/>
  <c r="P84" i="3"/>
  <c r="P82" i="3"/>
  <c r="P80" i="3"/>
  <c r="P93" i="3"/>
  <c r="P91" i="3"/>
  <c r="P90" i="3"/>
  <c r="P88" i="3"/>
  <c r="P86" i="3"/>
  <c r="N84" i="3"/>
  <c r="N82" i="3"/>
  <c r="N80" i="3"/>
  <c r="N93" i="3"/>
  <c r="N91" i="3"/>
  <c r="N90" i="3"/>
  <c r="N88" i="3"/>
  <c r="N86" i="3"/>
  <c r="K84" i="3"/>
  <c r="K82" i="3"/>
  <c r="K80" i="3"/>
  <c r="K93" i="3"/>
  <c r="K91" i="3"/>
  <c r="K90" i="3"/>
  <c r="K88" i="3"/>
  <c r="K86" i="3"/>
  <c r="I84" i="3"/>
  <c r="I82" i="3"/>
  <c r="I80" i="3"/>
  <c r="I93" i="3"/>
  <c r="I91" i="3"/>
  <c r="I90" i="3"/>
  <c r="I88" i="3"/>
  <c r="I86" i="3"/>
  <c r="G84" i="3"/>
  <c r="G82" i="3"/>
  <c r="G80" i="3"/>
  <c r="G93" i="3"/>
  <c r="G91" i="3"/>
  <c r="G90" i="3"/>
  <c r="G88" i="3"/>
  <c r="G86" i="3"/>
  <c r="F86" i="3"/>
  <c r="F88" i="3"/>
  <c r="F90" i="3"/>
  <c r="F91" i="3"/>
  <c r="F93" i="3"/>
  <c r="F80" i="3"/>
  <c r="F82" i="3"/>
  <c r="F84" i="3"/>
  <c r="P77" i="3"/>
  <c r="P75" i="3"/>
  <c r="P73" i="3"/>
  <c r="P70" i="3"/>
  <c r="P67" i="3"/>
  <c r="N77" i="3"/>
  <c r="N75" i="3"/>
  <c r="N73" i="3"/>
  <c r="N70" i="3"/>
  <c r="N67" i="3"/>
  <c r="K77" i="3"/>
  <c r="K75" i="3"/>
  <c r="K73" i="3"/>
  <c r="K70" i="3"/>
  <c r="K67" i="3"/>
  <c r="I77" i="3"/>
  <c r="I75" i="3"/>
  <c r="I73" i="3"/>
  <c r="I70" i="3"/>
  <c r="I67" i="3"/>
  <c r="G77" i="3"/>
  <c r="G75" i="3"/>
  <c r="G73" i="3"/>
  <c r="G70" i="3"/>
  <c r="G67" i="3"/>
  <c r="F67" i="3"/>
  <c r="F70" i="3"/>
  <c r="F73" i="3"/>
  <c r="F75" i="3"/>
  <c r="F77" i="3"/>
  <c r="P44" i="3"/>
  <c r="P43" i="3"/>
  <c r="P42" i="3"/>
  <c r="P41" i="3"/>
  <c r="P40" i="3"/>
  <c r="P45" i="3"/>
  <c r="N44" i="3"/>
  <c r="N43" i="3"/>
  <c r="N42" i="3"/>
  <c r="N41" i="3"/>
  <c r="N40" i="3"/>
  <c r="N45" i="3"/>
  <c r="K44" i="3"/>
  <c r="K43" i="3"/>
  <c r="K42" i="3"/>
  <c r="K41" i="3"/>
  <c r="K40" i="3"/>
  <c r="K45" i="3"/>
  <c r="I44" i="3"/>
  <c r="I43" i="3"/>
  <c r="I42" i="3"/>
  <c r="I41" i="3"/>
  <c r="I40" i="3"/>
  <c r="I45" i="3"/>
  <c r="G44" i="3"/>
  <c r="G43" i="3"/>
  <c r="G42" i="3"/>
  <c r="G41" i="3"/>
  <c r="G40" i="3"/>
  <c r="G45" i="3"/>
  <c r="F45" i="3"/>
  <c r="F40" i="3"/>
  <c r="F41" i="3"/>
  <c r="F42" i="3"/>
  <c r="F43" i="3"/>
  <c r="F44" i="3"/>
  <c r="P54" i="3"/>
  <c r="P52" i="3"/>
  <c r="P50" i="3"/>
  <c r="P48" i="3"/>
  <c r="N54" i="3"/>
  <c r="N52" i="3"/>
  <c r="N50" i="3"/>
  <c r="N48" i="3"/>
  <c r="K54" i="3"/>
  <c r="K52" i="3"/>
  <c r="K50" i="3"/>
  <c r="K48" i="3"/>
  <c r="I54" i="3"/>
  <c r="I52" i="3"/>
  <c r="I50" i="3"/>
  <c r="I48" i="3"/>
  <c r="G54" i="3"/>
  <c r="G52" i="3"/>
  <c r="G50" i="3"/>
  <c r="G48" i="3"/>
  <c r="F48" i="3"/>
  <c r="F50" i="3"/>
  <c r="F52" i="3"/>
  <c r="F54" i="3"/>
  <c r="P21" i="3"/>
  <c r="P32" i="3"/>
  <c r="P20" i="3"/>
  <c r="P31" i="3"/>
  <c r="P19" i="3"/>
  <c r="P30" i="3"/>
  <c r="P18" i="3"/>
  <c r="P29" i="3"/>
  <c r="N21" i="3"/>
  <c r="N32" i="3"/>
  <c r="N20" i="3"/>
  <c r="N31" i="3"/>
  <c r="N19" i="3"/>
  <c r="N30" i="3"/>
  <c r="N18" i="3"/>
  <c r="N29" i="3"/>
  <c r="K21" i="3"/>
  <c r="K32" i="3"/>
  <c r="K20" i="3"/>
  <c r="K31" i="3"/>
  <c r="K19" i="3"/>
  <c r="K30" i="3"/>
  <c r="K18" i="3"/>
  <c r="K29" i="3"/>
  <c r="I21" i="3"/>
  <c r="I32" i="3"/>
  <c r="I20" i="3"/>
  <c r="I31" i="3"/>
  <c r="I19" i="3"/>
  <c r="I30" i="3"/>
  <c r="I18" i="3"/>
  <c r="I29" i="3"/>
  <c r="G21" i="3"/>
  <c r="G32" i="3"/>
  <c r="G20" i="3"/>
  <c r="G31" i="3"/>
  <c r="G19" i="3"/>
  <c r="G30" i="3"/>
  <c r="G18" i="3"/>
  <c r="G29" i="3"/>
  <c r="F29" i="3"/>
  <c r="F18" i="3"/>
  <c r="F30" i="3"/>
  <c r="F19" i="3"/>
  <c r="F31" i="3"/>
  <c r="F20" i="3"/>
  <c r="F32" i="3"/>
  <c r="F21" i="3"/>
  <c r="P23" i="3"/>
  <c r="P22" i="3"/>
  <c r="P15" i="3"/>
  <c r="P17" i="3"/>
  <c r="P16" i="3"/>
  <c r="P14" i="3"/>
  <c r="N23" i="3"/>
  <c r="N22" i="3"/>
  <c r="N15" i="3"/>
  <c r="N17" i="3"/>
  <c r="N16" i="3"/>
  <c r="N14" i="3"/>
  <c r="K23" i="3"/>
  <c r="K22" i="3"/>
  <c r="K15" i="3"/>
  <c r="K17" i="3"/>
  <c r="K16" i="3"/>
  <c r="K14" i="3"/>
  <c r="I23" i="3"/>
  <c r="I22" i="3"/>
  <c r="I15" i="3"/>
  <c r="I17" i="3"/>
  <c r="I16" i="3"/>
  <c r="I14" i="3"/>
  <c r="G23" i="3"/>
  <c r="G22" i="3"/>
  <c r="G15" i="3"/>
  <c r="G17" i="3"/>
  <c r="G16" i="3"/>
  <c r="G14" i="3"/>
  <c r="F14" i="3"/>
  <c r="F16" i="3"/>
  <c r="F17" i="3"/>
  <c r="F15" i="3"/>
  <c r="F22" i="3"/>
  <c r="F23" i="3"/>
  <c r="P13" i="3"/>
  <c r="P12" i="3"/>
  <c r="P11" i="3"/>
  <c r="P10" i="3"/>
  <c r="N13" i="3"/>
  <c r="N12" i="3"/>
  <c r="N11" i="3"/>
  <c r="N10" i="3"/>
  <c r="K10" i="3"/>
  <c r="K11" i="3"/>
  <c r="K12" i="3"/>
  <c r="K13" i="3"/>
  <c r="I13" i="3"/>
  <c r="I12" i="3"/>
  <c r="I11" i="3"/>
  <c r="I10" i="3"/>
  <c r="G13" i="3"/>
  <c r="G12" i="3"/>
  <c r="G11" i="3"/>
  <c r="G10" i="3"/>
  <c r="F10" i="3"/>
  <c r="F11" i="3"/>
  <c r="F12" i="3"/>
  <c r="F13" i="3"/>
  <c r="P99" i="3"/>
  <c r="P98" i="3"/>
  <c r="P97" i="3"/>
  <c r="P96" i="3"/>
  <c r="P95" i="3"/>
  <c r="P94" i="3"/>
  <c r="N99" i="3"/>
  <c r="N98" i="3"/>
  <c r="N97" i="3"/>
  <c r="N96" i="3"/>
  <c r="N95" i="3"/>
  <c r="N94" i="3"/>
  <c r="K99" i="3"/>
  <c r="K98" i="3"/>
  <c r="K97" i="3"/>
  <c r="K96" i="3"/>
  <c r="K95" i="3"/>
  <c r="K94" i="3"/>
  <c r="I99" i="3"/>
  <c r="I98" i="3"/>
  <c r="I97" i="3"/>
  <c r="I96" i="3"/>
  <c r="I95" i="3"/>
  <c r="I94" i="3"/>
  <c r="G99" i="3"/>
  <c r="G98" i="3"/>
  <c r="G97" i="3"/>
  <c r="G96" i="3"/>
  <c r="G95" i="3"/>
  <c r="G94" i="3"/>
  <c r="F94" i="3"/>
  <c r="F95" i="3"/>
  <c r="F96" i="3"/>
  <c r="F97" i="3"/>
  <c r="F98" i="3"/>
  <c r="F99" i="3"/>
  <c r="P103" i="3"/>
  <c r="P102" i="3"/>
  <c r="P100" i="3"/>
  <c r="P101" i="3"/>
  <c r="N103" i="3"/>
  <c r="N102" i="3"/>
  <c r="N100" i="3"/>
  <c r="N101" i="3"/>
  <c r="K103" i="3"/>
  <c r="K102" i="3"/>
  <c r="K100" i="3"/>
  <c r="K101" i="3"/>
  <c r="I103" i="3"/>
  <c r="I102" i="3"/>
  <c r="I100" i="3"/>
  <c r="I101" i="3"/>
  <c r="G103" i="3"/>
  <c r="G102" i="3"/>
  <c r="G100" i="3"/>
  <c r="G101" i="3"/>
  <c r="F101" i="3"/>
  <c r="F100" i="3"/>
  <c r="F102" i="3"/>
  <c r="F103" i="3"/>
  <c r="P9" i="3"/>
  <c r="P8" i="3"/>
  <c r="P7" i="3"/>
  <c r="P6" i="3"/>
  <c r="P5" i="3"/>
  <c r="P4" i="3"/>
  <c r="N9" i="3"/>
  <c r="N8" i="3"/>
  <c r="N7" i="3"/>
  <c r="N6" i="3"/>
  <c r="N5" i="3"/>
  <c r="N4" i="3"/>
  <c r="K9" i="3"/>
  <c r="K8" i="3"/>
  <c r="K7" i="3"/>
  <c r="K6" i="3"/>
  <c r="K5" i="3"/>
  <c r="K4" i="3"/>
  <c r="I9" i="3"/>
  <c r="I8" i="3"/>
  <c r="I7" i="3"/>
  <c r="I6" i="3"/>
  <c r="I5" i="3"/>
  <c r="I4" i="3"/>
  <c r="G9" i="3"/>
  <c r="G8" i="3"/>
  <c r="G7" i="3"/>
  <c r="G6" i="3"/>
  <c r="G5" i="3"/>
  <c r="G4" i="3"/>
  <c r="F4" i="3"/>
  <c r="F5" i="3"/>
  <c r="F6" i="3"/>
  <c r="F7" i="3"/>
  <c r="F8" i="3"/>
  <c r="F9" i="3"/>
  <c r="P83" i="3"/>
  <c r="P81" i="3"/>
  <c r="P79" i="3"/>
  <c r="P92" i="3"/>
  <c r="P89" i="3"/>
  <c r="P87" i="3"/>
  <c r="P85" i="3"/>
  <c r="N83" i="3"/>
  <c r="N81" i="3"/>
  <c r="N79" i="3"/>
  <c r="N92" i="3"/>
  <c r="N89" i="3"/>
  <c r="N87" i="3"/>
  <c r="N85" i="3"/>
  <c r="K83" i="3"/>
  <c r="K81" i="3"/>
  <c r="K79" i="3"/>
  <c r="K92" i="3"/>
  <c r="K89" i="3"/>
  <c r="K87" i="3"/>
  <c r="K85" i="3"/>
  <c r="I83" i="3"/>
  <c r="I81" i="3"/>
  <c r="I79" i="3"/>
  <c r="I92" i="3"/>
  <c r="I89" i="3"/>
  <c r="I87" i="3"/>
  <c r="I85" i="3"/>
  <c r="F83" i="3"/>
  <c r="G83" i="3"/>
  <c r="G81" i="3"/>
  <c r="G79" i="3"/>
  <c r="G92" i="3"/>
  <c r="G89" i="3"/>
  <c r="G87" i="3"/>
  <c r="G85" i="3"/>
  <c r="F85" i="3"/>
  <c r="F87" i="3"/>
  <c r="F89" i="3"/>
  <c r="F92" i="3"/>
  <c r="F79" i="3"/>
  <c r="F81" i="3"/>
  <c r="P78" i="3"/>
  <c r="P76" i="3"/>
  <c r="P74" i="3"/>
  <c r="P72" i="3"/>
  <c r="P71" i="3"/>
  <c r="P69" i="3"/>
  <c r="P68" i="3"/>
  <c r="P66" i="3"/>
  <c r="P65" i="3"/>
  <c r="N78" i="3"/>
  <c r="N76" i="3"/>
  <c r="N74" i="3"/>
  <c r="N72" i="3"/>
  <c r="N71" i="3"/>
  <c r="N69" i="3"/>
  <c r="N68" i="3"/>
  <c r="N66" i="3"/>
  <c r="N65" i="3"/>
  <c r="F78" i="3"/>
  <c r="K78" i="3"/>
  <c r="F76" i="3"/>
  <c r="K76" i="3"/>
  <c r="F74" i="3"/>
  <c r="K74" i="3"/>
  <c r="F72" i="3"/>
  <c r="K72" i="3"/>
  <c r="F71" i="3"/>
  <c r="K71" i="3"/>
  <c r="F69" i="3"/>
  <c r="K69" i="3"/>
  <c r="K68" i="3"/>
  <c r="K66" i="3"/>
  <c r="K65" i="3"/>
  <c r="I78" i="3"/>
  <c r="I76" i="3"/>
  <c r="I74" i="3"/>
  <c r="I72" i="3"/>
  <c r="I71" i="3"/>
  <c r="I69" i="3"/>
  <c r="G78" i="3"/>
  <c r="G76" i="3"/>
  <c r="G74" i="3"/>
  <c r="G72" i="3"/>
  <c r="G71" i="3"/>
  <c r="G69" i="3"/>
  <c r="P64" i="3"/>
  <c r="P63" i="3"/>
  <c r="P62" i="3"/>
  <c r="P61" i="3"/>
  <c r="P60" i="3"/>
  <c r="P59" i="3"/>
  <c r="P58" i="3"/>
  <c r="P57" i="3"/>
  <c r="N64" i="3"/>
  <c r="N63" i="3"/>
  <c r="N62" i="3"/>
  <c r="N61" i="3"/>
  <c r="N60" i="3"/>
  <c r="N59" i="3"/>
  <c r="N58" i="3"/>
  <c r="N57" i="3"/>
  <c r="K64" i="3"/>
  <c r="K63" i="3"/>
  <c r="K62" i="3"/>
  <c r="K61" i="3"/>
  <c r="K60" i="3"/>
  <c r="K59" i="3"/>
  <c r="K58" i="3"/>
  <c r="K57" i="3"/>
  <c r="I58" i="3"/>
  <c r="I59" i="3"/>
  <c r="I60" i="3"/>
  <c r="I61" i="3"/>
  <c r="I62" i="3"/>
  <c r="I63" i="3"/>
  <c r="I64" i="3"/>
  <c r="I65" i="3"/>
  <c r="I66" i="3"/>
  <c r="I68" i="3"/>
  <c r="I57" i="3"/>
  <c r="G57" i="3"/>
  <c r="G58" i="3"/>
  <c r="G59" i="3"/>
  <c r="G60" i="3"/>
  <c r="G61" i="3"/>
  <c r="G62" i="3"/>
  <c r="G63" i="3"/>
  <c r="G64" i="3"/>
  <c r="G65" i="3"/>
  <c r="G66" i="3"/>
  <c r="G68" i="3"/>
  <c r="F59" i="3"/>
  <c r="F60" i="3"/>
  <c r="F61" i="3"/>
  <c r="F62" i="3"/>
  <c r="F63" i="3"/>
  <c r="F64" i="3"/>
  <c r="F65" i="3"/>
  <c r="F66" i="3"/>
  <c r="F68" i="3"/>
  <c r="P39" i="3"/>
  <c r="P38" i="3"/>
  <c r="P37" i="3"/>
  <c r="P36" i="3"/>
  <c r="P35" i="3"/>
  <c r="P34" i="3"/>
  <c r="P33" i="3"/>
  <c r="N39" i="3"/>
  <c r="N38" i="3"/>
  <c r="N37" i="3"/>
  <c r="N36" i="3"/>
  <c r="N35" i="3"/>
  <c r="N34" i="3"/>
  <c r="N33" i="3"/>
  <c r="K39" i="3"/>
  <c r="K38" i="3"/>
  <c r="K37" i="3"/>
  <c r="K36" i="3"/>
  <c r="K35" i="3"/>
  <c r="K34" i="3"/>
  <c r="K33" i="3"/>
  <c r="I34" i="3"/>
  <c r="I35" i="3"/>
  <c r="I36" i="3"/>
  <c r="I37" i="3"/>
  <c r="I38" i="3"/>
  <c r="G39" i="3"/>
  <c r="G38" i="3"/>
  <c r="G37" i="3"/>
  <c r="G36" i="3"/>
  <c r="G35" i="3"/>
  <c r="G34" i="3"/>
  <c r="G33" i="3"/>
  <c r="P25" i="3"/>
  <c r="P26" i="3"/>
  <c r="P27" i="3"/>
  <c r="P28" i="3"/>
  <c r="P24" i="3"/>
  <c r="N25" i="3"/>
  <c r="N26" i="3"/>
  <c r="F10" i="1" s="1"/>
  <c r="N27" i="3"/>
  <c r="N28" i="3"/>
  <c r="N24" i="3"/>
  <c r="K25" i="3"/>
  <c r="K26" i="3"/>
  <c r="K27" i="3"/>
  <c r="K28" i="3"/>
  <c r="K24" i="3"/>
  <c r="I25" i="3"/>
  <c r="I26" i="3"/>
  <c r="I27" i="3"/>
  <c r="I28" i="3"/>
  <c r="I24" i="3"/>
  <c r="F28" i="3"/>
  <c r="F33" i="3"/>
  <c r="F34" i="3"/>
  <c r="F35" i="3"/>
  <c r="F36" i="3"/>
  <c r="F37" i="3"/>
  <c r="F25" i="1" s="1"/>
  <c r="F38" i="3"/>
  <c r="F39" i="3"/>
  <c r="F57" i="3"/>
  <c r="F58" i="3"/>
  <c r="G28" i="3"/>
  <c r="G25" i="3"/>
  <c r="G26" i="3"/>
  <c r="F19" i="1" s="1"/>
  <c r="G27" i="3"/>
  <c r="G24" i="3"/>
  <c r="F49" i="3"/>
  <c r="F51" i="3"/>
  <c r="F53" i="3"/>
  <c r="F55" i="3"/>
  <c r="F56" i="3"/>
  <c r="F24" i="3"/>
  <c r="F25" i="3"/>
  <c r="F26" i="3"/>
  <c r="F27" i="3"/>
  <c r="F47" i="3"/>
  <c r="F46" i="3"/>
  <c r="B73" i="1"/>
  <c r="B27" i="1"/>
  <c r="B29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48" i="1"/>
  <c r="B52" i="1" s="1"/>
  <c r="B53" i="1" s="1"/>
  <c r="B87" i="1"/>
  <c r="B17" i="1"/>
  <c r="B19" i="1" s="1"/>
  <c r="B8" i="1"/>
  <c r="B10" i="1" s="1"/>
  <c r="B11" i="1" s="1"/>
  <c r="F7" i="1" l="1"/>
  <c r="F5" i="1"/>
  <c r="B23" i="1"/>
  <c r="B78" i="1"/>
  <c r="B80" i="1"/>
  <c r="B83" i="1"/>
  <c r="B85" i="1" s="1"/>
  <c r="B86" i="1"/>
  <c r="B40" i="1"/>
  <c r="B49" i="1"/>
  <c r="B50" i="1"/>
  <c r="B51" i="1" s="1"/>
  <c r="B91" i="1"/>
  <c r="B92" i="1" s="1"/>
  <c r="B89" i="1"/>
  <c r="B90" i="1" s="1"/>
  <c r="B95" i="1"/>
  <c r="B96" i="1" s="1"/>
  <c r="B88" i="1"/>
  <c r="B28" i="1"/>
  <c r="B82" i="1" l="1"/>
  <c r="B93" i="1"/>
  <c r="B81" i="1"/>
  <c r="B20" i="1"/>
  <c r="B21" i="1"/>
  <c r="B22" i="1" s="1"/>
  <c r="B30" i="1" l="1"/>
  <c r="B36" i="1" s="1"/>
  <c r="F32" i="1" s="1"/>
  <c r="F33" i="1" s="1"/>
  <c r="F37" i="1" s="1"/>
  <c r="F51" i="1"/>
  <c r="F52" i="1" s="1"/>
  <c r="B32" i="1" l="1"/>
  <c r="B34" i="1" s="1"/>
  <c r="B41" i="1"/>
  <c r="B42" i="1" s="1"/>
  <c r="B45" i="1"/>
  <c r="B46" i="1" s="1"/>
  <c r="B37" i="1"/>
  <c r="B35" i="1"/>
  <c r="F34" i="1"/>
  <c r="F35" i="1" s="1"/>
  <c r="F53" i="1"/>
  <c r="B33" i="1" l="1"/>
  <c r="B55" i="1"/>
  <c r="B56" i="1" s="1"/>
  <c r="B57" i="1" s="1"/>
  <c r="B58" i="1" s="1"/>
  <c r="F38" i="1" s="1"/>
  <c r="F41" i="1" s="1"/>
  <c r="F42" i="1" s="1"/>
  <c r="F48" i="1" s="1"/>
  <c r="F49" i="1" s="1"/>
  <c r="F54" i="1"/>
  <c r="F55" i="1" s="1"/>
  <c r="B60" i="1" l="1"/>
  <c r="F46" i="1"/>
  <c r="B59" i="1"/>
  <c r="B26" i="1"/>
  <c r="B38" i="1"/>
  <c r="F58" i="1"/>
</calcChain>
</file>

<file path=xl/sharedStrings.xml><?xml version="1.0" encoding="utf-8"?>
<sst xmlns="http://schemas.openxmlformats.org/spreadsheetml/2006/main" count="762" uniqueCount="387">
  <si>
    <t>Vin</t>
  </si>
  <si>
    <t>V</t>
  </si>
  <si>
    <t>Vout</t>
  </si>
  <si>
    <t>Topology</t>
  </si>
  <si>
    <t>Buck</t>
  </si>
  <si>
    <t>Iout</t>
  </si>
  <si>
    <t>A</t>
  </si>
  <si>
    <t>efficiency</t>
  </si>
  <si>
    <t>Pout</t>
  </si>
  <si>
    <t>W</t>
  </si>
  <si>
    <t>Pin</t>
  </si>
  <si>
    <t>Iin</t>
  </si>
  <si>
    <t>Inductor</t>
  </si>
  <si>
    <t>I_ind_DC</t>
  </si>
  <si>
    <t>I_ripple</t>
  </si>
  <si>
    <t>I_ripple_percent</t>
  </si>
  <si>
    <t>I_peak</t>
  </si>
  <si>
    <t>%</t>
  </si>
  <si>
    <t>Energy - Wm</t>
  </si>
  <si>
    <t>H</t>
  </si>
  <si>
    <t>Frequency</t>
  </si>
  <si>
    <t>Hz</t>
  </si>
  <si>
    <t>Duty</t>
  </si>
  <si>
    <t>Ts</t>
  </si>
  <si>
    <t>seconds</t>
  </si>
  <si>
    <t>Area Product Ap</t>
  </si>
  <si>
    <t>Tesla</t>
  </si>
  <si>
    <t>A/m^2</t>
  </si>
  <si>
    <t>A/mm^2</t>
  </si>
  <si>
    <t>m^4</t>
  </si>
  <si>
    <t>mm^4</t>
  </si>
  <si>
    <t>Ferrite Core</t>
  </si>
  <si>
    <t>Type</t>
  </si>
  <si>
    <t>Magnetic Path Length (MPL)</t>
  </si>
  <si>
    <t>Mean Length per Turn (MLT)</t>
  </si>
  <si>
    <t>Core Weight (Wfte)</t>
  </si>
  <si>
    <t>Cross Sectional Area (Ac)</t>
  </si>
  <si>
    <t>Window Area (Wa)</t>
  </si>
  <si>
    <t>Surface Area (At)</t>
  </si>
  <si>
    <t>mm</t>
  </si>
  <si>
    <t>mm^2</t>
  </si>
  <si>
    <t>Effective Volume</t>
  </si>
  <si>
    <t>mm^3</t>
  </si>
  <si>
    <t>Effective Cross Section (Ae)</t>
  </si>
  <si>
    <t>I_Lrms</t>
  </si>
  <si>
    <t>Arms</t>
  </si>
  <si>
    <t>turns</t>
  </si>
  <si>
    <t>Ke</t>
  </si>
  <si>
    <t>cm^5</t>
  </si>
  <si>
    <t>Kg (cm^5)</t>
  </si>
  <si>
    <t>Kg (mm^5)</t>
  </si>
  <si>
    <t>mm^5</t>
  </si>
  <si>
    <t>Kg (core, cm^5)</t>
  </si>
  <si>
    <t>cm^4</t>
  </si>
  <si>
    <t>Ap (calc - cm)</t>
  </si>
  <si>
    <t>Ap (calc - mm)</t>
  </si>
  <si>
    <t>Power Stage Parameters</t>
  </si>
  <si>
    <t>Core Parameters</t>
  </si>
  <si>
    <t>A/cm^2</t>
  </si>
  <si>
    <t>cm^2</t>
  </si>
  <si>
    <t>Window S parameters</t>
  </si>
  <si>
    <t>S1 (conductor area/wire area)</t>
  </si>
  <si>
    <t>S2 (wound area/usable window area)</t>
  </si>
  <si>
    <t>S3 (usable window area/window area)</t>
  </si>
  <si>
    <t>S4 (usable window area/(usable window area+insulation))</t>
  </si>
  <si>
    <t>Window Area (Wa) effective</t>
  </si>
  <si>
    <t>cm</t>
  </si>
  <si>
    <t>Bare Wire Area (Calc)</t>
  </si>
  <si>
    <t>Number of strands</t>
  </si>
  <si>
    <t>strands</t>
  </si>
  <si>
    <t>Resistance (uOhm/cm)</t>
  </si>
  <si>
    <r>
      <rPr>
        <b/>
        <sz val="11"/>
        <color theme="1"/>
        <rFont val="Calibri"/>
        <family val="2"/>
      </rPr>
      <t>µΩ</t>
    </r>
    <r>
      <rPr>
        <b/>
        <i/>
        <sz val="11"/>
        <color theme="1"/>
        <rFont val="Calibri"/>
        <family val="2"/>
        <scheme val="minor"/>
      </rPr>
      <t>/cm</t>
    </r>
  </si>
  <si>
    <r>
      <rPr>
        <b/>
        <sz val="11"/>
        <color theme="1"/>
        <rFont val="Calibri"/>
        <family val="2"/>
      </rPr>
      <t>Ω</t>
    </r>
    <r>
      <rPr>
        <b/>
        <i/>
        <sz val="11"/>
        <color theme="1"/>
        <rFont val="Calibri"/>
        <family val="2"/>
        <scheme val="minor"/>
      </rPr>
      <t>/km</t>
    </r>
  </si>
  <si>
    <t>Resistance (Ohm/km)</t>
  </si>
  <si>
    <t>Effective Permeability (Urc)</t>
  </si>
  <si>
    <t>Permeability</t>
  </si>
  <si>
    <t>grams</t>
  </si>
  <si>
    <t>Notes:</t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</si>
  <si>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current density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</si>
  <si>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energy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</si>
  <si>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Bsat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</si>
  <si>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decreased</t>
    </r>
    <r>
      <rPr>
        <i/>
        <sz val="11"/>
        <color theme="1"/>
        <rFont val="Calibri"/>
        <family val="2"/>
        <scheme val="minor"/>
      </rPr>
      <t xml:space="preserve"> window utilization</t>
    </r>
  </si>
  <si>
    <t>L_ind (calc)</t>
  </si>
  <si>
    <t>L_ind (selected)</t>
  </si>
  <si>
    <t>Area Product (Ap)</t>
  </si>
  <si>
    <t>AL (mH/1K turns)</t>
  </si>
  <si>
    <t>Epcos</t>
  </si>
  <si>
    <t>Guess and check method</t>
  </si>
  <si>
    <t>Core Area (Ac)</t>
  </si>
  <si>
    <t>Core selected</t>
  </si>
  <si>
    <t>gap (lg)</t>
  </si>
  <si>
    <t>Turns (N)</t>
  </si>
  <si>
    <t>Inductance (from gap)</t>
  </si>
  <si>
    <t>Inductance (from gap and permeability)</t>
  </si>
  <si>
    <t>effective permeability (ue)</t>
  </si>
  <si>
    <t>effective permeability from gap (ue_gap)</t>
  </si>
  <si>
    <t>Flux Density (Bdc) - using lg and um</t>
  </si>
  <si>
    <t>Flux Density (Bdc) - using ue</t>
  </si>
  <si>
    <t>Gap Needed with selected core and Bsat</t>
  </si>
  <si>
    <t>m</t>
  </si>
  <si>
    <t>Winding Length</t>
  </si>
  <si>
    <t>Fringing Factor</t>
  </si>
  <si>
    <t>Inductance (from gap plus fringe)</t>
  </si>
  <si>
    <t>Inductance (from gap and permeability and fringe)</t>
  </si>
  <si>
    <t>Hac_max</t>
  </si>
  <si>
    <t>A*T/cm</t>
  </si>
  <si>
    <t>Bac_max</t>
  </si>
  <si>
    <t>Hac_min</t>
  </si>
  <si>
    <t>Bac_min</t>
  </si>
  <si>
    <t>Bac/2 (for loss curve)</t>
  </si>
  <si>
    <t>Saturation Flux Density (for saturation)</t>
  </si>
  <si>
    <t>Power Loss based on graph</t>
  </si>
  <si>
    <t>mW</t>
  </si>
  <si>
    <t>mW/cm^3</t>
  </si>
  <si>
    <t>Core Power Loss (W)</t>
  </si>
  <si>
    <t>Core Power Loss (mW)</t>
  </si>
  <si>
    <t>ETD-59</t>
  </si>
  <si>
    <t>Bare Wire Diameter (Calc)</t>
  </si>
  <si>
    <t>Bare Wire Area (Selected)</t>
  </si>
  <si>
    <t>Number of strands (rounded)</t>
  </si>
  <si>
    <t>Bare Wire Diameter (selected)</t>
  </si>
  <si>
    <t>Bare Wire Total Area (selected)</t>
  </si>
  <si>
    <t>Air gaps in lay pattern of litz</t>
  </si>
  <si>
    <t>Wire Skin Depth (cm)</t>
  </si>
  <si>
    <t>Wire Skin Depth (mm)</t>
  </si>
  <si>
    <t>Max Wire Diameter (cm)</t>
  </si>
  <si>
    <t>Max Wire Diameter (mm)</t>
  </si>
  <si>
    <t>Max Wire Area (cm)</t>
  </si>
  <si>
    <t>Max Wire Area (mm)</t>
  </si>
  <si>
    <t>AWG Gauge</t>
  </si>
  <si>
    <t>Conductor Diameter (Inches)</t>
  </si>
  <si>
    <t>Conductor Diameter (mm)</t>
  </si>
  <si>
    <t>Conductor cross section area (mm^2)</t>
  </si>
  <si>
    <t>Ohm/1000ft</t>
  </si>
  <si>
    <t>Ohm/1000m</t>
  </si>
  <si>
    <t>Conductor cross section area (cm^2)</t>
  </si>
  <si>
    <t>Skin Depth (Inductor, AC and DC current)</t>
  </si>
  <si>
    <t>Larger Wire Diameter can be selected since ripple gives AC current in inductor</t>
  </si>
  <si>
    <t>Skin Depth (Standard AC and Transformer)</t>
  </si>
  <si>
    <t>New Diameter</t>
  </si>
  <si>
    <t>New Bare Wire Area (cm)</t>
  </si>
  <si>
    <t>Selected Wire Diameter (cm) - based on current and density</t>
  </si>
  <si>
    <t>Inductor AC current density</t>
  </si>
  <si>
    <t>Wire Selection (AC and Transformer)</t>
  </si>
  <si>
    <r>
      <rPr>
        <b/>
        <sz val="11"/>
        <color theme="1"/>
        <rFont val="Calibri"/>
        <family val="2"/>
        <scheme val="minor"/>
      </rPr>
      <t>Total Inductor</t>
    </r>
    <r>
      <rPr>
        <sz val="11"/>
        <color theme="1"/>
        <rFont val="Calibri"/>
        <family val="2"/>
        <scheme val="minor"/>
      </rPr>
      <t xml:space="preserve"> AC+DC New Bare Wire Area (mm)</t>
    </r>
  </si>
  <si>
    <t>AC + DC</t>
  </si>
  <si>
    <t>Dowell K factor (layer proximity effect)</t>
  </si>
  <si>
    <t>Window Utilization Factor (Ku)</t>
  </si>
  <si>
    <t>Inductor Design Calculator (2 separate independent design selections, Core and Wire)</t>
  </si>
  <si>
    <t>Step 1</t>
  </si>
  <si>
    <t>Choose core based on Kg or Ap</t>
  </si>
  <si>
    <t xml:space="preserve">Step 2 </t>
  </si>
  <si>
    <t>Choose Wire Guage and Number of strands</t>
  </si>
  <si>
    <t>Step 3</t>
  </si>
  <si>
    <t>Figure out the number of turns</t>
  </si>
  <si>
    <t>Step 4</t>
  </si>
  <si>
    <t>Determine core loss and flux density</t>
  </si>
  <si>
    <t>Current Density (m^2) - selected</t>
  </si>
  <si>
    <t>Current Density (mm^2) - selected</t>
  </si>
  <si>
    <t>Current Density (m^2) - calculated based on core</t>
  </si>
  <si>
    <t>Current Density (mm^2) - calculated based on core</t>
  </si>
  <si>
    <t>Strand Cluster</t>
  </si>
  <si>
    <t>Number of Clusters</t>
  </si>
  <si>
    <t>Max possible turns /select core</t>
  </si>
  <si>
    <t>Max Possible turns (rounded)</t>
  </si>
  <si>
    <t>Turns / Gap / Fringing</t>
  </si>
  <si>
    <t>Winding Length (G)</t>
  </si>
  <si>
    <t>Gap Selected</t>
  </si>
  <si>
    <t>Gap Calculated</t>
  </si>
  <si>
    <t>Fringe Flux</t>
  </si>
  <si>
    <t>Turns based on fringe (calculated)</t>
  </si>
  <si>
    <t>Turns based on fringe (selected)</t>
  </si>
  <si>
    <t>Flux Density Swing (Bac)</t>
  </si>
  <si>
    <t>Number of turns (Selected)</t>
  </si>
  <si>
    <t>Kg Method Core Selection</t>
  </si>
  <si>
    <t>Ap Method Selection</t>
  </si>
  <si>
    <t>Inductance (using turns and fringe)</t>
  </si>
  <si>
    <t>Operating Flux Density (Bdc)</t>
  </si>
  <si>
    <t>Peak Flux (Bpk)</t>
  </si>
  <si>
    <t>Saturation Flux Density</t>
  </si>
  <si>
    <t>Ferrite Core Information</t>
  </si>
  <si>
    <t>Core Type</t>
  </si>
  <si>
    <t>Magnetic Path Length (MPL) - mm</t>
  </si>
  <si>
    <t>Magnetic Path Length (MPL) - cm</t>
  </si>
  <si>
    <t>Mean Length Turn (MLT) - mm</t>
  </si>
  <si>
    <t>Mean Length Turn (MLT) - cm</t>
  </si>
  <si>
    <t>Core Weight (Wfte) - grams</t>
  </si>
  <si>
    <t>Cross Sectional Area (Ac) - mm^2</t>
  </si>
  <si>
    <t>Cross Sectional Area (Ac) - cm^2</t>
  </si>
  <si>
    <t>Window Area (Wa) - mm^2</t>
  </si>
  <si>
    <t>Window Area (Wa) - cm^2</t>
  </si>
  <si>
    <t>Effective Window Area (Wa-e) - mm^2</t>
  </si>
  <si>
    <t>Effective Window Area (Wa-e) - cm^2</t>
  </si>
  <si>
    <t>Area Product (Ap) - mm^4</t>
  </si>
  <si>
    <t>Area Product (Ap) - cm^4</t>
  </si>
  <si>
    <t>Surface Area (At) - cm^2</t>
  </si>
  <si>
    <t xml:space="preserve">Manufacturer </t>
  </si>
  <si>
    <t>Permeability (25C)</t>
  </si>
  <si>
    <t>Saturation Flux Density (Tesla)</t>
  </si>
  <si>
    <t>Winding Length (cm)</t>
  </si>
  <si>
    <t>ETD-29</t>
  </si>
  <si>
    <t>AL (mH/1k turns)</t>
  </si>
  <si>
    <t>ETD-34</t>
  </si>
  <si>
    <t>Material</t>
  </si>
  <si>
    <t>N87</t>
  </si>
  <si>
    <t>Ku</t>
  </si>
  <si>
    <t>ETD-39</t>
  </si>
  <si>
    <t>ETD-44</t>
  </si>
  <si>
    <t>ETD-49</t>
  </si>
  <si>
    <t>ETD-54</t>
  </si>
  <si>
    <t>EFD-10</t>
  </si>
  <si>
    <t>EFD-15</t>
  </si>
  <si>
    <t>EFD-20</t>
  </si>
  <si>
    <t>EFD-25</t>
  </si>
  <si>
    <t>EFD-30</t>
  </si>
  <si>
    <t>Ferroxcube</t>
  </si>
  <si>
    <t>EPC-10</t>
  </si>
  <si>
    <t>EPC-13</t>
  </si>
  <si>
    <t>EPC-17</t>
  </si>
  <si>
    <t>EPC-19</t>
  </si>
  <si>
    <t>EPC-25</t>
  </si>
  <si>
    <t>EPC-27</t>
  </si>
  <si>
    <t>EPC-30</t>
  </si>
  <si>
    <t>PC-40905</t>
  </si>
  <si>
    <t>PC-41408</t>
  </si>
  <si>
    <t>PC-41811</t>
  </si>
  <si>
    <t>PC-42213</t>
  </si>
  <si>
    <t>PC-42616</t>
  </si>
  <si>
    <t>PC-43019</t>
  </si>
  <si>
    <t>PC-43622</t>
  </si>
  <si>
    <t>PC-44229</t>
  </si>
  <si>
    <t>Magnetics</t>
  </si>
  <si>
    <t>PQ20/16</t>
  </si>
  <si>
    <t>PQ20/20</t>
  </si>
  <si>
    <t>PQ26/20</t>
  </si>
  <si>
    <t>PQ26/25</t>
  </si>
  <si>
    <t>PQ32/20</t>
  </si>
  <si>
    <t>PQ32/30</t>
  </si>
  <si>
    <t>PQ35/35</t>
  </si>
  <si>
    <t>PQ40/40</t>
  </si>
  <si>
    <t>PQ50/50</t>
  </si>
  <si>
    <t>RM-4</t>
  </si>
  <si>
    <t>RM-5</t>
  </si>
  <si>
    <t>RM-6</t>
  </si>
  <si>
    <t>RM-8</t>
  </si>
  <si>
    <t>RM-10</t>
  </si>
  <si>
    <t>RM-12</t>
  </si>
  <si>
    <t>RM-14</t>
  </si>
  <si>
    <t>DS-42311</t>
  </si>
  <si>
    <t>DS-42318</t>
  </si>
  <si>
    <t>DS-42616</t>
  </si>
  <si>
    <t>DS-43019</t>
  </si>
  <si>
    <t>DS-43622</t>
  </si>
  <si>
    <t>DS-44229</t>
  </si>
  <si>
    <t>UUR-44121</t>
  </si>
  <si>
    <t>UUR-44119</t>
  </si>
  <si>
    <t>UUR-44125</t>
  </si>
  <si>
    <t>UUR-44130</t>
  </si>
  <si>
    <t>U10-08-03</t>
  </si>
  <si>
    <t>U20-16-07</t>
  </si>
  <si>
    <t>U25-20-13</t>
  </si>
  <si>
    <t>U30-25-16</t>
  </si>
  <si>
    <t>U67-27-14</t>
  </si>
  <si>
    <t>U93-76-16</t>
  </si>
  <si>
    <t>EC-35</t>
  </si>
  <si>
    <t>EC-41</t>
  </si>
  <si>
    <t>EC-52</t>
  </si>
  <si>
    <t>EC-70</t>
  </si>
  <si>
    <t>EE-187</t>
  </si>
  <si>
    <t>EE-2425</t>
  </si>
  <si>
    <t>EE-375</t>
  </si>
  <si>
    <t>EE-21</t>
  </si>
  <si>
    <t>EE-75</t>
  </si>
  <si>
    <t>EE-625</t>
  </si>
  <si>
    <t>EI-41805</t>
  </si>
  <si>
    <t>EE-41805</t>
  </si>
  <si>
    <t>EI-42216</t>
  </si>
  <si>
    <t>EE-42216</t>
  </si>
  <si>
    <t>EI-43208</t>
  </si>
  <si>
    <t>EE-43208</t>
  </si>
  <si>
    <t>EI-44310</t>
  </si>
  <si>
    <t>EE-44310</t>
  </si>
  <si>
    <t>ETD34(lp)</t>
  </si>
  <si>
    <t>ETD39(lp)</t>
  </si>
  <si>
    <t>ETD44(lp)</t>
  </si>
  <si>
    <t>ETD49(lp)</t>
  </si>
  <si>
    <t>TSC Ferrite</t>
  </si>
  <si>
    <t>ER9.5</t>
  </si>
  <si>
    <t>ER11</t>
  </si>
  <si>
    <t>ER35</t>
  </si>
  <si>
    <t>ER42</t>
  </si>
  <si>
    <t>ER48</t>
  </si>
  <si>
    <t>ER54</t>
  </si>
  <si>
    <t>PQ20-14-14lp</t>
  </si>
  <si>
    <t>PQ26-16-19lp</t>
  </si>
  <si>
    <t>PQ32-17-22lp</t>
  </si>
  <si>
    <t>PQ35-17-26lp</t>
  </si>
  <si>
    <t>PQ40-18-28lp</t>
  </si>
  <si>
    <t>RM4/ILP</t>
  </si>
  <si>
    <t>RM5/ILP</t>
  </si>
  <si>
    <t>RM6S/LP</t>
  </si>
  <si>
    <t>RM7/ILP</t>
  </si>
  <si>
    <t>RM8/ILP</t>
  </si>
  <si>
    <t>RM10/ILP</t>
  </si>
  <si>
    <t>RM12/ILP</t>
  </si>
  <si>
    <t>RM14/ILP</t>
  </si>
  <si>
    <t>-</t>
  </si>
  <si>
    <t>Wire Gauge Selected</t>
  </si>
  <si>
    <t>AWG</t>
  </si>
  <si>
    <t>clusters</t>
  </si>
  <si>
    <t>AC Wire, not optimized for inductor with DC current</t>
  </si>
  <si>
    <t>Is this value less then the skin depth at the Fsw?</t>
  </si>
  <si>
    <t>TDK</t>
  </si>
  <si>
    <t>PC95</t>
  </si>
  <si>
    <t>Isolation Transformer</t>
  </si>
  <si>
    <t>Isolation</t>
  </si>
  <si>
    <t>Total Power</t>
  </si>
  <si>
    <t>Manufacturer</t>
  </si>
  <si>
    <t>Part Number</t>
  </si>
  <si>
    <t>MLT (cm)</t>
  </si>
  <si>
    <t>Wtfe (grams)</t>
  </si>
  <si>
    <t>Ac (cm^2)</t>
  </si>
  <si>
    <t>Wa (cm^2)</t>
  </si>
  <si>
    <t>Ap (cm^4)</t>
  </si>
  <si>
    <t>At (cm^2)</t>
  </si>
  <si>
    <t>Iron and Tape Wound Cores</t>
  </si>
  <si>
    <t>Tape Toroidal</t>
  </si>
  <si>
    <t>MPL (cm)</t>
  </si>
  <si>
    <t>EI Laminations</t>
  </si>
  <si>
    <t>Tempel</t>
  </si>
  <si>
    <t>EI-375</t>
  </si>
  <si>
    <t>EI-021</t>
  </si>
  <si>
    <t>EI-625</t>
  </si>
  <si>
    <t>EI-750</t>
  </si>
  <si>
    <t>EI-875</t>
  </si>
  <si>
    <t>EI-100</t>
  </si>
  <si>
    <t>EI-112</t>
  </si>
  <si>
    <t>EI-125</t>
  </si>
  <si>
    <t>EI-138</t>
  </si>
  <si>
    <t>EI-150</t>
  </si>
  <si>
    <t>EI-175</t>
  </si>
  <si>
    <t>EI-225</t>
  </si>
  <si>
    <t>14mil</t>
  </si>
  <si>
    <t>UI Laminations</t>
  </si>
  <si>
    <t>Standard</t>
  </si>
  <si>
    <t>50UI</t>
  </si>
  <si>
    <t>60UI</t>
  </si>
  <si>
    <t>75UI</t>
  </si>
  <si>
    <t>100UI</t>
  </si>
  <si>
    <t>125UI</t>
  </si>
  <si>
    <t>150UI</t>
  </si>
  <si>
    <t>180UI</t>
  </si>
  <si>
    <t>240UI</t>
  </si>
  <si>
    <t>LL Laminations</t>
  </si>
  <si>
    <t>141L</t>
  </si>
  <si>
    <t>108L</t>
  </si>
  <si>
    <t>250L</t>
  </si>
  <si>
    <t>101L</t>
  </si>
  <si>
    <t>7L</t>
  </si>
  <si>
    <t>4L</t>
  </si>
  <si>
    <t>104L</t>
  </si>
  <si>
    <t>105L</t>
  </si>
  <si>
    <t>102L</t>
  </si>
  <si>
    <t>106L</t>
  </si>
  <si>
    <t>107L</t>
  </si>
  <si>
    <t>3-Phase Laminations</t>
  </si>
  <si>
    <t>Thomas and Skinner</t>
  </si>
  <si>
    <t xml:space="preserve">14mil </t>
  </si>
  <si>
    <t>0.250EI</t>
  </si>
  <si>
    <t>0.375EI</t>
  </si>
  <si>
    <t>0.500EI</t>
  </si>
  <si>
    <t>0.562EI</t>
  </si>
  <si>
    <t>0.625EI</t>
  </si>
  <si>
    <t>0.875EI</t>
  </si>
  <si>
    <t>1.000EI</t>
  </si>
  <si>
    <t>1.200EI</t>
  </si>
  <si>
    <t>1.500EI</t>
  </si>
  <si>
    <t>1.800EI</t>
  </si>
  <si>
    <t>2.400EI</t>
  </si>
  <si>
    <t>3.600EI</t>
  </si>
  <si>
    <t>Operating Flux</t>
  </si>
  <si>
    <t>Window Utilization</t>
  </si>
  <si>
    <t>Kg</t>
  </si>
  <si>
    <t>Regulation</t>
  </si>
  <si>
    <t>Ac (sm^2)</t>
  </si>
  <si>
    <t>Ap (cm^4</t>
  </si>
  <si>
    <t>At (cm^2I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</si>
</sst>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"/>
    <numFmt numFmtId="165" formatCode="0.000"/>
    <numFmt numFmtId="166" formatCode="0.0000"/>
    <numFmt numFmtId="167" formatCode="0.000000"/>
    <numFmt numFmtId="168" formatCode="0.0000000"/>
    <numFmt numFmtId="169" formatCode="0.0000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Geneva"/>
    </font>
    <font>
      <b/>
      <i/>
      <sz val="10"/>
      <color indexed="56"/>
      <name val="Arial"/>
      <family val="2"/>
    </font>
    <font>
      <b/>
      <u/>
      <sz val="26"/>
      <color theme="1"/>
      <name val="Calibri"/>
      <family val="2"/>
      <scheme val="minor"/>
    </font>
    <font>
      <sz val="10"/>
      <color indexed="56"/>
      <name val="Arial"/>
      <family val="2"/>
    </font>
    <font>
      <b/>
      <u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2" fillId="0" borderId="0"/>
    <xf numFmtId="0" fontId="13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2" xfId="0" applyFill="1" applyBorder="1"/>
    <xf numFmtId="0" fontId="1" fillId="3" borderId="2" xfId="0" applyFont="1" applyFill="1" applyBorder="1"/>
    <xf numFmtId="0" fontId="4" fillId="3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6" fillId="5" borderId="2" xfId="0" applyFont="1" applyFill="1" applyBorder="1"/>
    <xf numFmtId="0" fontId="7" fillId="5" borderId="2" xfId="0" applyFont="1" applyFill="1" applyBorder="1"/>
    <xf numFmtId="0" fontId="8" fillId="5" borderId="2" xfId="0" applyFont="1" applyFill="1" applyBorder="1"/>
    <xf numFmtId="0" fontId="5" fillId="5" borderId="2" xfId="0" applyFont="1" applyFill="1" applyBorder="1"/>
    <xf numFmtId="0" fontId="3" fillId="6" borderId="2" xfId="0" applyFont="1" applyFill="1" applyBorder="1"/>
    <xf numFmtId="0" fontId="1" fillId="6" borderId="2" xfId="0" applyFont="1" applyFill="1" applyBorder="1"/>
    <xf numFmtId="0" fontId="6" fillId="8" borderId="2" xfId="0" applyFont="1" applyFill="1" applyBorder="1"/>
    <xf numFmtId="0" fontId="7" fillId="8" borderId="2" xfId="0" applyFont="1" applyFill="1" applyBorder="1"/>
    <xf numFmtId="0" fontId="8" fillId="8" borderId="2" xfId="0" applyFont="1" applyFill="1" applyBorder="1"/>
    <xf numFmtId="0" fontId="4" fillId="2" borderId="2" xfId="0" applyFont="1" applyFill="1" applyBorder="1"/>
    <xf numFmtId="0" fontId="0" fillId="9" borderId="2" xfId="0" applyFill="1" applyBorder="1"/>
    <xf numFmtId="0" fontId="1" fillId="9" borderId="2" xfId="0" applyFont="1" applyFill="1" applyBorder="1"/>
    <xf numFmtId="0" fontId="3" fillId="9" borderId="2" xfId="0" applyFont="1" applyFill="1" applyBorder="1"/>
    <xf numFmtId="0" fontId="5" fillId="8" borderId="2" xfId="0" applyFont="1" applyFill="1" applyBorder="1"/>
    <xf numFmtId="0" fontId="6" fillId="8" borderId="0" xfId="0" applyFont="1" applyFill="1"/>
    <xf numFmtId="0" fontId="5" fillId="8" borderId="0" xfId="0" applyFont="1" applyFill="1"/>
    <xf numFmtId="0" fontId="4" fillId="2" borderId="0" xfId="0" applyFont="1" applyFill="1"/>
    <xf numFmtId="11" fontId="4" fillId="2" borderId="0" xfId="0" applyNumberFormat="1" applyFont="1" applyFill="1"/>
    <xf numFmtId="0" fontId="0" fillId="2" borderId="0" xfId="0" applyFill="1"/>
    <xf numFmtId="165" fontId="12" fillId="0" borderId="2" xfId="2" applyNumberFormat="1" applyFont="1" applyBorder="1" applyAlignment="1">
      <alignment horizontal="center"/>
    </xf>
    <xf numFmtId="2" fontId="12" fillId="0" borderId="2" xfId="2" applyNumberFormat="1" applyFont="1" applyBorder="1" applyAlignment="1">
      <alignment horizontal="center"/>
    </xf>
    <xf numFmtId="0" fontId="11" fillId="8" borderId="0" xfId="0" applyFont="1" applyFill="1"/>
    <xf numFmtId="0" fontId="14" fillId="0" borderId="2" xfId="1" applyFont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 vertical="center"/>
    </xf>
    <xf numFmtId="166" fontId="12" fillId="0" borderId="3" xfId="1" applyNumberFormat="1" applyBorder="1" applyAlignment="1">
      <alignment horizontal="center"/>
    </xf>
    <xf numFmtId="166" fontId="12" fillId="0" borderId="4" xfId="1" applyNumberFormat="1" applyBorder="1" applyAlignment="1">
      <alignment horizontal="center"/>
    </xf>
    <xf numFmtId="0" fontId="4" fillId="4" borderId="2" xfId="0" applyFont="1" applyFill="1" applyBorder="1" applyAlignment="1">
      <alignment horizontal="right"/>
    </xf>
    <xf numFmtId="164" fontId="4" fillId="4" borderId="2" xfId="0" applyNumberFormat="1" applyFont="1" applyFill="1" applyBorder="1"/>
    <xf numFmtId="0" fontId="1" fillId="2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167" fontId="4" fillId="4" borderId="2" xfId="0" applyNumberFormat="1" applyFont="1" applyFill="1" applyBorder="1"/>
    <xf numFmtId="0" fontId="1" fillId="9" borderId="5" xfId="0" applyFont="1" applyFill="1" applyBorder="1"/>
    <xf numFmtId="0" fontId="3" fillId="9" borderId="6" xfId="0" applyFont="1" applyFill="1" applyBorder="1"/>
    <xf numFmtId="0" fontId="4" fillId="2" borderId="10" xfId="0" applyFont="1" applyFill="1" applyBorder="1"/>
    <xf numFmtId="0" fontId="1" fillId="6" borderId="5" xfId="0" applyFont="1" applyFill="1" applyBorder="1"/>
    <xf numFmtId="0" fontId="3" fillId="6" borderId="6" xfId="0" applyFont="1" applyFill="1" applyBorder="1"/>
    <xf numFmtId="0" fontId="4" fillId="6" borderId="7" xfId="0" applyFont="1" applyFill="1" applyBorder="1"/>
    <xf numFmtId="2" fontId="4" fillId="2" borderId="9" xfId="0" applyNumberFormat="1" applyFont="1" applyFill="1" applyBorder="1"/>
    <xf numFmtId="0" fontId="1" fillId="7" borderId="5" xfId="0" applyFont="1" applyFill="1" applyBorder="1"/>
    <xf numFmtId="0" fontId="3" fillId="7" borderId="6" xfId="0" applyFont="1" applyFill="1" applyBorder="1"/>
    <xf numFmtId="0" fontId="7" fillId="8" borderId="7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10" fillId="3" borderId="2" xfId="0" applyFont="1" applyFill="1" applyBorder="1"/>
    <xf numFmtId="168" fontId="4" fillId="3" borderId="2" xfId="0" applyNumberFormat="1" applyFont="1" applyFill="1" applyBorder="1"/>
    <xf numFmtId="165" fontId="4" fillId="3" borderId="2" xfId="0" applyNumberFormat="1" applyFont="1" applyFill="1" applyBorder="1"/>
    <xf numFmtId="2" fontId="4" fillId="3" borderId="2" xfId="0" applyNumberFormat="1" applyFont="1" applyFill="1" applyBorder="1"/>
    <xf numFmtId="0" fontId="1" fillId="3" borderId="11" xfId="0" applyFont="1" applyFill="1" applyBorder="1"/>
    <xf numFmtId="0" fontId="6" fillId="8" borderId="11" xfId="0" applyFont="1" applyFill="1" applyBorder="1"/>
    <xf numFmtId="0" fontId="6" fillId="8" borderId="8" xfId="0" applyFont="1" applyFill="1" applyBorder="1"/>
    <xf numFmtId="0" fontId="1" fillId="9" borderId="12" xfId="0" applyFont="1" applyFill="1" applyBorder="1"/>
    <xf numFmtId="0" fontId="1" fillId="8" borderId="0" xfId="0" applyFont="1" applyFill="1"/>
    <xf numFmtId="0" fontId="4" fillId="8" borderId="0" xfId="0" applyFont="1" applyFill="1"/>
    <xf numFmtId="0" fontId="3" fillId="8" borderId="0" xfId="0" applyFont="1" applyFill="1"/>
    <xf numFmtId="1" fontId="4" fillId="2" borderId="2" xfId="0" applyNumberFormat="1" applyFont="1" applyFill="1" applyBorder="1"/>
    <xf numFmtId="0" fontId="3" fillId="3" borderId="11" xfId="0" applyFont="1" applyFill="1" applyBorder="1"/>
    <xf numFmtId="1" fontId="4" fillId="10" borderId="2" xfId="0" applyNumberFormat="1" applyFont="1" applyFill="1" applyBorder="1"/>
    <xf numFmtId="0" fontId="1" fillId="10" borderId="2" xfId="0" applyFont="1" applyFill="1" applyBorder="1"/>
    <xf numFmtId="0" fontId="0" fillId="10" borderId="2" xfId="0" applyFill="1" applyBorder="1"/>
    <xf numFmtId="167" fontId="4" fillId="2" borderId="9" xfId="0" applyNumberFormat="1" applyFont="1" applyFill="1" applyBorder="1"/>
    <xf numFmtId="0" fontId="15" fillId="2" borderId="1" xfId="0" applyFont="1" applyFill="1" applyBorder="1" applyAlignment="1">
      <alignment horizontal="center"/>
    </xf>
    <xf numFmtId="0" fontId="6" fillId="8" borderId="1" xfId="0" applyFont="1" applyFill="1" applyBorder="1"/>
    <xf numFmtId="0" fontId="15" fillId="2" borderId="13" xfId="0" applyFont="1" applyFill="1" applyBorder="1"/>
    <xf numFmtId="0" fontId="1" fillId="2" borderId="2" xfId="0" applyFont="1" applyFill="1" applyBorder="1"/>
    <xf numFmtId="0" fontId="6" fillId="0" borderId="0" xfId="0" applyFont="1"/>
    <xf numFmtId="0" fontId="5" fillId="0" borderId="0" xfId="0" applyFont="1"/>
    <xf numFmtId="0" fontId="4" fillId="12" borderId="2" xfId="0" applyFont="1" applyFill="1" applyBorder="1"/>
    <xf numFmtId="0" fontId="16" fillId="0" borderId="2" xfId="1" applyFont="1" applyBorder="1" applyAlignment="1">
      <alignment horizontal="center"/>
    </xf>
    <xf numFmtId="0" fontId="1" fillId="8" borderId="2" xfId="0" applyFont="1" applyFill="1" applyBorder="1"/>
    <xf numFmtId="0" fontId="0" fillId="8" borderId="2" xfId="0" applyFill="1" applyBorder="1"/>
    <xf numFmtId="0" fontId="5" fillId="8" borderId="14" xfId="0" applyFont="1" applyFill="1" applyBorder="1"/>
    <xf numFmtId="0" fontId="3" fillId="11" borderId="2" xfId="0" applyFont="1" applyFill="1" applyBorder="1"/>
    <xf numFmtId="0" fontId="1" fillId="11" borderId="2" xfId="0" applyFont="1" applyFill="1" applyBorder="1"/>
    <xf numFmtId="169" fontId="1" fillId="11" borderId="2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8" borderId="14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166" fontId="4" fillId="4" borderId="2" xfId="0" applyNumberFormat="1" applyFont="1" applyFill="1" applyBorder="1"/>
    <xf numFmtId="165" fontId="4" fillId="4" borderId="2" xfId="0" applyNumberFormat="1" applyFont="1" applyFill="1" applyBorder="1"/>
    <xf numFmtId="0" fontId="18" fillId="2" borderId="1" xfId="0" applyFont="1" applyFill="1" applyBorder="1" applyAlignment="1">
      <alignment horizontal="center"/>
    </xf>
    <xf numFmtId="0" fontId="2" fillId="12" borderId="0" xfId="0" applyFont="1" applyFill="1"/>
    <xf numFmtId="0" fontId="3" fillId="0" borderId="0" xfId="0" applyFont="1" applyAlignment="1">
      <alignment horizontal="right"/>
    </xf>
    <xf numFmtId="165" fontId="0" fillId="0" borderId="0" xfId="0" applyNumberFormat="1"/>
    <xf numFmtId="166" fontId="4" fillId="2" borderId="2" xfId="0" applyNumberFormat="1" applyFont="1" applyFill="1" applyBorder="1"/>
  </cellXfs>
  <cellStyles count="3">
    <cellStyle name="Normal" xfId="0" builtinId="0"/>
    <cellStyle name="Normal 2" xfId="1" xr:uid="{457033D9-35F8-4289-8F29-00C2CB8A1ED8}"/>
    <cellStyle name="Normal_EngTools" xfId="2" xr:uid="{8C25D150-F226-460F-86A3-0B7268181BA8}"/>
  </cellStyles>
  <dxfs count="35"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indexed="56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B8477-7868-432C-A22B-9759E5AE3884}" name="Table1" displayName="Table1" ref="A3:M58" totalsRowShown="0" headerRowDxfId="0">
  <autoFilter ref="A3:M58" xr:uid="{B1FB8477-7868-432C-A22B-9759E5AE3884}"/>
  <tableColumns count="13">
    <tableColumn id="1" xr3:uid="{B8C40FB6-5464-4E64-9EE1-4CB2D9BB77E0}" name="Core Type"/>
    <tableColumn id="2" xr3:uid="{EB57B4FD-8AC5-42E4-A9AD-8662F7FD9B21}" name="Part Number" dataDxfId="1"/>
    <tableColumn id="3" xr3:uid="{1392AA91-7BC9-48F8-9B55-8268FA4470C2}" name="Manufacturer"/>
    <tableColumn id="4" xr3:uid="{F5F60AE2-CF6E-4BD5-8D83-E5F1FBEFFF9E}" name="Material"/>
    <tableColumn id="5" xr3:uid="{E70DA909-B306-4B48-B7D9-A98ED6E66DF2}" name="Permeability"/>
    <tableColumn id="6" xr3:uid="{1261FF40-BBDE-47FF-B592-9FA5FEB06B9F}" name="Wtfe (grams)"/>
    <tableColumn id="7" xr3:uid="{851B70E0-F44B-428D-BAA9-E5B9B46B506A}" name="MLT (cm)"/>
    <tableColumn id="8" xr3:uid="{A6825543-1C9B-444C-B2AB-AC6B8885B4AE}" name="MPL (cm)"/>
    <tableColumn id="9" xr3:uid="{79000F99-52BB-4B62-9293-A86501C0B873}" name="Ac (cm^2)"/>
    <tableColumn id="10" xr3:uid="{E914F86B-5549-47C0-8205-7317E4077057}" name="Wa (cm^2)"/>
    <tableColumn id="11" xr3:uid="{1526DECA-7422-496D-AB0B-F56EB77A2FE3}" name="Ap (cm^4)"/>
    <tableColumn id="12" xr3:uid="{8AF408FC-10BD-4844-8848-351B5A1C87D9}" name="Kg (cm^5)"/>
    <tableColumn id="13" xr3:uid="{4695470D-187D-41D8-A85A-00E97FE6C1F5}" name="At (cm^2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3EBAD8-6253-415C-99CF-B7DEEDB53AEC}" name="Wire_Gauge" displayName="Wire_Gauge" ref="A1:G51" totalsRowShown="0" headerRowDxfId="34">
  <autoFilter ref="A1:G51" xr:uid="{313EBAD8-6253-415C-99CF-B7DEEDB53AEC}"/>
  <tableColumns count="7">
    <tableColumn id="1" xr3:uid="{B07D7EA8-5F09-413F-A188-2B959A0CDD14}" name="AWG Gauge" dataDxfId="33" dataCellStyle="Normal 2"/>
    <tableColumn id="2" xr3:uid="{67EB5905-4B30-4F0C-A300-FABAC4167E96}" name="Conductor Diameter (Inches)" dataDxfId="32" dataCellStyle="Normal 2"/>
    <tableColumn id="3" xr3:uid="{B4A579D5-A55A-4297-AB09-99C3521442D3}" name="Conductor Diameter (mm)" dataDxfId="31" dataCellStyle="Normal_EngTools"/>
    <tableColumn id="4" xr3:uid="{EBFEECEB-B290-466B-809C-1031C975A1EA}" name="Conductor cross section area (mm^2)" dataDxfId="30">
      <calculatedColumnFormula>PI()*(C2/2)^2</calculatedColumnFormula>
    </tableColumn>
    <tableColumn id="5" xr3:uid="{AA692FD6-16A5-4657-9ECD-107A4EB3F3D8}" name="Conductor cross section area (cm^2)" dataDxfId="29">
      <calculatedColumnFormula>0.01*D2</calculatedColumnFormula>
    </tableColumn>
    <tableColumn id="6" xr3:uid="{5F8A4EF8-6AAC-4F3D-8000-BBC63674C852}" name="Ohm/1000ft" dataDxfId="28"/>
    <tableColumn id="7" xr3:uid="{6AD7A705-FF3C-4412-8E4A-3F0B0A2844DB}" name="Ohm/1000m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0A0A69-729C-4C63-A3B7-64F07A4903B6}" name="Ferrite_Cores" displayName="Ferrite_Cores" ref="A3:V103" totalsRowShown="0" headerRowDxfId="26" dataDxfId="24" headerRowBorderDxfId="25">
  <autoFilter ref="A3:V103" xr:uid="{60455FAE-CCB6-4814-9D2D-6C500CA412D3}"/>
  <sortState xmlns:xlrd2="http://schemas.microsoft.com/office/spreadsheetml/2017/richdata2" ref="A4:V103">
    <sortCondition ref="A3:A103"/>
  </sortState>
  <tableColumns count="22">
    <tableColumn id="1" xr3:uid="{5E8B4C58-C721-44F3-9AFB-E70272E16E17}" name="Core Type" dataDxfId="23"/>
    <tableColumn id="2" xr3:uid="{7CF864F7-6ECE-40AB-BA29-C089206BE7E6}" name="Manufacturer "/>
    <tableColumn id="3" xr3:uid="{18CA78B1-64E2-4C17-B59A-3D63BF608E0C}" name="Material"/>
    <tableColumn id="4" xr3:uid="{0A7A8CE0-D110-486D-BDE0-3D80E15BED6A}" name="Permeability (25C)"/>
    <tableColumn id="5" xr3:uid="{AAF329B1-49C7-4C14-8D62-84DC78A53406}" name="Saturation Flux Density (Tesla)"/>
    <tableColumn id="6" xr3:uid="{A3813482-B5BE-4DF5-9B76-5485DF030A0D}" name="Kg (cm^5)" dataDxfId="22">
      <calculatedColumnFormula>(Q4*O4^2*$B$2)/L4</calculatedColumnFormula>
    </tableColumn>
    <tableColumn id="7" xr3:uid="{63304CD7-86DE-49A4-984F-6AF2AC38E11C}" name="Area Product (Ap) - mm^4" dataDxfId="21">
      <calculatedColumnFormula>H4*10000</calculatedColumnFormula>
    </tableColumn>
    <tableColumn id="8" xr3:uid="{D92E5912-6CEB-4502-82C0-0551DD30FCAE}" name="Area Product (Ap) - cm^4" dataDxfId="20"/>
    <tableColumn id="9" xr3:uid="{5A93656C-C53E-47B3-A309-C9627CB1DB7A}" name="Magnetic Path Length (MPL) - mm" dataDxfId="19">
      <calculatedColumnFormula>J4*10</calculatedColumnFormula>
    </tableColumn>
    <tableColumn id="10" xr3:uid="{6C22442B-E121-4BB3-B87B-E59B68052085}" name="Magnetic Path Length (MPL) - cm" dataDxfId="18"/>
    <tableColumn id="11" xr3:uid="{A11509EC-1260-42CA-BE82-FE14CD9C1AC0}" name="Mean Length Turn (MLT) - mm" dataDxfId="17">
      <calculatedColumnFormula>L4*10</calculatedColumnFormula>
    </tableColumn>
    <tableColumn id="12" xr3:uid="{B51BDC20-1670-4F9E-B80F-67C8EBD1BC81}" name="Mean Length Turn (MLT) - cm" dataDxfId="16"/>
    <tableColumn id="13" xr3:uid="{0C899735-BC58-4BD8-BFCE-2C9466270060}" name="Core Weight (Wfte) - grams" dataDxfId="15"/>
    <tableColumn id="14" xr3:uid="{BDA2B4DE-D202-4942-995A-847880BD03CD}" name="Cross Sectional Area (Ac) - mm^2" dataDxfId="14">
      <calculatedColumnFormula>O4*100</calculatedColumnFormula>
    </tableColumn>
    <tableColumn id="15" xr3:uid="{EB36B297-595E-46BD-8173-83DD450EDA03}" name="Cross Sectional Area (Ac) - cm^2" dataDxfId="13"/>
    <tableColumn id="16" xr3:uid="{0B8565FF-6570-4BB8-922B-E156C631FA23}" name="Window Area (Wa) - mm^2" dataDxfId="12">
      <calculatedColumnFormula>Q4*100</calculatedColumnFormula>
    </tableColumn>
    <tableColumn id="17" xr3:uid="{94A6EDFD-D6EB-4732-AF77-009263A1D181}" name="Window Area (Wa) - cm^2" dataDxfId="11"/>
    <tableColumn id="18" xr3:uid="{54EDB70B-1539-45C1-B64D-8432BB8422ED}" name="Effective Window Area (Wa-e) - mm^2"/>
    <tableColumn id="19" xr3:uid="{03083C2A-749D-4D34-97E0-E4447037B946}" name="Effective Window Area (Wa-e) - cm^2"/>
    <tableColumn id="20" xr3:uid="{FFAD3D76-26B7-4051-84C7-E8893C07FDB1}" name="Surface Area (At) - cm^2" dataDxfId="10"/>
    <tableColumn id="21" xr3:uid="{ED227578-F283-48A4-BF16-BF17FFCAA180}" name="Winding Length (cm)" dataDxfId="9"/>
    <tableColumn id="22" xr3:uid="{9EC26C75-314C-4F91-B7F1-D5EE56DB45C7}" name="AL (mH/1k turns)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E65E-8B17-4867-8EA4-D1833B3EBDBF}">
  <dimension ref="A1:H17"/>
  <sheetViews>
    <sheetView tabSelected="1" workbookViewId="0">
      <selection activeCell="G5" sqref="G5"/>
    </sheetView>
    <sheetView workbookViewId="1"/>
  </sheetViews>
  <sheetFormatPr defaultRowHeight="14.25"/>
  <cols>
    <col min="1" max="1" width="20.73046875" bestFit="1" customWidth="1"/>
    <col min="2" max="2" width="12.3984375" bestFit="1" customWidth="1"/>
    <col min="3" max="3" width="7.59765625" bestFit="1" customWidth="1"/>
    <col min="6" max="6" width="11.1328125" bestFit="1" customWidth="1"/>
  </cols>
  <sheetData>
    <row r="1" spans="1:8" ht="25.5">
      <c r="A1" s="97" t="s">
        <v>314</v>
      </c>
      <c r="B1" s="97"/>
      <c r="C1" s="97"/>
      <c r="D1" s="97"/>
      <c r="E1" s="97"/>
      <c r="F1" s="97"/>
      <c r="G1" s="97"/>
      <c r="H1" s="97"/>
    </row>
    <row r="2" spans="1:8">
      <c r="A2" s="13" t="s">
        <v>56</v>
      </c>
      <c r="B2" s="16"/>
      <c r="C2" s="16"/>
      <c r="D2" s="55"/>
    </row>
    <row r="3" spans="1:8">
      <c r="A3" s="11" t="s">
        <v>3</v>
      </c>
      <c r="B3" s="40" t="s">
        <v>315</v>
      </c>
      <c r="C3" s="12"/>
      <c r="D3" s="55"/>
    </row>
    <row r="4" spans="1:8">
      <c r="A4" s="11" t="s">
        <v>0</v>
      </c>
      <c r="B4" s="9">
        <v>120</v>
      </c>
      <c r="C4" s="10" t="s">
        <v>1</v>
      </c>
      <c r="D4" s="55"/>
      <c r="F4" t="s">
        <v>181</v>
      </c>
      <c r="G4" t="s">
        <v>368</v>
      </c>
    </row>
    <row r="5" spans="1:8">
      <c r="A5" s="11" t="s">
        <v>2</v>
      </c>
      <c r="B5" s="9">
        <v>120</v>
      </c>
      <c r="C5" s="10" t="s">
        <v>1</v>
      </c>
      <c r="D5" s="55"/>
      <c r="F5" t="s">
        <v>327</v>
      </c>
    </row>
    <row r="6" spans="1:8">
      <c r="A6" s="11" t="s">
        <v>5</v>
      </c>
      <c r="B6" s="9">
        <v>10</v>
      </c>
      <c r="C6" s="10" t="s">
        <v>6</v>
      </c>
      <c r="D6" s="55"/>
      <c r="F6" t="s">
        <v>320</v>
      </c>
    </row>
    <row r="7" spans="1:8">
      <c r="A7" s="11" t="s">
        <v>8</v>
      </c>
      <c r="B7" s="9">
        <f>B6*B5</f>
        <v>1200</v>
      </c>
      <c r="C7" s="10" t="s">
        <v>9</v>
      </c>
      <c r="D7" s="55"/>
      <c r="F7" t="s">
        <v>319</v>
      </c>
    </row>
    <row r="8" spans="1:8">
      <c r="A8" s="11" t="s">
        <v>7</v>
      </c>
      <c r="B8" s="9">
        <v>0.95</v>
      </c>
      <c r="C8" s="10"/>
      <c r="D8" s="55"/>
      <c r="F8" t="s">
        <v>384</v>
      </c>
    </row>
    <row r="9" spans="1:8">
      <c r="A9" s="11" t="s">
        <v>10</v>
      </c>
      <c r="B9" s="9">
        <f>B7/B8</f>
        <v>1263.1578947368421</v>
      </c>
      <c r="C9" s="10" t="s">
        <v>9</v>
      </c>
      <c r="D9" s="55"/>
      <c r="F9" t="s">
        <v>322</v>
      </c>
    </row>
    <row r="10" spans="1:8">
      <c r="A10" s="11" t="s">
        <v>11</v>
      </c>
      <c r="B10" s="9">
        <f>B9/B4</f>
        <v>10.526315789473683</v>
      </c>
      <c r="C10" s="10" t="s">
        <v>6</v>
      </c>
      <c r="D10" s="55"/>
      <c r="F10" t="s">
        <v>385</v>
      </c>
    </row>
    <row r="11" spans="1:8">
      <c r="A11" s="11" t="s">
        <v>20</v>
      </c>
      <c r="B11" s="9">
        <v>60</v>
      </c>
      <c r="C11" s="10" t="s">
        <v>21</v>
      </c>
      <c r="D11" s="55"/>
      <c r="F11" t="s">
        <v>49</v>
      </c>
    </row>
    <row r="12" spans="1:8">
      <c r="A12" s="11" t="s">
        <v>316</v>
      </c>
      <c r="B12" s="99">
        <f>B7+B9</f>
        <v>2463.1578947368421</v>
      </c>
      <c r="C12" s="10" t="s">
        <v>9</v>
      </c>
      <c r="D12" s="55"/>
      <c r="F12" t="s">
        <v>386</v>
      </c>
    </row>
    <row r="13" spans="1:8">
      <c r="A13" s="11" t="s">
        <v>380</v>
      </c>
      <c r="B13" s="9">
        <v>1.6</v>
      </c>
      <c r="C13" s="10" t="s">
        <v>26</v>
      </c>
      <c r="D13" s="55"/>
    </row>
    <row r="14" spans="1:8">
      <c r="A14" s="11" t="s">
        <v>381</v>
      </c>
      <c r="B14" s="9">
        <v>0.4</v>
      </c>
      <c r="C14" s="10"/>
      <c r="D14" s="55"/>
    </row>
    <row r="15" spans="1:8">
      <c r="A15" s="11" t="s">
        <v>383</v>
      </c>
      <c r="B15" s="9">
        <v>5</v>
      </c>
      <c r="C15" s="10" t="s">
        <v>17</v>
      </c>
      <c r="D15" s="55"/>
    </row>
    <row r="16" spans="1:8">
      <c r="A16" s="11" t="s">
        <v>47</v>
      </c>
      <c r="B16" s="98">
        <f>0.145*(4.44^2)*(B11^2)*(B13^2)*(10^-4)</f>
        <v>2.6343677952000011</v>
      </c>
      <c r="C16" s="10"/>
      <c r="D16" s="55"/>
    </row>
    <row r="17" spans="1:4">
      <c r="A17" s="11" t="s">
        <v>382</v>
      </c>
      <c r="B17" s="104">
        <f>B12/(2*B16*B15)</f>
        <v>93.500911270813617</v>
      </c>
      <c r="C17" s="10"/>
      <c r="D17" s="55"/>
    </row>
  </sheetData>
  <mergeCells count="1">
    <mergeCell ref="A1:H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B73634-4FA6-4DC2-AB67-8289DBA646E0}">
          <x14:formula1>
            <xm:f>'Tape and Iron Cores'!$B$4:$B$58</xm:f>
          </x14:formula1>
          <xm:sqref>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B821-5A66-465C-8396-23BFB0B5865D}">
  <dimension ref="A1:M58"/>
  <sheetViews>
    <sheetView workbookViewId="0">
      <pane ySplit="3" topLeftCell="A34" activePane="bottomLeft" state="frozen"/>
      <selection pane="bottomLeft" activeCell="B4" sqref="B4:B58"/>
    </sheetView>
    <sheetView workbookViewId="1"/>
  </sheetViews>
  <sheetFormatPr defaultRowHeight="14.25"/>
  <cols>
    <col min="1" max="1" width="17.06640625" bestFit="1" customWidth="1"/>
    <col min="2" max="2" width="13.33203125" bestFit="1" customWidth="1"/>
    <col min="3" max="3" width="16.59765625" bestFit="1" customWidth="1"/>
    <col min="4" max="4" width="9.73046875" bestFit="1" customWidth="1"/>
    <col min="5" max="5" width="13.19921875" bestFit="1" customWidth="1"/>
    <col min="6" max="6" width="13.53125" bestFit="1" customWidth="1"/>
    <col min="7" max="7" width="10.3984375" bestFit="1" customWidth="1"/>
    <col min="8" max="8" width="10.46484375" bestFit="1" customWidth="1"/>
    <col min="9" max="9" width="10.9296875" bestFit="1" customWidth="1"/>
    <col min="10" max="10" width="11.59765625" bestFit="1" customWidth="1"/>
    <col min="11" max="11" width="11.19921875" bestFit="1" customWidth="1"/>
    <col min="12" max="12" width="10.9296875" bestFit="1" customWidth="1"/>
    <col min="13" max="13" width="10.796875" bestFit="1" customWidth="1"/>
  </cols>
  <sheetData>
    <row r="1" spans="1:13" ht="28.5">
      <c r="A1" s="100" t="s">
        <v>325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>
      <c r="A3" s="101" t="s">
        <v>181</v>
      </c>
      <c r="B3" s="101" t="s">
        <v>318</v>
      </c>
      <c r="C3" s="101" t="s">
        <v>317</v>
      </c>
      <c r="D3" s="101" t="s">
        <v>203</v>
      </c>
      <c r="E3" s="101" t="s">
        <v>75</v>
      </c>
      <c r="F3" s="101" t="s">
        <v>320</v>
      </c>
      <c r="G3" s="101" t="s">
        <v>319</v>
      </c>
      <c r="H3" s="101" t="s">
        <v>327</v>
      </c>
      <c r="I3" s="101" t="s">
        <v>321</v>
      </c>
      <c r="J3" s="101" t="s">
        <v>322</v>
      </c>
      <c r="K3" s="101" t="s">
        <v>323</v>
      </c>
      <c r="L3" s="101" t="s">
        <v>49</v>
      </c>
      <c r="M3" s="101" t="s">
        <v>324</v>
      </c>
    </row>
    <row r="4" spans="1:13">
      <c r="A4" t="s">
        <v>365</v>
      </c>
      <c r="B4" s="102" t="s">
        <v>368</v>
      </c>
      <c r="C4" t="s">
        <v>366</v>
      </c>
      <c r="D4" t="s">
        <v>367</v>
      </c>
      <c r="F4">
        <v>54</v>
      </c>
      <c r="G4">
        <v>4.3</v>
      </c>
      <c r="I4">
        <v>0.38300000000000001</v>
      </c>
      <c r="J4">
        <v>2.4900000000000002</v>
      </c>
      <c r="K4">
        <v>1.43</v>
      </c>
      <c r="L4">
        <v>5.0999999999999997E-2</v>
      </c>
      <c r="M4">
        <v>53</v>
      </c>
    </row>
    <row r="5" spans="1:13">
      <c r="A5" t="s">
        <v>365</v>
      </c>
      <c r="B5" s="102" t="s">
        <v>369</v>
      </c>
      <c r="C5" t="s">
        <v>366</v>
      </c>
      <c r="D5" t="s">
        <v>367</v>
      </c>
      <c r="F5">
        <v>154</v>
      </c>
      <c r="G5">
        <v>6.2</v>
      </c>
      <c r="I5">
        <v>0.86199999999999999</v>
      </c>
      <c r="J5">
        <v>4.03</v>
      </c>
      <c r="K5">
        <v>5.21</v>
      </c>
      <c r="L5">
        <v>0.28899999999999998</v>
      </c>
      <c r="M5">
        <v>102</v>
      </c>
    </row>
    <row r="6" spans="1:13">
      <c r="A6" t="s">
        <v>365</v>
      </c>
      <c r="B6" s="102" t="s">
        <v>370</v>
      </c>
      <c r="C6" t="s">
        <v>366</v>
      </c>
      <c r="D6" t="s">
        <v>367</v>
      </c>
      <c r="F6">
        <v>324</v>
      </c>
      <c r="G6">
        <v>8.1999999999999993</v>
      </c>
      <c r="I6">
        <v>1.532</v>
      </c>
      <c r="J6">
        <v>5.54</v>
      </c>
      <c r="K6">
        <v>12.74</v>
      </c>
      <c r="L6">
        <v>0.95499999999999996</v>
      </c>
      <c r="M6">
        <v>159</v>
      </c>
    </row>
    <row r="7" spans="1:13">
      <c r="A7" t="s">
        <v>365</v>
      </c>
      <c r="B7" s="102" t="s">
        <v>371</v>
      </c>
      <c r="C7" t="s">
        <v>366</v>
      </c>
      <c r="D7" t="s">
        <v>367</v>
      </c>
      <c r="F7">
        <v>421</v>
      </c>
      <c r="G7">
        <v>8.8000000000000007</v>
      </c>
      <c r="I7">
        <v>1.9359999999999999</v>
      </c>
      <c r="J7">
        <v>8.57</v>
      </c>
      <c r="K7">
        <v>24.88</v>
      </c>
      <c r="L7">
        <v>2.1869999999999998</v>
      </c>
      <c r="M7">
        <v>207</v>
      </c>
    </row>
    <row r="8" spans="1:13">
      <c r="A8" t="s">
        <v>365</v>
      </c>
      <c r="B8" s="102" t="s">
        <v>372</v>
      </c>
      <c r="C8" t="s">
        <v>366</v>
      </c>
      <c r="D8" t="s">
        <v>367</v>
      </c>
      <c r="F8">
        <v>706</v>
      </c>
      <c r="G8">
        <v>10.1</v>
      </c>
      <c r="I8">
        <v>2.3940000000000001</v>
      </c>
      <c r="J8">
        <v>11.18</v>
      </c>
      <c r="K8">
        <v>40.130000000000003</v>
      </c>
      <c r="L8">
        <v>3.8159999999999998</v>
      </c>
      <c r="M8">
        <v>275</v>
      </c>
    </row>
    <row r="9" spans="1:13">
      <c r="A9" t="s">
        <v>365</v>
      </c>
      <c r="B9" s="102" t="s">
        <v>373</v>
      </c>
      <c r="C9" t="s">
        <v>366</v>
      </c>
      <c r="D9" t="s">
        <v>367</v>
      </c>
      <c r="F9">
        <v>1743</v>
      </c>
      <c r="G9">
        <v>13.9</v>
      </c>
      <c r="I9">
        <v>4.6929999999999996</v>
      </c>
      <c r="J9">
        <v>16.98</v>
      </c>
      <c r="K9">
        <v>119.53</v>
      </c>
      <c r="L9">
        <v>16.187000000000001</v>
      </c>
      <c r="M9">
        <v>487</v>
      </c>
    </row>
    <row r="10" spans="1:13">
      <c r="A10" t="s">
        <v>365</v>
      </c>
      <c r="B10" s="102" t="s">
        <v>374</v>
      </c>
      <c r="C10" t="s">
        <v>366</v>
      </c>
      <c r="D10" t="s">
        <v>367</v>
      </c>
      <c r="F10">
        <v>2751</v>
      </c>
      <c r="G10">
        <v>16.7</v>
      </c>
      <c r="I10">
        <v>6.1289999999999996</v>
      </c>
      <c r="J10">
        <v>29.03</v>
      </c>
      <c r="K10">
        <v>266.91000000000003</v>
      </c>
      <c r="L10">
        <v>39.067</v>
      </c>
      <c r="M10">
        <v>730</v>
      </c>
    </row>
    <row r="11" spans="1:13">
      <c r="A11" t="s">
        <v>365</v>
      </c>
      <c r="B11" s="102" t="s">
        <v>375</v>
      </c>
      <c r="C11" t="s">
        <v>366</v>
      </c>
      <c r="D11" t="s">
        <v>367</v>
      </c>
      <c r="F11">
        <v>3546</v>
      </c>
      <c r="G11">
        <v>17.600000000000001</v>
      </c>
      <c r="I11">
        <v>8.8260000000000005</v>
      </c>
      <c r="J11">
        <v>23.23</v>
      </c>
      <c r="K11">
        <v>307.48</v>
      </c>
      <c r="L11">
        <v>61.726999999999997</v>
      </c>
      <c r="M11">
        <v>725</v>
      </c>
    </row>
    <row r="12" spans="1:13">
      <c r="A12" t="s">
        <v>365</v>
      </c>
      <c r="B12" s="102" t="s">
        <v>376</v>
      </c>
      <c r="C12" t="s">
        <v>366</v>
      </c>
      <c r="D12" t="s">
        <v>367</v>
      </c>
      <c r="F12">
        <v>6957</v>
      </c>
      <c r="G12">
        <v>22</v>
      </c>
      <c r="I12">
        <v>13.79</v>
      </c>
      <c r="J12">
        <v>36.29</v>
      </c>
      <c r="K12">
        <v>750.68</v>
      </c>
      <c r="L12">
        <v>187.898</v>
      </c>
      <c r="M12">
        <v>1132</v>
      </c>
    </row>
    <row r="13" spans="1:13">
      <c r="A13" t="s">
        <v>365</v>
      </c>
      <c r="B13" s="102" t="s">
        <v>377</v>
      </c>
      <c r="C13" t="s">
        <v>366</v>
      </c>
      <c r="D13" t="s">
        <v>367</v>
      </c>
      <c r="F13">
        <v>12017</v>
      </c>
      <c r="G13">
        <v>26.3</v>
      </c>
      <c r="I13">
        <v>19.858000000000001</v>
      </c>
      <c r="J13">
        <v>52.26</v>
      </c>
      <c r="K13">
        <v>1556.61</v>
      </c>
      <c r="L13">
        <v>470.45299999999997</v>
      </c>
      <c r="M13">
        <v>1630</v>
      </c>
    </row>
    <row r="14" spans="1:13">
      <c r="A14" t="s">
        <v>365</v>
      </c>
      <c r="B14" s="102" t="s">
        <v>378</v>
      </c>
      <c r="C14" t="s">
        <v>366</v>
      </c>
      <c r="D14" t="s">
        <v>367</v>
      </c>
      <c r="F14">
        <v>28634</v>
      </c>
      <c r="G14">
        <v>34.799999999999997</v>
      </c>
      <c r="I14">
        <v>35.302999999999997</v>
      </c>
      <c r="J14">
        <v>92.9</v>
      </c>
      <c r="K14">
        <v>4919.66</v>
      </c>
      <c r="L14">
        <v>1997.9949999999999</v>
      </c>
      <c r="M14">
        <v>2899</v>
      </c>
    </row>
    <row r="15" spans="1:13">
      <c r="A15" t="s">
        <v>365</v>
      </c>
      <c r="B15" s="102" t="s">
        <v>379</v>
      </c>
      <c r="C15" t="s">
        <v>366</v>
      </c>
      <c r="D15" t="s">
        <v>367</v>
      </c>
      <c r="F15">
        <v>96805</v>
      </c>
      <c r="G15">
        <v>52.2</v>
      </c>
      <c r="I15">
        <v>79.432000000000002</v>
      </c>
      <c r="J15">
        <v>209.03</v>
      </c>
      <c r="K15">
        <v>24905.75</v>
      </c>
      <c r="L15">
        <v>15174.6</v>
      </c>
      <c r="M15">
        <v>6522</v>
      </c>
    </row>
    <row r="16" spans="1:13">
      <c r="A16" t="s">
        <v>328</v>
      </c>
      <c r="B16" s="102" t="s">
        <v>330</v>
      </c>
      <c r="C16" t="s">
        <v>329</v>
      </c>
      <c r="D16" t="s">
        <v>342</v>
      </c>
      <c r="F16">
        <v>47.2</v>
      </c>
      <c r="G16">
        <v>6.7</v>
      </c>
      <c r="H16">
        <v>7.3</v>
      </c>
      <c r="I16">
        <v>0.86199999999999999</v>
      </c>
      <c r="J16">
        <v>1.512</v>
      </c>
      <c r="K16">
        <v>1.3029999999999999</v>
      </c>
      <c r="L16">
        <v>6.7000000000000004E-2</v>
      </c>
      <c r="M16">
        <v>46.2</v>
      </c>
    </row>
    <row r="17" spans="1:13">
      <c r="A17" t="s">
        <v>328</v>
      </c>
      <c r="B17" s="102" t="s">
        <v>331</v>
      </c>
      <c r="C17" t="s">
        <v>329</v>
      </c>
      <c r="D17" t="s">
        <v>342</v>
      </c>
      <c r="F17">
        <v>94.3</v>
      </c>
      <c r="G17">
        <v>8.1999999999999993</v>
      </c>
      <c r="H17">
        <v>8.3000000000000007</v>
      </c>
      <c r="I17">
        <v>1.5229999999999999</v>
      </c>
      <c r="J17">
        <v>1.6379999999999999</v>
      </c>
      <c r="K17">
        <v>2.5099999999999998</v>
      </c>
      <c r="L17">
        <v>0.188</v>
      </c>
      <c r="M17">
        <v>62.1</v>
      </c>
    </row>
    <row r="18" spans="1:13">
      <c r="A18" t="s">
        <v>328</v>
      </c>
      <c r="B18" s="102" t="s">
        <v>332</v>
      </c>
      <c r="C18" t="s">
        <v>329</v>
      </c>
      <c r="D18" t="s">
        <v>342</v>
      </c>
      <c r="F18">
        <v>170</v>
      </c>
      <c r="G18">
        <v>9.5</v>
      </c>
      <c r="H18">
        <v>9.5</v>
      </c>
      <c r="I18">
        <v>2.3940000000000001</v>
      </c>
      <c r="J18">
        <v>1.89</v>
      </c>
      <c r="K18">
        <v>4.5250000000000004</v>
      </c>
      <c r="L18">
        <v>0.45900000000000002</v>
      </c>
      <c r="M18">
        <v>83.2</v>
      </c>
    </row>
    <row r="19" spans="1:13">
      <c r="A19" t="s">
        <v>328</v>
      </c>
      <c r="B19" s="102" t="s">
        <v>333</v>
      </c>
      <c r="C19" t="s">
        <v>329</v>
      </c>
      <c r="D19" t="s">
        <v>342</v>
      </c>
      <c r="F19">
        <v>296</v>
      </c>
      <c r="G19">
        <v>11.2</v>
      </c>
      <c r="H19">
        <v>11.4</v>
      </c>
      <c r="I19">
        <v>3.448</v>
      </c>
      <c r="J19">
        <v>2.7229999999999999</v>
      </c>
      <c r="K19">
        <v>9.3840000000000003</v>
      </c>
      <c r="L19">
        <v>1.153</v>
      </c>
      <c r="M19">
        <v>120</v>
      </c>
    </row>
    <row r="20" spans="1:13">
      <c r="A20" t="s">
        <v>328</v>
      </c>
      <c r="B20" s="102" t="s">
        <v>334</v>
      </c>
      <c r="C20" t="s">
        <v>329</v>
      </c>
      <c r="D20" t="s">
        <v>342</v>
      </c>
      <c r="F20">
        <v>457</v>
      </c>
      <c r="G20">
        <v>13</v>
      </c>
      <c r="H20">
        <v>13.3</v>
      </c>
      <c r="I20">
        <v>4.6929999999999996</v>
      </c>
      <c r="J20">
        <v>3.7050000000000001</v>
      </c>
      <c r="K20">
        <v>17.384</v>
      </c>
      <c r="L20">
        <v>2.5129999999999999</v>
      </c>
      <c r="M20">
        <v>163</v>
      </c>
    </row>
    <row r="21" spans="1:13">
      <c r="A21" t="s">
        <v>328</v>
      </c>
      <c r="B21" s="102" t="s">
        <v>335</v>
      </c>
      <c r="C21" t="s">
        <v>329</v>
      </c>
      <c r="D21" t="s">
        <v>342</v>
      </c>
      <c r="F21">
        <v>676</v>
      </c>
      <c r="G21">
        <v>14.8</v>
      </c>
      <c r="H21">
        <v>15.2</v>
      </c>
      <c r="I21">
        <v>6.1289999999999996</v>
      </c>
      <c r="J21">
        <v>4.8390000000000004</v>
      </c>
      <c r="K21">
        <v>29.655999999999999</v>
      </c>
      <c r="L21">
        <v>4.9269999999999996</v>
      </c>
      <c r="M21">
        <v>212.9</v>
      </c>
    </row>
    <row r="22" spans="1:13">
      <c r="A22" t="s">
        <v>328</v>
      </c>
      <c r="B22" s="102" t="s">
        <v>336</v>
      </c>
      <c r="C22" t="s">
        <v>329</v>
      </c>
      <c r="D22" t="s">
        <v>342</v>
      </c>
      <c r="F22">
        <v>976</v>
      </c>
      <c r="G22">
        <v>16.5</v>
      </c>
      <c r="H22">
        <v>17.2</v>
      </c>
      <c r="I22">
        <v>7.7557</v>
      </c>
      <c r="J22">
        <v>6.1239999999999997</v>
      </c>
      <c r="K22">
        <v>47.503999999999998</v>
      </c>
      <c r="L22">
        <v>8.92</v>
      </c>
      <c r="M22">
        <v>269.39999999999998</v>
      </c>
    </row>
    <row r="23" spans="1:13">
      <c r="A23" t="s">
        <v>328</v>
      </c>
      <c r="B23" s="102" t="s">
        <v>337</v>
      </c>
      <c r="C23" t="s">
        <v>329</v>
      </c>
      <c r="D23" t="s">
        <v>342</v>
      </c>
      <c r="F23">
        <v>1343</v>
      </c>
      <c r="G23">
        <v>18.3</v>
      </c>
      <c r="H23">
        <v>19.100000000000001</v>
      </c>
      <c r="I23">
        <v>9.577</v>
      </c>
      <c r="J23">
        <v>7.56</v>
      </c>
      <c r="K23">
        <v>72.403999999999996</v>
      </c>
      <c r="L23">
        <v>15.162000000000001</v>
      </c>
      <c r="M23">
        <v>333</v>
      </c>
    </row>
    <row r="24" spans="1:13">
      <c r="A24" t="s">
        <v>328</v>
      </c>
      <c r="B24" s="102" t="s">
        <v>338</v>
      </c>
      <c r="C24" t="s">
        <v>329</v>
      </c>
      <c r="D24" t="s">
        <v>342</v>
      </c>
      <c r="F24">
        <v>1786</v>
      </c>
      <c r="G24">
        <v>20.100000000000001</v>
      </c>
      <c r="H24">
        <v>21</v>
      </c>
      <c r="I24">
        <v>11.587999999999999</v>
      </c>
      <c r="J24">
        <v>9.1479999999999997</v>
      </c>
      <c r="K24">
        <v>106.006</v>
      </c>
      <c r="L24">
        <v>24.492000000000001</v>
      </c>
      <c r="M24">
        <v>403</v>
      </c>
    </row>
    <row r="25" spans="1:13">
      <c r="A25" t="s">
        <v>328</v>
      </c>
      <c r="B25" s="102" t="s">
        <v>339</v>
      </c>
      <c r="C25" t="s">
        <v>329</v>
      </c>
      <c r="D25" t="s">
        <v>342</v>
      </c>
      <c r="F25">
        <v>2334</v>
      </c>
      <c r="G25">
        <v>22</v>
      </c>
      <c r="H25">
        <v>22.9</v>
      </c>
      <c r="I25">
        <v>13.79</v>
      </c>
      <c r="J25">
        <v>10.887</v>
      </c>
      <c r="K25">
        <v>150.136</v>
      </c>
      <c r="L25">
        <v>37.579000000000001</v>
      </c>
      <c r="M25">
        <v>479</v>
      </c>
    </row>
    <row r="26" spans="1:13">
      <c r="A26" t="s">
        <v>328</v>
      </c>
      <c r="B26" s="102" t="s">
        <v>340</v>
      </c>
      <c r="C26" t="s">
        <v>329</v>
      </c>
      <c r="D26" t="s">
        <v>342</v>
      </c>
      <c r="F26">
        <v>3711</v>
      </c>
      <c r="G26">
        <v>25.6</v>
      </c>
      <c r="H26">
        <v>26.7</v>
      </c>
      <c r="I26">
        <v>18.77</v>
      </c>
      <c r="J26">
        <v>14.818</v>
      </c>
      <c r="K26">
        <v>278.14499999999998</v>
      </c>
      <c r="L26">
        <v>81.656000000000006</v>
      </c>
      <c r="M26">
        <v>652</v>
      </c>
    </row>
    <row r="27" spans="1:13">
      <c r="A27" t="s">
        <v>328</v>
      </c>
      <c r="B27" s="102" t="s">
        <v>341</v>
      </c>
      <c r="C27" t="s">
        <v>329</v>
      </c>
      <c r="D27" t="s">
        <v>342</v>
      </c>
      <c r="F27">
        <v>7976</v>
      </c>
      <c r="G27">
        <v>32.700000000000003</v>
      </c>
      <c r="H27">
        <v>34.299999999999997</v>
      </c>
      <c r="I27">
        <v>31.027999999999999</v>
      </c>
      <c r="J27">
        <v>24.495999999999999</v>
      </c>
      <c r="K27">
        <v>760.06399999999996</v>
      </c>
      <c r="L27">
        <v>288.935</v>
      </c>
      <c r="M27">
        <v>1078</v>
      </c>
    </row>
    <row r="28" spans="1:13">
      <c r="A28" t="s">
        <v>353</v>
      </c>
      <c r="B28" s="102" t="s">
        <v>354</v>
      </c>
      <c r="C28" t="s">
        <v>344</v>
      </c>
      <c r="D28" t="s">
        <v>342</v>
      </c>
      <c r="F28">
        <v>31.3</v>
      </c>
      <c r="G28">
        <v>4.9000000000000004</v>
      </c>
      <c r="H28">
        <v>10.8</v>
      </c>
      <c r="I28">
        <v>0.38300000000000001</v>
      </c>
      <c r="J28">
        <v>3.629</v>
      </c>
      <c r="K28">
        <v>1.39</v>
      </c>
      <c r="L28">
        <v>4.2999999999999997E-2</v>
      </c>
      <c r="M28">
        <v>55.2</v>
      </c>
    </row>
    <row r="29" spans="1:13">
      <c r="A29" t="s">
        <v>353</v>
      </c>
      <c r="B29" s="102" t="s">
        <v>355</v>
      </c>
      <c r="C29" t="s">
        <v>344</v>
      </c>
      <c r="D29" t="s">
        <v>342</v>
      </c>
      <c r="F29">
        <v>97.9</v>
      </c>
      <c r="G29">
        <v>5.9</v>
      </c>
      <c r="H29">
        <v>12.7</v>
      </c>
      <c r="I29">
        <v>1.01</v>
      </c>
      <c r="J29">
        <v>2.9129999999999998</v>
      </c>
      <c r="K29">
        <v>2.9430000000000001</v>
      </c>
      <c r="L29">
        <v>0.20100000000000001</v>
      </c>
      <c r="M29">
        <v>70.3</v>
      </c>
    </row>
    <row r="30" spans="1:13">
      <c r="A30" t="s">
        <v>353</v>
      </c>
      <c r="B30" s="102" t="s">
        <v>356</v>
      </c>
      <c r="C30" t="s">
        <v>344</v>
      </c>
      <c r="D30" t="s">
        <v>342</v>
      </c>
      <c r="F30">
        <v>127.1</v>
      </c>
      <c r="G30">
        <v>5.9</v>
      </c>
      <c r="H30">
        <v>16.5</v>
      </c>
      <c r="I30">
        <v>1.01</v>
      </c>
      <c r="J30">
        <v>4.577</v>
      </c>
      <c r="K30">
        <v>4.6239999999999997</v>
      </c>
      <c r="L30">
        <v>0.316</v>
      </c>
      <c r="M30">
        <v>92</v>
      </c>
    </row>
    <row r="31" spans="1:13">
      <c r="A31" t="s">
        <v>353</v>
      </c>
      <c r="B31" s="102" t="s">
        <v>357</v>
      </c>
      <c r="C31" t="s">
        <v>344</v>
      </c>
      <c r="D31" t="s">
        <v>342</v>
      </c>
      <c r="F31">
        <v>115.9</v>
      </c>
      <c r="G31">
        <v>7.3</v>
      </c>
      <c r="H31">
        <v>13.3</v>
      </c>
      <c r="I31">
        <v>1.173</v>
      </c>
      <c r="J31">
        <v>4.5359999999999996</v>
      </c>
      <c r="K31">
        <v>5.3220000000000001</v>
      </c>
      <c r="L31">
        <v>0.34</v>
      </c>
      <c r="M31">
        <v>97.3</v>
      </c>
    </row>
    <row r="32" spans="1:13">
      <c r="A32" t="s">
        <v>353</v>
      </c>
      <c r="B32" s="102" t="s">
        <v>358</v>
      </c>
      <c r="C32" t="s">
        <v>344</v>
      </c>
      <c r="D32" t="s">
        <v>342</v>
      </c>
      <c r="F32">
        <v>173.9</v>
      </c>
      <c r="G32">
        <v>7.7</v>
      </c>
      <c r="H32">
        <v>15.2</v>
      </c>
      <c r="I32">
        <v>1.532</v>
      </c>
      <c r="J32">
        <v>4.8390000000000004</v>
      </c>
      <c r="K32">
        <v>7.4139999999999997</v>
      </c>
      <c r="L32">
        <v>0.59199999999999997</v>
      </c>
      <c r="M32">
        <v>109.7</v>
      </c>
    </row>
    <row r="33" spans="1:13">
      <c r="A33" t="s">
        <v>353</v>
      </c>
      <c r="B33" s="102" t="s">
        <v>359</v>
      </c>
      <c r="C33" t="s">
        <v>344</v>
      </c>
      <c r="D33" t="s">
        <v>342</v>
      </c>
      <c r="F33">
        <v>185.2</v>
      </c>
      <c r="G33">
        <v>8.6999999999999993</v>
      </c>
      <c r="H33">
        <v>16.5</v>
      </c>
      <c r="I33">
        <v>1.532</v>
      </c>
      <c r="J33">
        <v>7.258</v>
      </c>
      <c r="K33">
        <v>11.121</v>
      </c>
      <c r="L33">
        <v>0.78500000000000003</v>
      </c>
      <c r="M33">
        <v>141.9</v>
      </c>
    </row>
    <row r="34" spans="1:13">
      <c r="A34" t="s">
        <v>353</v>
      </c>
      <c r="B34" s="102" t="s">
        <v>362</v>
      </c>
      <c r="C34" t="s">
        <v>344</v>
      </c>
      <c r="D34" t="s">
        <v>342</v>
      </c>
      <c r="F34">
        <v>284.10000000000002</v>
      </c>
      <c r="G34">
        <v>8.8000000000000007</v>
      </c>
      <c r="H34">
        <v>19.7</v>
      </c>
      <c r="I34">
        <v>1.9390000000000001</v>
      </c>
      <c r="J34">
        <v>8.5690000000000008</v>
      </c>
      <c r="K34">
        <v>16.617000000000001</v>
      </c>
      <c r="L34">
        <v>1.462</v>
      </c>
      <c r="M34">
        <v>167.6</v>
      </c>
    </row>
    <row r="35" spans="1:13">
      <c r="A35" t="s">
        <v>353</v>
      </c>
      <c r="B35" s="102" t="s">
        <v>360</v>
      </c>
      <c r="C35" t="s">
        <v>344</v>
      </c>
      <c r="D35" t="s">
        <v>342</v>
      </c>
      <c r="F35">
        <v>228</v>
      </c>
      <c r="G35">
        <v>8.8000000000000007</v>
      </c>
      <c r="H35">
        <v>20.2</v>
      </c>
      <c r="I35">
        <v>1.532</v>
      </c>
      <c r="J35">
        <v>11.02</v>
      </c>
      <c r="K35">
        <v>16.885000000000002</v>
      </c>
      <c r="L35">
        <v>1.1759999999999999</v>
      </c>
      <c r="M35">
        <v>180.2</v>
      </c>
    </row>
    <row r="36" spans="1:13">
      <c r="A36" t="s">
        <v>353</v>
      </c>
      <c r="B36" s="102" t="s">
        <v>361</v>
      </c>
      <c r="C36" t="s">
        <v>344</v>
      </c>
      <c r="D36" t="s">
        <v>342</v>
      </c>
      <c r="F36">
        <v>256.5</v>
      </c>
      <c r="G36">
        <v>8.6999999999999993</v>
      </c>
      <c r="H36">
        <v>22.5</v>
      </c>
      <c r="I36">
        <v>1.532</v>
      </c>
      <c r="J36">
        <v>13.004</v>
      </c>
      <c r="K36">
        <v>19.925000000000001</v>
      </c>
      <c r="L36">
        <v>1.407</v>
      </c>
      <c r="M36">
        <v>199.4</v>
      </c>
    </row>
    <row r="37" spans="1:13">
      <c r="A37" t="s">
        <v>353</v>
      </c>
      <c r="B37" s="102" t="s">
        <v>363</v>
      </c>
      <c r="C37" t="s">
        <v>344</v>
      </c>
      <c r="D37" t="s">
        <v>342</v>
      </c>
      <c r="F37">
        <v>302.10000000000002</v>
      </c>
      <c r="G37">
        <v>9.8000000000000007</v>
      </c>
      <c r="H37">
        <v>21</v>
      </c>
      <c r="I37">
        <v>1.9390000000000001</v>
      </c>
      <c r="J37">
        <v>11.996</v>
      </c>
      <c r="K37">
        <v>23.263000000000002</v>
      </c>
      <c r="L37">
        <v>1.839</v>
      </c>
      <c r="M37">
        <v>208.8</v>
      </c>
    </row>
    <row r="38" spans="1:13">
      <c r="A38" t="s">
        <v>353</v>
      </c>
      <c r="B38" s="102" t="s">
        <v>364</v>
      </c>
      <c r="C38" t="s">
        <v>344</v>
      </c>
      <c r="D38" t="s">
        <v>342</v>
      </c>
      <c r="F38">
        <v>409.5</v>
      </c>
      <c r="G38">
        <v>10.199999999999999</v>
      </c>
      <c r="H38">
        <v>23.2</v>
      </c>
      <c r="I38">
        <v>2.3940000000000001</v>
      </c>
      <c r="J38">
        <v>13.105</v>
      </c>
      <c r="K38">
        <v>31.375</v>
      </c>
      <c r="L38">
        <v>2.9460000000000002</v>
      </c>
      <c r="M38">
        <v>235.8</v>
      </c>
    </row>
    <row r="39" spans="1:13">
      <c r="A39" t="s">
        <v>326</v>
      </c>
      <c r="B39" s="3">
        <v>52402</v>
      </c>
      <c r="C39" t="s">
        <v>231</v>
      </c>
      <c r="F39">
        <v>0.5</v>
      </c>
      <c r="G39">
        <v>2.16</v>
      </c>
      <c r="H39">
        <v>3.25</v>
      </c>
      <c r="I39">
        <v>2.1999999999999999E-2</v>
      </c>
      <c r="J39">
        <v>0.41199999999999998</v>
      </c>
      <c r="K39">
        <v>9.0600000000000003E-3</v>
      </c>
      <c r="L39">
        <v>3.8800000000000001E-5</v>
      </c>
      <c r="M39">
        <v>9.8000000000000007</v>
      </c>
    </row>
    <row r="40" spans="1:13">
      <c r="A40" t="s">
        <v>326</v>
      </c>
      <c r="B40" s="3">
        <v>52153</v>
      </c>
      <c r="C40" t="s">
        <v>231</v>
      </c>
      <c r="F40">
        <v>1.1000000000000001</v>
      </c>
      <c r="G40">
        <v>2.2000000000000002</v>
      </c>
      <c r="H40">
        <v>3.49</v>
      </c>
      <c r="I40">
        <v>4.2999999999999997E-2</v>
      </c>
      <c r="J40">
        <v>0.41199999999999998</v>
      </c>
      <c r="K40">
        <v>1.77E-2</v>
      </c>
      <c r="L40">
        <v>1.3999999999999999E-4</v>
      </c>
      <c r="M40">
        <v>11.2</v>
      </c>
    </row>
    <row r="41" spans="1:13">
      <c r="A41" t="s">
        <v>326</v>
      </c>
      <c r="B41" s="3">
        <v>52107</v>
      </c>
      <c r="C41" t="s">
        <v>231</v>
      </c>
      <c r="F41">
        <v>0.7</v>
      </c>
      <c r="G41">
        <v>2.2999999999999998</v>
      </c>
      <c r="H41">
        <v>4.24</v>
      </c>
      <c r="I41">
        <v>2.1999999999999999E-2</v>
      </c>
      <c r="J41">
        <v>0.85099999999999998</v>
      </c>
      <c r="K41">
        <v>1.8720000000000001E-2</v>
      </c>
      <c r="L41">
        <v>7.1699999999999995E-5</v>
      </c>
      <c r="M41">
        <v>15.5</v>
      </c>
    </row>
    <row r="42" spans="1:13">
      <c r="A42" t="s">
        <v>326</v>
      </c>
      <c r="B42" s="3">
        <v>52056</v>
      </c>
      <c r="C42" t="s">
        <v>231</v>
      </c>
      <c r="F42">
        <v>1.5</v>
      </c>
      <c r="G42">
        <v>2.4</v>
      </c>
      <c r="H42">
        <v>4.49</v>
      </c>
      <c r="I42">
        <v>4.2999999999999997E-2</v>
      </c>
      <c r="J42">
        <v>0.85099999999999998</v>
      </c>
      <c r="K42">
        <v>3.6600000000000001E-2</v>
      </c>
      <c r="L42">
        <v>2.5920000000000001E-4</v>
      </c>
      <c r="M42">
        <v>16.8</v>
      </c>
    </row>
    <row r="43" spans="1:13">
      <c r="A43" t="s">
        <v>326</v>
      </c>
      <c r="B43" s="3">
        <v>52155</v>
      </c>
      <c r="C43" t="s">
        <v>231</v>
      </c>
      <c r="F43">
        <v>2.6</v>
      </c>
      <c r="G43">
        <v>2.8</v>
      </c>
      <c r="H43">
        <v>3.99</v>
      </c>
      <c r="I43">
        <v>8.5999999999999993E-2</v>
      </c>
      <c r="J43">
        <v>0.61399999999999999</v>
      </c>
      <c r="K43">
        <v>5.2780000000000001E-2</v>
      </c>
      <c r="L43">
        <v>6.4610000000000004E-4</v>
      </c>
      <c r="M43">
        <v>16</v>
      </c>
    </row>
    <row r="44" spans="1:13">
      <c r="A44" t="s">
        <v>326</v>
      </c>
      <c r="B44" s="3">
        <v>52057</v>
      </c>
      <c r="C44" t="s">
        <v>231</v>
      </c>
      <c r="F44">
        <v>1.8</v>
      </c>
      <c r="G44">
        <v>2.7</v>
      </c>
      <c r="H44">
        <v>5.48</v>
      </c>
      <c r="I44">
        <v>4.2999999999999997E-2</v>
      </c>
      <c r="J44">
        <v>1.4510000000000001</v>
      </c>
      <c r="K44">
        <v>6.2370000000000002E-2</v>
      </c>
      <c r="L44">
        <v>3.9980000000000001E-4</v>
      </c>
      <c r="M44">
        <v>23.7</v>
      </c>
    </row>
    <row r="45" spans="1:13">
      <c r="A45" t="s">
        <v>326</v>
      </c>
      <c r="B45" s="3">
        <v>52000</v>
      </c>
      <c r="C45" t="s">
        <v>231</v>
      </c>
      <c r="F45">
        <v>3.3</v>
      </c>
      <c r="G45">
        <v>2.7</v>
      </c>
      <c r="H45">
        <v>4.99</v>
      </c>
      <c r="I45">
        <v>8.5999999999999993E-2</v>
      </c>
      <c r="J45">
        <v>0.85099999999999998</v>
      </c>
      <c r="K45">
        <v>7.3200000000000001E-2</v>
      </c>
      <c r="L45">
        <v>9.3840000000000004E-4</v>
      </c>
      <c r="M45">
        <v>20.6</v>
      </c>
    </row>
    <row r="46" spans="1:13">
      <c r="A46" t="s">
        <v>326</v>
      </c>
      <c r="B46" s="3">
        <v>52176</v>
      </c>
      <c r="C46" t="s">
        <v>231</v>
      </c>
      <c r="F46">
        <v>6.5</v>
      </c>
      <c r="G46">
        <v>3.2</v>
      </c>
      <c r="H46">
        <v>4.99</v>
      </c>
      <c r="I46">
        <v>0.17100000000000001</v>
      </c>
      <c r="J46">
        <v>0.85099999999999998</v>
      </c>
      <c r="K46">
        <v>0.14554</v>
      </c>
      <c r="L46">
        <v>3.1202999999999999E-3</v>
      </c>
      <c r="M46">
        <v>23.3</v>
      </c>
    </row>
    <row r="47" spans="1:13">
      <c r="A47" t="s">
        <v>326</v>
      </c>
      <c r="B47" s="3">
        <v>52076</v>
      </c>
      <c r="C47" t="s">
        <v>231</v>
      </c>
      <c r="F47">
        <v>9.5</v>
      </c>
      <c r="G47">
        <v>3.5</v>
      </c>
      <c r="H47">
        <v>6.48</v>
      </c>
      <c r="I47">
        <v>0.193</v>
      </c>
      <c r="J47">
        <v>1.3979999999999999</v>
      </c>
      <c r="K47">
        <v>0.26974999999999999</v>
      </c>
      <c r="L47">
        <v>6.0283999999999997E-3</v>
      </c>
      <c r="M47">
        <v>34.6</v>
      </c>
    </row>
    <row r="48" spans="1:13">
      <c r="A48" t="s">
        <v>326</v>
      </c>
      <c r="B48" s="3">
        <v>52007</v>
      </c>
      <c r="C48" t="s">
        <v>231</v>
      </c>
      <c r="F48">
        <v>12.7</v>
      </c>
      <c r="G48">
        <v>3.7</v>
      </c>
      <c r="H48">
        <v>6.48</v>
      </c>
      <c r="I48">
        <v>0.25700000000000001</v>
      </c>
      <c r="J48">
        <v>1.3979999999999999</v>
      </c>
      <c r="K48">
        <v>0.35920000000000002</v>
      </c>
      <c r="L48">
        <v>9.9305000000000001E-3</v>
      </c>
      <c r="M48">
        <v>36.4</v>
      </c>
    </row>
    <row r="49" spans="1:13">
      <c r="A49" t="s">
        <v>326</v>
      </c>
      <c r="B49" s="3">
        <v>52061</v>
      </c>
      <c r="C49" t="s">
        <v>231</v>
      </c>
      <c r="F49">
        <v>9.1</v>
      </c>
      <c r="G49">
        <v>3.7</v>
      </c>
      <c r="H49">
        <v>6.98</v>
      </c>
      <c r="I49">
        <v>0.17100000000000001</v>
      </c>
      <c r="J49">
        <v>2.1749999999999998</v>
      </c>
      <c r="K49">
        <v>0.37186999999999998</v>
      </c>
      <c r="L49">
        <v>6.8596999999999998E-3</v>
      </c>
      <c r="M49">
        <v>40.299999999999997</v>
      </c>
    </row>
    <row r="50" spans="1:13">
      <c r="A50" t="s">
        <v>326</v>
      </c>
      <c r="B50" s="3">
        <v>52004</v>
      </c>
      <c r="C50" t="s">
        <v>231</v>
      </c>
      <c r="F50">
        <v>11.7</v>
      </c>
      <c r="G50">
        <v>4.2</v>
      </c>
      <c r="H50">
        <v>8.9700000000000006</v>
      </c>
      <c r="I50">
        <v>0.17100000000000001</v>
      </c>
      <c r="J50">
        <v>4.1040000000000001</v>
      </c>
      <c r="K50">
        <v>0.70184000000000002</v>
      </c>
      <c r="L50">
        <v>1.1358500000000001E-2</v>
      </c>
      <c r="M50">
        <v>62.2</v>
      </c>
    </row>
    <row r="51" spans="1:13">
      <c r="A51" t="s">
        <v>343</v>
      </c>
      <c r="B51" s="102" t="s">
        <v>345</v>
      </c>
      <c r="C51" t="s">
        <v>344</v>
      </c>
      <c r="D51" t="s">
        <v>342</v>
      </c>
      <c r="F51">
        <v>173</v>
      </c>
      <c r="G51">
        <v>7.68</v>
      </c>
      <c r="H51">
        <v>15.24</v>
      </c>
      <c r="I51">
        <v>1.532</v>
      </c>
      <c r="J51">
        <v>4.8390000000000004</v>
      </c>
      <c r="K51">
        <v>7.4139999999999997</v>
      </c>
      <c r="L51">
        <v>0.59199999999999997</v>
      </c>
      <c r="M51">
        <v>110</v>
      </c>
    </row>
    <row r="52" spans="1:13">
      <c r="A52" t="s">
        <v>343</v>
      </c>
      <c r="B52" s="102" t="s">
        <v>346</v>
      </c>
      <c r="C52" t="s">
        <v>344</v>
      </c>
      <c r="D52" t="s">
        <v>342</v>
      </c>
      <c r="F52">
        <v>300</v>
      </c>
      <c r="G52">
        <v>9.81</v>
      </c>
      <c r="H52">
        <v>18.100000000000001</v>
      </c>
      <c r="I52">
        <v>1.9390000000000001</v>
      </c>
      <c r="J52">
        <v>11.996</v>
      </c>
      <c r="K52">
        <v>23.263000000000002</v>
      </c>
      <c r="L52" s="103">
        <v>1.839</v>
      </c>
      <c r="M52">
        <v>209</v>
      </c>
    </row>
    <row r="53" spans="1:13">
      <c r="A53" t="s">
        <v>343</v>
      </c>
      <c r="B53" s="102" t="s">
        <v>347</v>
      </c>
      <c r="C53" t="s">
        <v>344</v>
      </c>
      <c r="D53" t="s">
        <v>342</v>
      </c>
      <c r="F53">
        <v>585</v>
      </c>
      <c r="G53">
        <v>11.22</v>
      </c>
      <c r="H53">
        <v>22.86</v>
      </c>
      <c r="I53">
        <v>3.448</v>
      </c>
      <c r="J53">
        <v>10.887</v>
      </c>
      <c r="K53">
        <v>37.533999999999999</v>
      </c>
      <c r="L53">
        <v>4.6139999999999999</v>
      </c>
      <c r="M53">
        <v>247</v>
      </c>
    </row>
    <row r="54" spans="1:13">
      <c r="A54" t="s">
        <v>343</v>
      </c>
      <c r="B54" s="102" t="s">
        <v>348</v>
      </c>
      <c r="C54" t="s">
        <v>344</v>
      </c>
      <c r="D54" t="s">
        <v>342</v>
      </c>
      <c r="F54">
        <v>1384</v>
      </c>
      <c r="G54">
        <v>14.76</v>
      </c>
      <c r="H54">
        <v>30.48</v>
      </c>
      <c r="I54">
        <v>6.1289999999999996</v>
      </c>
      <c r="J54">
        <v>19.355</v>
      </c>
      <c r="K54">
        <v>118.626</v>
      </c>
      <c r="L54">
        <v>19.709</v>
      </c>
      <c r="M54">
        <v>439</v>
      </c>
    </row>
    <row r="55" spans="1:13">
      <c r="A55" t="s">
        <v>343</v>
      </c>
      <c r="B55" s="102" t="s">
        <v>349</v>
      </c>
      <c r="C55" t="s">
        <v>344</v>
      </c>
      <c r="D55" t="s">
        <v>342</v>
      </c>
      <c r="F55">
        <v>2725</v>
      </c>
      <c r="G55">
        <v>18.29</v>
      </c>
      <c r="H55">
        <v>38.1</v>
      </c>
      <c r="I55">
        <v>9.577</v>
      </c>
      <c r="J55">
        <v>30.242000000000001</v>
      </c>
      <c r="K55">
        <v>289.61399999999998</v>
      </c>
      <c r="L55">
        <v>60.646999999999998</v>
      </c>
      <c r="M55">
        <v>685</v>
      </c>
    </row>
    <row r="56" spans="1:13">
      <c r="A56" t="s">
        <v>343</v>
      </c>
      <c r="B56" s="102" t="s">
        <v>350</v>
      </c>
      <c r="C56" t="s">
        <v>344</v>
      </c>
      <c r="D56" t="s">
        <v>342</v>
      </c>
      <c r="F56">
        <v>4702</v>
      </c>
      <c r="G56">
        <v>22.04</v>
      </c>
      <c r="H56">
        <v>45.72</v>
      </c>
      <c r="I56">
        <v>13.79</v>
      </c>
      <c r="J56">
        <v>43.548000000000002</v>
      </c>
      <c r="K56">
        <v>600.54399999999998</v>
      </c>
      <c r="L56">
        <v>150.31800000000001</v>
      </c>
      <c r="M56">
        <v>987</v>
      </c>
    </row>
    <row r="57" spans="1:13">
      <c r="A57" t="s">
        <v>343</v>
      </c>
      <c r="B57" s="102" t="s">
        <v>351</v>
      </c>
      <c r="C57" t="s">
        <v>344</v>
      </c>
      <c r="D57" t="s">
        <v>342</v>
      </c>
      <c r="F57">
        <v>7491</v>
      </c>
      <c r="G57">
        <v>26.28</v>
      </c>
      <c r="H57">
        <v>50.29</v>
      </c>
      <c r="I57">
        <v>19.858000000000001</v>
      </c>
      <c r="J57">
        <v>52.258000000000003</v>
      </c>
      <c r="K57">
        <v>1037.74</v>
      </c>
      <c r="L57">
        <v>313.63600000000002</v>
      </c>
      <c r="M57">
        <v>1296</v>
      </c>
    </row>
    <row r="58" spans="1:13">
      <c r="A58" t="s">
        <v>343</v>
      </c>
      <c r="B58" s="102" t="s">
        <v>352</v>
      </c>
      <c r="C58" t="s">
        <v>344</v>
      </c>
      <c r="D58" t="s">
        <v>342</v>
      </c>
      <c r="F58">
        <v>17692</v>
      </c>
      <c r="G58">
        <v>34.770000000000003</v>
      </c>
      <c r="H58">
        <v>67.06</v>
      </c>
      <c r="I58">
        <v>35.302999999999997</v>
      </c>
      <c r="J58">
        <v>92.903000000000006</v>
      </c>
      <c r="K58">
        <v>3279.77</v>
      </c>
      <c r="L58">
        <v>1331.9970000000001</v>
      </c>
      <c r="M58">
        <v>2304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677-D162-484C-A08B-46DF1FF04C8F}">
  <dimension ref="A1:AQ96"/>
  <sheetViews>
    <sheetView zoomScale="86" zoomScaleNormal="100" workbookViewId="0">
      <selection activeCell="F4" sqref="F4"/>
    </sheetView>
    <sheetView topLeftCell="A16" workbookViewId="1">
      <selection activeCell="F51" sqref="F51"/>
    </sheetView>
  </sheetViews>
  <sheetFormatPr defaultRowHeight="14.25"/>
  <cols>
    <col min="1" max="1" width="53.86328125" bestFit="1" customWidth="1"/>
    <col min="2" max="2" width="13.86328125" bestFit="1" customWidth="1"/>
    <col min="3" max="3" width="11.265625" bestFit="1" customWidth="1"/>
    <col min="5" max="5" width="33.265625" bestFit="1" customWidth="1"/>
    <col min="6" max="6" width="12.59765625" bestFit="1" customWidth="1"/>
    <col min="10" max="10" width="27.1328125" bestFit="1" customWidth="1"/>
    <col min="11" max="11" width="12.59765625" bestFit="1" customWidth="1"/>
    <col min="15" max="15" width="27.1328125" bestFit="1" customWidth="1"/>
    <col min="16" max="16" width="12.59765625" bestFit="1" customWidth="1"/>
    <col min="20" max="20" width="34.265625" bestFit="1" customWidth="1"/>
    <col min="21" max="21" width="9.3984375" bestFit="1" customWidth="1"/>
    <col min="25" max="25" width="35.265625" bestFit="1" customWidth="1"/>
    <col min="26" max="26" width="11.59765625" bestFit="1" customWidth="1"/>
    <col min="30" max="30" width="35.265625" bestFit="1" customWidth="1"/>
    <col min="35" max="35" width="35.265625" bestFit="1" customWidth="1"/>
    <col min="40" max="40" width="27" bestFit="1" customWidth="1"/>
    <col min="45" max="45" width="27" bestFit="1" customWidth="1"/>
  </cols>
  <sheetData>
    <row r="1" spans="1:43" ht="30.75">
      <c r="A1" s="89" t="s">
        <v>148</v>
      </c>
      <c r="B1" s="89"/>
      <c r="C1" s="89"/>
      <c r="D1" s="89"/>
      <c r="E1" s="89"/>
      <c r="F1" s="89"/>
      <c r="G1" s="89"/>
      <c r="H1" s="89"/>
      <c r="I1" s="89"/>
      <c r="J1" s="89"/>
      <c r="K1" s="43"/>
      <c r="L1" s="43"/>
      <c r="M1" s="43"/>
      <c r="N1" s="43"/>
      <c r="O1" s="43"/>
      <c r="P1" s="43"/>
      <c r="Q1" s="43"/>
      <c r="R1" s="43"/>
      <c r="S1" s="43"/>
    </row>
    <row r="2" spans="1:43" ht="30.75">
      <c r="A2" s="90"/>
      <c r="B2" s="90"/>
      <c r="C2" s="90"/>
      <c r="D2" s="90"/>
      <c r="E2" s="90"/>
      <c r="F2" s="90"/>
      <c r="G2" s="90"/>
      <c r="H2" s="90"/>
      <c r="I2" s="90"/>
      <c r="J2" s="89"/>
      <c r="K2" s="43"/>
      <c r="L2" s="43"/>
      <c r="M2" s="43"/>
      <c r="N2" s="43"/>
      <c r="O2" s="43"/>
      <c r="P2" s="43"/>
      <c r="Q2" s="43"/>
      <c r="R2" s="43"/>
      <c r="S2" s="43"/>
    </row>
    <row r="3" spans="1:43">
      <c r="A3" s="13" t="s">
        <v>56</v>
      </c>
      <c r="B3" s="16"/>
      <c r="C3" s="16"/>
      <c r="D3" s="55"/>
      <c r="E3" s="19" t="s">
        <v>31</v>
      </c>
      <c r="F3" s="26"/>
      <c r="G3" s="26"/>
      <c r="H3" s="26"/>
      <c r="I3" s="55"/>
      <c r="J3" s="78"/>
      <c r="K3" s="79"/>
      <c r="L3" s="79"/>
      <c r="M3" s="79"/>
      <c r="O3" s="78"/>
      <c r="P3" s="79"/>
      <c r="Q3" s="79"/>
      <c r="R3" s="79"/>
      <c r="T3" s="78"/>
      <c r="U3" s="79"/>
      <c r="V3" s="79"/>
      <c r="W3" s="79"/>
      <c r="Y3" s="78"/>
      <c r="Z3" s="79"/>
      <c r="AA3" s="79"/>
      <c r="AB3" s="79"/>
      <c r="AD3" s="78"/>
      <c r="AE3" s="79"/>
      <c r="AF3" s="79"/>
      <c r="AG3" s="79"/>
      <c r="AI3" s="78"/>
      <c r="AJ3" s="79"/>
      <c r="AK3" s="79"/>
      <c r="AL3" s="79"/>
      <c r="AN3" s="78"/>
      <c r="AO3" s="79"/>
      <c r="AP3" s="79"/>
      <c r="AQ3" s="79"/>
    </row>
    <row r="4" spans="1:43">
      <c r="A4" s="11" t="s">
        <v>3</v>
      </c>
      <c r="B4" s="40" t="s">
        <v>4</v>
      </c>
      <c r="C4" s="12"/>
      <c r="D4" s="55"/>
      <c r="E4" s="24" t="s">
        <v>32</v>
      </c>
      <c r="F4" s="77" t="s">
        <v>220</v>
      </c>
      <c r="G4" s="23" t="str">
        <f>VLOOKUP(F4,Ferrite_Cores[],2,0)</f>
        <v>TDK</v>
      </c>
      <c r="H4" s="23"/>
      <c r="I4" s="55"/>
      <c r="K4" s="1"/>
      <c r="P4" s="1"/>
      <c r="U4" s="1"/>
      <c r="Z4" s="1"/>
      <c r="AE4" s="1"/>
      <c r="AJ4" s="1"/>
      <c r="AO4" s="1"/>
    </row>
    <row r="5" spans="1:43">
      <c r="A5" s="11" t="s">
        <v>0</v>
      </c>
      <c r="B5" s="9">
        <v>170</v>
      </c>
      <c r="C5" s="10" t="s">
        <v>1</v>
      </c>
      <c r="D5" s="55"/>
      <c r="E5" s="24" t="s">
        <v>33</v>
      </c>
      <c r="F5" s="24">
        <f>VLOOKUP(F4,Ferrite_Cores[],9,0)</f>
        <v>59.2</v>
      </c>
      <c r="G5" s="25" t="s">
        <v>39</v>
      </c>
      <c r="H5" s="23"/>
      <c r="I5" s="55"/>
      <c r="J5" s="1"/>
      <c r="K5" s="4"/>
      <c r="L5" s="3"/>
      <c r="O5" s="1"/>
      <c r="P5" s="4"/>
      <c r="Q5" s="3"/>
      <c r="T5" s="1"/>
      <c r="U5" s="4"/>
      <c r="V5" s="3"/>
      <c r="Y5" s="1"/>
      <c r="Z5" s="4"/>
      <c r="AA5" s="3"/>
      <c r="AD5" s="1"/>
      <c r="AE5" s="4"/>
      <c r="AF5" s="3"/>
      <c r="AI5" s="1"/>
      <c r="AJ5" s="4"/>
      <c r="AK5" s="3"/>
      <c r="AN5" s="1"/>
      <c r="AO5" s="4"/>
      <c r="AP5" s="3"/>
    </row>
    <row r="6" spans="1:43">
      <c r="A6" s="11" t="s">
        <v>2</v>
      </c>
      <c r="B6" s="9">
        <v>30</v>
      </c>
      <c r="C6" s="10" t="s">
        <v>1</v>
      </c>
      <c r="D6" s="55"/>
      <c r="E6" s="24" t="s">
        <v>33</v>
      </c>
      <c r="F6" s="24">
        <f>VLOOKUP(F4,Ferrite_Cores[],10,0)</f>
        <v>5.92</v>
      </c>
      <c r="G6" s="25" t="s">
        <v>66</v>
      </c>
      <c r="H6" s="23"/>
      <c r="I6" s="55"/>
      <c r="J6" s="1"/>
      <c r="K6" s="4"/>
      <c r="L6" s="3"/>
      <c r="O6" s="1"/>
      <c r="P6" s="4"/>
      <c r="Q6" s="3"/>
      <c r="T6" s="1"/>
      <c r="U6" s="4"/>
      <c r="V6" s="3"/>
      <c r="Y6" s="1"/>
      <c r="Z6" s="4"/>
      <c r="AA6" s="3"/>
      <c r="AD6" s="1"/>
      <c r="AE6" s="4"/>
      <c r="AF6" s="3"/>
      <c r="AI6" s="1"/>
      <c r="AJ6" s="4"/>
      <c r="AK6" s="3"/>
      <c r="AN6" s="1"/>
      <c r="AO6" s="4"/>
      <c r="AP6" s="3"/>
    </row>
    <row r="7" spans="1:43">
      <c r="A7" s="11" t="s">
        <v>5</v>
      </c>
      <c r="B7" s="9">
        <v>30</v>
      </c>
      <c r="C7" s="10" t="s">
        <v>6</v>
      </c>
      <c r="D7" s="55"/>
      <c r="E7" s="24" t="s">
        <v>34</v>
      </c>
      <c r="F7" s="24">
        <f>VLOOKUP(F4,Ferrite_Cores[],11,0)</f>
        <v>50</v>
      </c>
      <c r="G7" s="25" t="s">
        <v>39</v>
      </c>
      <c r="H7" s="23"/>
      <c r="I7" s="55"/>
      <c r="J7" s="1"/>
      <c r="K7" s="4"/>
      <c r="L7" s="3"/>
      <c r="O7" s="1"/>
      <c r="P7" s="4"/>
      <c r="Q7" s="3"/>
      <c r="T7" s="1"/>
      <c r="U7" s="4"/>
      <c r="V7" s="3"/>
      <c r="Y7" s="1"/>
      <c r="Z7" s="4"/>
      <c r="AA7" s="3"/>
      <c r="AD7" s="1"/>
      <c r="AE7" s="4"/>
      <c r="AF7" s="3"/>
      <c r="AI7" s="1"/>
      <c r="AJ7" s="4"/>
      <c r="AK7" s="3"/>
      <c r="AN7" s="1"/>
      <c r="AO7" s="4"/>
      <c r="AP7" s="3"/>
    </row>
    <row r="8" spans="1:43">
      <c r="A8" s="11" t="s">
        <v>8</v>
      </c>
      <c r="B8" s="9">
        <f>B7*B6</f>
        <v>900</v>
      </c>
      <c r="C8" s="10" t="s">
        <v>9</v>
      </c>
      <c r="D8" s="55"/>
      <c r="E8" s="24" t="s">
        <v>34</v>
      </c>
      <c r="F8" s="24">
        <f>VLOOKUP(F4,Ferrite_Cores[],12,0)</f>
        <v>5</v>
      </c>
      <c r="G8" s="25" t="s">
        <v>66</v>
      </c>
      <c r="H8" s="23"/>
      <c r="I8" s="55"/>
      <c r="J8" s="1"/>
      <c r="K8" s="4"/>
      <c r="L8" s="3"/>
      <c r="O8" s="1"/>
      <c r="P8" s="4"/>
      <c r="Q8" s="3"/>
      <c r="T8" s="1"/>
      <c r="U8" s="4"/>
      <c r="V8" s="3"/>
      <c r="Y8" s="1"/>
      <c r="Z8" s="4"/>
      <c r="AA8" s="3"/>
      <c r="AD8" s="1"/>
      <c r="AE8" s="4"/>
      <c r="AF8" s="3"/>
      <c r="AI8" s="1"/>
      <c r="AJ8" s="4"/>
      <c r="AK8" s="3"/>
      <c r="AN8" s="1"/>
      <c r="AO8" s="4"/>
      <c r="AP8" s="3"/>
    </row>
    <row r="9" spans="1:43">
      <c r="A9" s="11" t="s">
        <v>7</v>
      </c>
      <c r="B9" s="9">
        <v>0.95</v>
      </c>
      <c r="C9" s="10"/>
      <c r="D9" s="55"/>
      <c r="E9" s="24" t="s">
        <v>35</v>
      </c>
      <c r="F9" s="24">
        <f>VLOOKUP(F4,Ferrite_Cores[],13,0)</f>
        <v>13</v>
      </c>
      <c r="G9" s="25" t="s">
        <v>76</v>
      </c>
      <c r="H9" s="23"/>
      <c r="I9" s="55"/>
      <c r="J9" s="1"/>
      <c r="K9" s="4"/>
      <c r="L9" s="3"/>
      <c r="O9" s="1"/>
      <c r="P9" s="4"/>
      <c r="Q9" s="3"/>
      <c r="T9" s="1"/>
      <c r="U9" s="4"/>
      <c r="V9" s="3"/>
      <c r="Y9" s="1"/>
      <c r="Z9" s="4"/>
      <c r="AA9" s="3"/>
      <c r="AD9" s="1"/>
      <c r="AE9" s="4"/>
      <c r="AF9" s="3"/>
      <c r="AI9" s="1"/>
      <c r="AJ9" s="4"/>
      <c r="AK9" s="3"/>
      <c r="AN9" s="1"/>
      <c r="AO9" s="4"/>
      <c r="AP9" s="3"/>
    </row>
    <row r="10" spans="1:43">
      <c r="A10" s="11" t="s">
        <v>10</v>
      </c>
      <c r="B10" s="9">
        <f>B8/B9</f>
        <v>947.36842105263167</v>
      </c>
      <c r="C10" s="10" t="s">
        <v>9</v>
      </c>
      <c r="D10" s="55"/>
      <c r="E10" s="24" t="s">
        <v>36</v>
      </c>
      <c r="F10" s="24">
        <f>VLOOKUP(F4,Ferrite_Cores[],14,0)</f>
        <v>46.400000000000006</v>
      </c>
      <c r="G10" s="25" t="s">
        <v>40</v>
      </c>
      <c r="H10" s="23"/>
      <c r="I10" s="55"/>
      <c r="J10" s="1"/>
      <c r="K10" s="4"/>
      <c r="L10" s="3"/>
      <c r="O10" s="1"/>
      <c r="P10" s="4"/>
      <c r="Q10" s="3"/>
      <c r="T10" s="1"/>
      <c r="U10" s="4"/>
      <c r="V10" s="3"/>
      <c r="Y10" s="1"/>
      <c r="Z10" s="4"/>
      <c r="AA10" s="3"/>
      <c r="AD10" s="1"/>
      <c r="AE10" s="4"/>
      <c r="AF10" s="3"/>
      <c r="AI10" s="1"/>
      <c r="AJ10" s="4"/>
      <c r="AK10" s="3"/>
      <c r="AN10" s="1"/>
      <c r="AO10" s="4"/>
      <c r="AP10" s="3"/>
    </row>
    <row r="11" spans="1:43">
      <c r="A11" s="11" t="s">
        <v>11</v>
      </c>
      <c r="B11" s="9">
        <f>B10/B5</f>
        <v>5.5727554179566567</v>
      </c>
      <c r="C11" s="10" t="s">
        <v>6</v>
      </c>
      <c r="D11" s="55"/>
      <c r="E11" s="24" t="s">
        <v>36</v>
      </c>
      <c r="F11" s="24">
        <f>VLOOKUP(F4,Ferrite_Cores[],15,0)</f>
        <v>0.46400000000000002</v>
      </c>
      <c r="G11" s="25" t="s">
        <v>59</v>
      </c>
      <c r="H11" s="23"/>
      <c r="I11" s="55"/>
      <c r="J11" s="1"/>
      <c r="K11" s="4"/>
      <c r="L11" s="3"/>
      <c r="O11" s="1"/>
      <c r="P11" s="4"/>
      <c r="Q11" s="3"/>
      <c r="T11" s="1"/>
      <c r="U11" s="4"/>
      <c r="V11" s="3"/>
      <c r="Y11" s="1"/>
      <c r="Z11" s="4"/>
      <c r="AA11" s="3"/>
      <c r="AD11" s="1"/>
      <c r="AE11" s="4"/>
      <c r="AF11" s="3"/>
      <c r="AI11" s="1"/>
      <c r="AJ11" s="4"/>
      <c r="AK11" s="3"/>
      <c r="AN11" s="1"/>
      <c r="AO11" s="4"/>
      <c r="AP11" s="3"/>
    </row>
    <row r="12" spans="1:43">
      <c r="A12" s="11" t="s">
        <v>20</v>
      </c>
      <c r="B12" s="9">
        <v>2000000</v>
      </c>
      <c r="C12" s="10" t="s">
        <v>21</v>
      </c>
      <c r="D12" s="55"/>
      <c r="E12" s="24" t="s">
        <v>43</v>
      </c>
      <c r="F12" s="24" t="s">
        <v>306</v>
      </c>
      <c r="G12" s="25" t="s">
        <v>40</v>
      </c>
      <c r="H12" s="23"/>
      <c r="I12" s="55"/>
      <c r="J12" s="1"/>
      <c r="K12" s="4"/>
      <c r="L12" s="3"/>
      <c r="O12" s="1"/>
      <c r="P12" s="4"/>
      <c r="Q12" s="3"/>
      <c r="T12" s="1"/>
      <c r="U12" s="4"/>
      <c r="V12" s="3"/>
      <c r="Y12" s="1"/>
      <c r="Z12" s="4"/>
      <c r="AA12" s="3"/>
      <c r="AD12" s="1"/>
      <c r="AE12" s="4"/>
      <c r="AF12" s="3"/>
      <c r="AI12" s="1"/>
      <c r="AJ12" s="4"/>
      <c r="AK12" s="3"/>
      <c r="AN12" s="1"/>
      <c r="AO12" s="4"/>
      <c r="AP12" s="3"/>
    </row>
    <row r="13" spans="1:43">
      <c r="A13" s="11" t="s">
        <v>22</v>
      </c>
      <c r="B13" s="9">
        <f>B6/B5</f>
        <v>0.17647058823529413</v>
      </c>
      <c r="C13" s="10"/>
      <c r="D13" s="55"/>
      <c r="E13" s="24" t="s">
        <v>43</v>
      </c>
      <c r="F13" s="24" t="s">
        <v>306</v>
      </c>
      <c r="G13" s="25" t="s">
        <v>59</v>
      </c>
      <c r="H13" s="23"/>
      <c r="I13" s="55"/>
      <c r="J13" s="1"/>
      <c r="K13" s="4"/>
      <c r="L13" s="3"/>
      <c r="O13" s="1"/>
      <c r="P13" s="4"/>
      <c r="Q13" s="3"/>
      <c r="T13" s="1"/>
      <c r="U13" s="4"/>
      <c r="V13" s="3"/>
      <c r="Y13" s="1"/>
      <c r="Z13" s="4"/>
      <c r="AA13" s="3"/>
      <c r="AD13" s="1"/>
      <c r="AE13" s="4"/>
      <c r="AF13" s="3"/>
      <c r="AI13" s="1"/>
      <c r="AJ13" s="4"/>
      <c r="AK13" s="3"/>
      <c r="AN13" s="1"/>
      <c r="AO13" s="4"/>
      <c r="AP13" s="3"/>
    </row>
    <row r="14" spans="1:43">
      <c r="A14" s="11" t="s">
        <v>23</v>
      </c>
      <c r="B14" s="9">
        <f>1/B12</f>
        <v>4.9999999999999998E-7</v>
      </c>
      <c r="C14" s="10" t="s">
        <v>24</v>
      </c>
      <c r="D14" s="55"/>
      <c r="E14" s="24" t="s">
        <v>37</v>
      </c>
      <c r="F14" s="24">
        <f>VLOOKUP(F4,Ferrite_Cores[],16,0)</f>
        <v>83.7</v>
      </c>
      <c r="G14" s="25" t="s">
        <v>40</v>
      </c>
      <c r="H14" s="23"/>
      <c r="I14" s="55"/>
      <c r="J14" s="1"/>
      <c r="K14" s="4"/>
      <c r="L14" s="3"/>
      <c r="O14" s="1"/>
      <c r="P14" s="4"/>
      <c r="Q14" s="3"/>
      <c r="T14" s="1"/>
      <c r="U14" s="4"/>
      <c r="V14" s="3"/>
      <c r="Y14" s="1"/>
      <c r="Z14" s="4"/>
      <c r="AA14" s="3"/>
      <c r="AD14" s="1"/>
      <c r="AE14" s="4"/>
      <c r="AF14" s="3"/>
      <c r="AI14" s="1"/>
      <c r="AJ14" s="4"/>
      <c r="AK14" s="3"/>
      <c r="AN14" s="1"/>
      <c r="AO14" s="4"/>
      <c r="AP14" s="3"/>
    </row>
    <row r="15" spans="1:43">
      <c r="A15" s="11"/>
      <c r="B15" s="9"/>
      <c r="C15" s="10"/>
      <c r="D15" s="55"/>
      <c r="E15" s="24" t="s">
        <v>37</v>
      </c>
      <c r="F15" s="24">
        <f>VLOOKUP(F4,Ferrite_Cores[],17,0)</f>
        <v>0.83699999999999997</v>
      </c>
      <c r="G15" s="25" t="s">
        <v>59</v>
      </c>
      <c r="H15" s="23"/>
      <c r="I15" s="55"/>
      <c r="J15" s="1"/>
      <c r="K15" s="4"/>
      <c r="L15" s="3"/>
      <c r="O15" s="1"/>
      <c r="P15" s="4"/>
      <c r="Q15" s="3"/>
      <c r="T15" s="1"/>
      <c r="U15" s="4"/>
      <c r="V15" s="3"/>
      <c r="Y15" s="1"/>
      <c r="Z15" s="4"/>
      <c r="AA15" s="3"/>
      <c r="AD15" s="1"/>
      <c r="AE15" s="4"/>
      <c r="AF15" s="3"/>
      <c r="AI15" s="1"/>
      <c r="AJ15" s="4"/>
      <c r="AK15" s="3"/>
      <c r="AN15" s="1"/>
      <c r="AO15" s="4"/>
      <c r="AP15" s="3"/>
    </row>
    <row r="16" spans="1:43">
      <c r="A16" s="19" t="s">
        <v>12</v>
      </c>
      <c r="B16" s="26"/>
      <c r="C16" s="21"/>
      <c r="D16" s="55"/>
      <c r="E16" s="24" t="s">
        <v>65</v>
      </c>
      <c r="F16" s="24">
        <f>VLOOKUP(F4,Ferrite_Cores[],18,0)</f>
        <v>0</v>
      </c>
      <c r="G16" s="25" t="s">
        <v>40</v>
      </c>
      <c r="H16" s="23"/>
      <c r="I16" s="55"/>
      <c r="J16" s="1"/>
      <c r="K16" s="4"/>
      <c r="L16" s="3"/>
      <c r="O16" s="1"/>
      <c r="P16" s="4"/>
      <c r="Q16" s="3"/>
      <c r="T16" s="1"/>
      <c r="U16" s="4"/>
      <c r="V16" s="3"/>
      <c r="Y16" s="1"/>
      <c r="Z16" s="4"/>
      <c r="AA16" s="3"/>
      <c r="AD16" s="1"/>
      <c r="AE16" s="4"/>
      <c r="AF16" s="3"/>
      <c r="AI16" s="1"/>
      <c r="AJ16" s="4"/>
      <c r="AK16" s="3"/>
      <c r="AN16" s="1"/>
      <c r="AO16" s="4"/>
      <c r="AP16" s="3"/>
    </row>
    <row r="17" spans="1:42">
      <c r="A17" s="11" t="s">
        <v>13</v>
      </c>
      <c r="B17" s="9">
        <f>B7</f>
        <v>30</v>
      </c>
      <c r="C17" s="10" t="s">
        <v>6</v>
      </c>
      <c r="D17" s="55"/>
      <c r="E17" s="24" t="s">
        <v>65</v>
      </c>
      <c r="F17" s="24">
        <f>VLOOKUP(F4,Ferrite_Cores[],19,0)</f>
        <v>0</v>
      </c>
      <c r="G17" s="25" t="s">
        <v>59</v>
      </c>
      <c r="H17" s="23"/>
      <c r="I17" s="55"/>
      <c r="J17" s="1"/>
      <c r="K17" s="4"/>
      <c r="L17" s="3"/>
      <c r="O17" s="1"/>
      <c r="P17" s="4"/>
      <c r="Q17" s="3"/>
      <c r="T17" s="1"/>
      <c r="U17" s="4"/>
      <c r="V17" s="3"/>
      <c r="Y17" s="1"/>
      <c r="Z17" s="4"/>
      <c r="AA17" s="3"/>
      <c r="AD17" s="1"/>
      <c r="AE17" s="4"/>
      <c r="AF17" s="3"/>
      <c r="AI17" s="1"/>
      <c r="AJ17" s="4"/>
      <c r="AK17" s="3"/>
      <c r="AN17" s="1"/>
      <c r="AO17" s="4"/>
      <c r="AP17" s="3"/>
    </row>
    <row r="18" spans="1:42">
      <c r="A18" s="11" t="s">
        <v>15</v>
      </c>
      <c r="B18" s="9">
        <v>30</v>
      </c>
      <c r="C18" s="10" t="s">
        <v>17</v>
      </c>
      <c r="D18" s="55"/>
      <c r="E18" s="45" t="s">
        <v>84</v>
      </c>
      <c r="F18" s="86">
        <f>VLOOKUP(F4,Ferrite_Cores[],8,0)</f>
        <v>0.38836999999999999</v>
      </c>
      <c r="G18" s="46" t="s">
        <v>53</v>
      </c>
      <c r="H18" s="23"/>
      <c r="I18" s="55"/>
      <c r="J18" s="1"/>
      <c r="K18" s="4"/>
      <c r="L18" s="3"/>
      <c r="O18" s="1"/>
      <c r="P18" s="4"/>
      <c r="Q18" s="3"/>
      <c r="T18" s="1"/>
      <c r="U18" s="4"/>
      <c r="V18" s="3"/>
      <c r="Y18" s="1"/>
      <c r="Z18" s="4"/>
      <c r="AA18" s="3"/>
      <c r="AD18" s="1"/>
      <c r="AE18" s="4"/>
      <c r="AF18" s="3"/>
      <c r="AI18" s="1"/>
      <c r="AJ18" s="4"/>
      <c r="AK18" s="3"/>
      <c r="AN18" s="1"/>
      <c r="AO18" s="4"/>
      <c r="AP18" s="3"/>
    </row>
    <row r="19" spans="1:42">
      <c r="A19" s="11" t="s">
        <v>14</v>
      </c>
      <c r="B19" s="9">
        <f>B17*B18/100</f>
        <v>9</v>
      </c>
      <c r="C19" s="10" t="s">
        <v>6</v>
      </c>
      <c r="D19" s="55"/>
      <c r="E19" s="45" t="s">
        <v>84</v>
      </c>
      <c r="F19" s="86">
        <f>VLOOKUP(F4,Ferrite_Cores[],7,0)</f>
        <v>3883.7</v>
      </c>
      <c r="G19" s="46" t="s">
        <v>30</v>
      </c>
      <c r="H19" s="23"/>
      <c r="I19" s="55"/>
      <c r="J19" s="1"/>
      <c r="K19" s="4"/>
      <c r="L19" s="3"/>
      <c r="O19" s="1"/>
      <c r="P19" s="4"/>
      <c r="Q19" s="3"/>
      <c r="T19" s="1"/>
      <c r="U19" s="4"/>
      <c r="V19" s="3"/>
      <c r="Y19" s="1"/>
      <c r="Z19" s="4"/>
      <c r="AA19" s="3"/>
      <c r="AD19" s="1"/>
      <c r="AE19" s="4"/>
      <c r="AF19" s="3"/>
      <c r="AI19" s="1"/>
      <c r="AJ19" s="4"/>
      <c r="AK19" s="3"/>
      <c r="AN19" s="1"/>
      <c r="AO19" s="4"/>
      <c r="AP19" s="3"/>
    </row>
    <row r="20" spans="1:42">
      <c r="A20" s="11" t="s">
        <v>16</v>
      </c>
      <c r="B20" s="9">
        <f>B17+B19</f>
        <v>39</v>
      </c>
      <c r="C20" s="10" t="s">
        <v>6</v>
      </c>
      <c r="D20" s="55"/>
      <c r="E20" s="24" t="s">
        <v>38</v>
      </c>
      <c r="F20" s="24">
        <f>VLOOKUP(F4,Ferrite_Cores[],20,0)</f>
        <v>20.6</v>
      </c>
      <c r="G20" s="25" t="s">
        <v>59</v>
      </c>
      <c r="H20" s="23"/>
      <c r="I20" s="55"/>
      <c r="J20" s="1"/>
      <c r="K20" s="4"/>
      <c r="L20" s="3"/>
      <c r="O20" s="1"/>
      <c r="P20" s="4"/>
      <c r="Q20" s="3"/>
      <c r="T20" s="1"/>
      <c r="U20" s="4"/>
      <c r="V20" s="3"/>
      <c r="Y20" s="1"/>
      <c r="Z20" s="4"/>
      <c r="AA20" s="3"/>
      <c r="AD20" s="1"/>
      <c r="AE20" s="4"/>
      <c r="AF20" s="3"/>
      <c r="AI20" s="1"/>
      <c r="AJ20" s="4"/>
      <c r="AK20" s="3"/>
      <c r="AN20" s="1"/>
      <c r="AO20" s="4"/>
      <c r="AP20" s="3"/>
    </row>
    <row r="21" spans="1:42">
      <c r="A21" s="11" t="s">
        <v>82</v>
      </c>
      <c r="B21" s="41">
        <f>((B5-B6)*B13)/(2*B19*B12)</f>
        <v>6.8627450980392158E-7</v>
      </c>
      <c r="C21" s="10" t="s">
        <v>19</v>
      </c>
      <c r="D21" s="55"/>
      <c r="E21" s="24" t="s">
        <v>74</v>
      </c>
      <c r="F21" s="24" t="s">
        <v>306</v>
      </c>
      <c r="G21" s="25"/>
      <c r="H21" s="23"/>
      <c r="I21" s="55"/>
      <c r="J21" s="1"/>
      <c r="K21" s="4"/>
      <c r="L21" s="3"/>
      <c r="O21" s="1"/>
      <c r="P21" s="4"/>
      <c r="Q21" s="3"/>
      <c r="T21" s="1"/>
      <c r="U21" s="4"/>
      <c r="V21" s="3"/>
      <c r="Y21" s="1"/>
      <c r="Z21" s="4"/>
      <c r="AA21" s="3"/>
      <c r="AD21" s="1"/>
      <c r="AE21" s="4"/>
      <c r="AF21" s="3"/>
      <c r="AI21" s="1"/>
      <c r="AJ21" s="4"/>
      <c r="AK21" s="3"/>
      <c r="AN21" s="1"/>
      <c r="AO21" s="4"/>
      <c r="AP21" s="3"/>
    </row>
    <row r="22" spans="1:42">
      <c r="A22" s="11" t="s">
        <v>83</v>
      </c>
      <c r="B22" s="41">
        <f>ROUND(B21,7)</f>
        <v>6.9999999999999997E-7</v>
      </c>
      <c r="C22" s="10" t="s">
        <v>19</v>
      </c>
      <c r="D22" s="55"/>
      <c r="E22" s="24" t="s">
        <v>75</v>
      </c>
      <c r="F22" s="24">
        <f>VLOOKUP(F4,Ferrite_Cores[],4,0)</f>
        <v>3300</v>
      </c>
      <c r="G22" s="25"/>
      <c r="H22" s="23"/>
      <c r="I22" s="55"/>
      <c r="J22" s="1"/>
      <c r="K22" s="4"/>
      <c r="L22" s="3"/>
      <c r="O22" s="1"/>
      <c r="P22" s="4"/>
      <c r="Q22" s="3"/>
      <c r="T22" s="1"/>
      <c r="U22" s="4"/>
      <c r="V22" s="3"/>
      <c r="Y22" s="1"/>
      <c r="Z22" s="4"/>
      <c r="AA22" s="3"/>
      <c r="AD22" s="1"/>
      <c r="AE22" s="4"/>
      <c r="AF22" s="3"/>
      <c r="AI22" s="1"/>
      <c r="AJ22" s="4"/>
      <c r="AK22" s="3"/>
      <c r="AN22" s="1"/>
      <c r="AO22" s="4"/>
      <c r="AP22" s="3"/>
    </row>
    <row r="23" spans="1:42">
      <c r="A23" s="11" t="s">
        <v>44</v>
      </c>
      <c r="B23" s="9">
        <f>B17*SQRT(1+(1/3)*(B19/B17)^2)</f>
        <v>30.446674695276659</v>
      </c>
      <c r="C23" s="10" t="s">
        <v>45</v>
      </c>
      <c r="D23" s="55"/>
      <c r="E23" s="24" t="s">
        <v>85</v>
      </c>
      <c r="F23" s="24">
        <f>VLOOKUP(F4,Ferrite_Cores[],22,0)</f>
        <v>650</v>
      </c>
      <c r="G23" s="25"/>
      <c r="H23" s="23"/>
      <c r="I23" s="55"/>
      <c r="J23" s="1"/>
      <c r="K23" s="4"/>
      <c r="L23" s="3"/>
      <c r="O23" s="1"/>
      <c r="P23" s="4"/>
      <c r="Q23" s="3"/>
      <c r="T23" s="1"/>
      <c r="U23" s="4"/>
      <c r="V23" s="3"/>
      <c r="Y23" s="1"/>
      <c r="Z23" s="4"/>
      <c r="AA23" s="3"/>
      <c r="AD23" s="1"/>
      <c r="AE23" s="4"/>
      <c r="AF23" s="3"/>
      <c r="AI23" s="1"/>
      <c r="AJ23" s="4"/>
      <c r="AK23" s="3"/>
      <c r="AN23" s="1"/>
      <c r="AO23" s="4"/>
      <c r="AP23" s="3"/>
    </row>
    <row r="24" spans="1:42">
      <c r="A24" s="13" t="s">
        <v>57</v>
      </c>
      <c r="B24" s="14"/>
      <c r="C24" s="15"/>
      <c r="D24" s="55"/>
      <c r="E24" s="24" t="s">
        <v>41</v>
      </c>
      <c r="F24" s="24" t="s">
        <v>306</v>
      </c>
      <c r="G24" s="25" t="s">
        <v>42</v>
      </c>
      <c r="H24" s="23"/>
      <c r="I24" s="55"/>
      <c r="J24" s="1"/>
      <c r="K24" s="4"/>
      <c r="L24" s="3"/>
      <c r="O24" s="1"/>
      <c r="P24" s="4"/>
      <c r="Q24" s="3"/>
      <c r="T24" s="1"/>
      <c r="U24" s="4"/>
      <c r="V24" s="3"/>
      <c r="Y24" s="1"/>
      <c r="Z24" s="4"/>
      <c r="AA24" s="3"/>
      <c r="AD24" s="1"/>
      <c r="AE24" s="4"/>
      <c r="AF24" s="3"/>
      <c r="AI24" s="1"/>
      <c r="AJ24" s="4"/>
      <c r="AK24" s="3"/>
      <c r="AN24" s="1"/>
      <c r="AO24" s="4"/>
      <c r="AP24" s="3"/>
    </row>
    <row r="25" spans="1:42">
      <c r="A25" s="11" t="s">
        <v>177</v>
      </c>
      <c r="B25" s="9">
        <v>0.22</v>
      </c>
      <c r="C25" s="10" t="s">
        <v>26</v>
      </c>
      <c r="D25" s="55"/>
      <c r="E25" s="64" t="s">
        <v>52</v>
      </c>
      <c r="F25" s="87">
        <f>VLOOKUP(F4,Ferrite_Cores[],6,0)</f>
        <v>1.4416220160000002E-2</v>
      </c>
      <c r="G25" s="46" t="s">
        <v>48</v>
      </c>
      <c r="H25" s="23"/>
      <c r="I25" s="55"/>
      <c r="J25" s="1"/>
      <c r="K25" s="4"/>
      <c r="L25" s="3"/>
      <c r="O25" s="1"/>
      <c r="P25" s="4"/>
      <c r="Q25" s="3"/>
      <c r="T25" s="1"/>
      <c r="U25" s="4"/>
      <c r="V25" s="3"/>
      <c r="Y25" s="1"/>
      <c r="Z25" s="4"/>
      <c r="AA25" s="3"/>
      <c r="AD25" s="1"/>
      <c r="AE25" s="4"/>
      <c r="AF25" s="3"/>
      <c r="AI25" s="1"/>
      <c r="AJ25" s="4"/>
      <c r="AK25" s="3"/>
      <c r="AN25" s="1"/>
      <c r="AO25" s="4"/>
      <c r="AP25" s="3"/>
    </row>
    <row r="26" spans="1:42">
      <c r="A26" s="61" t="s">
        <v>172</v>
      </c>
      <c r="B26" s="58">
        <f>(0.4*PI()*F55*F53*(B19)*(10^-4))/(F52+(F6/F22))</f>
        <v>3.1781136087313616E-2</v>
      </c>
      <c r="C26" s="69" t="s">
        <v>26</v>
      </c>
      <c r="D26" s="55"/>
      <c r="E26" s="24" t="s">
        <v>166</v>
      </c>
      <c r="F26" s="24">
        <f>VLOOKUP(F4,Ferrite_Cores[],21,0)</f>
        <v>1.8</v>
      </c>
      <c r="G26" s="25" t="s">
        <v>66</v>
      </c>
      <c r="H26" s="23"/>
      <c r="I26" s="55"/>
      <c r="J26" s="1"/>
      <c r="K26" s="4"/>
      <c r="L26" s="3"/>
      <c r="O26" s="1"/>
      <c r="P26" s="4"/>
      <c r="Q26" s="3"/>
      <c r="T26" s="1"/>
      <c r="U26" s="4"/>
      <c r="V26" s="3"/>
      <c r="Y26" s="1"/>
      <c r="Z26" s="4"/>
      <c r="AA26" s="3"/>
      <c r="AD26" s="1"/>
      <c r="AE26" s="4"/>
      <c r="AF26" s="3"/>
      <c r="AI26" s="1"/>
      <c r="AJ26" s="4"/>
      <c r="AK26" s="3"/>
      <c r="AN26" s="1"/>
      <c r="AO26" s="4"/>
      <c r="AP26" s="3"/>
    </row>
    <row r="27" spans="1:42">
      <c r="A27" s="11" t="s">
        <v>157</v>
      </c>
      <c r="B27" s="9">
        <f>8*10^6</f>
        <v>8000000</v>
      </c>
      <c r="C27" s="10" t="s">
        <v>27</v>
      </c>
      <c r="D27" s="55"/>
      <c r="E27" s="24" t="s">
        <v>179</v>
      </c>
      <c r="F27" s="24">
        <f>VLOOKUP(F4,Ferrite_Cores[],5,0)</f>
        <v>0.38</v>
      </c>
      <c r="G27" s="25" t="s">
        <v>26</v>
      </c>
      <c r="H27" s="23"/>
      <c r="I27" s="55"/>
      <c r="J27" s="1"/>
      <c r="K27" s="1"/>
      <c r="L27" s="3"/>
      <c r="O27" s="1"/>
      <c r="P27" s="1"/>
      <c r="Q27" s="3"/>
      <c r="T27" s="1"/>
      <c r="U27" s="1"/>
      <c r="V27" s="3"/>
      <c r="Y27" s="1"/>
      <c r="Z27" s="1"/>
      <c r="AA27" s="3"/>
      <c r="AD27" s="1"/>
      <c r="AE27" s="1"/>
      <c r="AF27" s="3"/>
      <c r="AI27" s="1"/>
      <c r="AJ27" s="1"/>
      <c r="AK27" s="3"/>
      <c r="AN27" s="1"/>
      <c r="AO27" s="1"/>
      <c r="AP27" s="3"/>
    </row>
    <row r="28" spans="1:42">
      <c r="A28" s="11" t="s">
        <v>158</v>
      </c>
      <c r="B28" s="9">
        <f>B27/10000</f>
        <v>800</v>
      </c>
      <c r="C28" s="10" t="s">
        <v>58</v>
      </c>
      <c r="D28" s="55"/>
      <c r="E28" s="55"/>
      <c r="F28" s="55"/>
      <c r="G28" s="55"/>
      <c r="H28" s="55"/>
      <c r="I28" s="55"/>
    </row>
    <row r="29" spans="1:42">
      <c r="A29" s="11" t="s">
        <v>158</v>
      </c>
      <c r="B29" s="9">
        <f>B27/1000000</f>
        <v>8</v>
      </c>
      <c r="C29" s="10" t="s">
        <v>28</v>
      </c>
      <c r="D29" s="55"/>
      <c r="E29" s="55"/>
      <c r="F29" s="55"/>
      <c r="G29" s="55"/>
      <c r="H29" s="55"/>
      <c r="I29" s="55"/>
    </row>
    <row r="30" spans="1:42">
      <c r="A30" s="11" t="s">
        <v>18</v>
      </c>
      <c r="B30" s="44">
        <f>(B22*(B20^2))/2</f>
        <v>5.3235000000000001E-4</v>
      </c>
      <c r="C30" s="10" t="s">
        <v>9</v>
      </c>
      <c r="D30" s="55"/>
      <c r="E30" s="63" t="s">
        <v>143</v>
      </c>
      <c r="F30" s="66"/>
      <c r="G30" s="67"/>
      <c r="H30" s="55"/>
      <c r="I30" s="55"/>
      <c r="J30" s="55"/>
    </row>
    <row r="31" spans="1:42">
      <c r="A31" s="11" t="s">
        <v>147</v>
      </c>
      <c r="B31" s="9">
        <v>0.4</v>
      </c>
      <c r="C31" s="12"/>
      <c r="D31" s="55"/>
      <c r="E31" s="71" t="s">
        <v>307</v>
      </c>
      <c r="F31" s="71">
        <v>44</v>
      </c>
      <c r="G31" s="71" t="s">
        <v>308</v>
      </c>
      <c r="H31" s="82"/>
      <c r="I31" s="55"/>
      <c r="J31" s="55"/>
    </row>
    <row r="32" spans="1:42">
      <c r="A32" s="11" t="s">
        <v>25</v>
      </c>
      <c r="B32" s="9">
        <f>2*B30/(B31*B25*B27)</f>
        <v>1.5123579545454544E-9</v>
      </c>
      <c r="C32" s="10" t="s">
        <v>29</v>
      </c>
      <c r="D32" s="55"/>
      <c r="E32" s="6" t="s">
        <v>67</v>
      </c>
      <c r="F32" s="80">
        <f>B23/B36</f>
        <v>9.7732939280887055E-2</v>
      </c>
      <c r="G32" s="8" t="s">
        <v>59</v>
      </c>
      <c r="H32" s="83"/>
      <c r="I32" s="55"/>
      <c r="J32" s="55"/>
      <c r="K32" s="56" t="s">
        <v>149</v>
      </c>
      <c r="L32" s="91" t="s">
        <v>150</v>
      </c>
      <c r="M32" s="91"/>
      <c r="N32" s="91"/>
      <c r="O32" s="91"/>
    </row>
    <row r="33" spans="1:15">
      <c r="A33" s="11" t="s">
        <v>25</v>
      </c>
      <c r="B33" s="9">
        <f>B32*100000000</f>
        <v>0.15123579545454544</v>
      </c>
      <c r="C33" s="10" t="s">
        <v>53</v>
      </c>
      <c r="D33" s="55"/>
      <c r="E33" s="6" t="s">
        <v>67</v>
      </c>
      <c r="F33" s="80">
        <f>F32*100</f>
        <v>9.7732939280887052</v>
      </c>
      <c r="G33" s="8" t="s">
        <v>40</v>
      </c>
      <c r="H33" s="92" t="s">
        <v>310</v>
      </c>
      <c r="I33" s="93"/>
      <c r="J33" s="93"/>
      <c r="K33" s="56" t="s">
        <v>151</v>
      </c>
      <c r="L33" s="91" t="s">
        <v>152</v>
      </c>
      <c r="M33" s="91"/>
      <c r="N33" s="91"/>
      <c r="O33" s="91"/>
    </row>
    <row r="34" spans="1:15">
      <c r="A34" s="11" t="s">
        <v>25</v>
      </c>
      <c r="B34" s="9">
        <f>B32*10^12</f>
        <v>1512.3579545454543</v>
      </c>
      <c r="C34" s="10" t="s">
        <v>30</v>
      </c>
      <c r="D34" s="55"/>
      <c r="E34" s="6" t="s">
        <v>117</v>
      </c>
      <c r="F34" s="80">
        <f>SQRT(F32/PI())*2</f>
        <v>0.35275691788486008</v>
      </c>
      <c r="G34" s="8" t="s">
        <v>66</v>
      </c>
      <c r="H34" s="84"/>
      <c r="I34" s="28"/>
      <c r="J34" s="28"/>
      <c r="K34" s="56" t="s">
        <v>153</v>
      </c>
      <c r="L34" s="91" t="s">
        <v>154</v>
      </c>
      <c r="M34" s="91"/>
      <c r="N34" s="91"/>
      <c r="O34" s="91"/>
    </row>
    <row r="35" spans="1:15">
      <c r="A35" s="11" t="s">
        <v>159</v>
      </c>
      <c r="B35" s="9">
        <f>B36*10000</f>
        <v>3115293.0546550034</v>
      </c>
      <c r="C35" s="10" t="s">
        <v>27</v>
      </c>
      <c r="D35" s="55"/>
      <c r="E35" s="6" t="s">
        <v>117</v>
      </c>
      <c r="F35" s="80">
        <f>F34*100</f>
        <v>35.275691788486007</v>
      </c>
      <c r="G35" s="8" t="s">
        <v>39</v>
      </c>
      <c r="H35" s="84"/>
      <c r="I35" s="28"/>
      <c r="J35" s="28"/>
      <c r="K35" s="56" t="s">
        <v>155</v>
      </c>
      <c r="L35" s="91" t="s">
        <v>156</v>
      </c>
      <c r="M35" s="91"/>
      <c r="N35" s="91"/>
      <c r="O35" s="91"/>
    </row>
    <row r="36" spans="1:15">
      <c r="A36" s="11" t="s">
        <v>160</v>
      </c>
      <c r="B36" s="9">
        <f>(2*B30*(10^4))/(B25*F18*B31)</f>
        <v>311.52930546550033</v>
      </c>
      <c r="C36" s="10" t="s">
        <v>58</v>
      </c>
      <c r="D36" s="55"/>
      <c r="E36" s="6" t="s">
        <v>118</v>
      </c>
      <c r="F36" s="22">
        <f>VLOOKUP(F31,Wire_Gauge[],4,0)</f>
        <v>2.0268299163899908E-3</v>
      </c>
      <c r="G36" s="8" t="s">
        <v>40</v>
      </c>
      <c r="H36" s="55"/>
      <c r="I36" s="55"/>
      <c r="J36" s="55"/>
    </row>
    <row r="37" spans="1:15">
      <c r="A37" s="11" t="s">
        <v>160</v>
      </c>
      <c r="B37" s="9">
        <f>B36/100</f>
        <v>3.1152930546550035</v>
      </c>
      <c r="C37" s="10" t="s">
        <v>28</v>
      </c>
      <c r="D37" s="55"/>
      <c r="E37" s="6" t="s">
        <v>68</v>
      </c>
      <c r="F37" s="7">
        <f>F33/F36</f>
        <v>4821.9605646516347</v>
      </c>
      <c r="G37" s="8" t="s">
        <v>69</v>
      </c>
      <c r="H37" s="83"/>
      <c r="I37" s="55"/>
      <c r="J37" s="55"/>
    </row>
    <row r="38" spans="1:15">
      <c r="A38" s="61" t="s">
        <v>178</v>
      </c>
      <c r="B38" s="58">
        <f>(0.4*PI()*F55*F53*(B17+B19)*10^-4)/(F52+(F6/F22))</f>
        <v>0.13771825637835902</v>
      </c>
      <c r="C38" s="69" t="s">
        <v>26</v>
      </c>
      <c r="D38" s="55"/>
      <c r="E38" s="6" t="s">
        <v>119</v>
      </c>
      <c r="F38" s="22">
        <f>ROUNDUP(F37,0)</f>
        <v>4822</v>
      </c>
      <c r="G38" s="8" t="s">
        <v>69</v>
      </c>
      <c r="H38" s="83"/>
      <c r="I38" s="55"/>
      <c r="J38" s="55"/>
    </row>
    <row r="39" spans="1:15">
      <c r="A39" s="19" t="s">
        <v>174</v>
      </c>
      <c r="B39" s="20"/>
      <c r="C39" s="21"/>
      <c r="D39" s="55"/>
      <c r="E39" s="6" t="s">
        <v>120</v>
      </c>
      <c r="F39" s="7">
        <f>VLOOKUP(F31,Wire_Gauge[],3,0)</f>
        <v>5.0799999999999998E-2</v>
      </c>
      <c r="G39" s="8" t="s">
        <v>39</v>
      </c>
      <c r="H39" s="83"/>
      <c r="I39" s="55"/>
      <c r="J39" s="55"/>
    </row>
    <row r="40" spans="1:15" ht="14.65" thickBot="1">
      <c r="A40" s="18" t="s">
        <v>47</v>
      </c>
      <c r="B40" s="50">
        <f>0.145*B8*B25^2*(10^-4)</f>
        <v>6.3162000000000005E-4</v>
      </c>
      <c r="C40" s="17"/>
      <c r="D40" s="55"/>
      <c r="E40" s="6" t="s">
        <v>120</v>
      </c>
      <c r="F40" s="85">
        <f>F39*0.1</f>
        <v>5.0800000000000003E-3</v>
      </c>
      <c r="G40" s="8" t="s">
        <v>66</v>
      </c>
      <c r="H40" s="94" t="s">
        <v>311</v>
      </c>
      <c r="I40" s="95"/>
      <c r="J40" s="95"/>
    </row>
    <row r="41" spans="1:15">
      <c r="A41" s="48" t="s">
        <v>49</v>
      </c>
      <c r="B41" s="73">
        <f>B30^2/(B40)</f>
        <v>4.4868199629524079E-4</v>
      </c>
      <c r="C41" s="49" t="s">
        <v>48</v>
      </c>
      <c r="D41" s="55"/>
      <c r="E41" s="6" t="s">
        <v>121</v>
      </c>
      <c r="F41" s="7">
        <f>(F36/0.87)*F38</f>
        <v>11.233763053830501</v>
      </c>
      <c r="G41" s="8" t="s">
        <v>40</v>
      </c>
      <c r="H41" s="92" t="s">
        <v>122</v>
      </c>
      <c r="I41" s="93"/>
      <c r="J41" s="93"/>
    </row>
    <row r="42" spans="1:15" ht="14.65" thickBot="1">
      <c r="A42" s="48" t="s">
        <v>50</v>
      </c>
      <c r="B42" s="47">
        <f>B41*100000</f>
        <v>44.868199629524078</v>
      </c>
      <c r="C42" s="49" t="s">
        <v>51</v>
      </c>
      <c r="D42" s="55"/>
      <c r="E42" s="6" t="s">
        <v>121</v>
      </c>
      <c r="F42" s="7">
        <f>0.01*F41</f>
        <v>0.11233763053830501</v>
      </c>
      <c r="G42" s="8" t="s">
        <v>59</v>
      </c>
      <c r="H42" s="83"/>
      <c r="I42" s="55"/>
      <c r="J42" s="55"/>
    </row>
    <row r="43" spans="1:15">
      <c r="A43" s="65"/>
      <c r="B43" s="66"/>
      <c r="C43" s="67"/>
      <c r="D43" s="55"/>
      <c r="E43" s="6" t="s">
        <v>73</v>
      </c>
      <c r="F43" s="7">
        <f>VLOOKUP(F31,Wire_Gauge[],7,0)</f>
        <v>8706</v>
      </c>
      <c r="G43" s="8" t="s">
        <v>72</v>
      </c>
      <c r="H43" s="83"/>
      <c r="I43" s="55"/>
      <c r="J43" s="55"/>
    </row>
    <row r="44" spans="1:15" ht="14.65" thickBot="1">
      <c r="A44" s="19" t="s">
        <v>175</v>
      </c>
      <c r="B44" s="54"/>
      <c r="C44" s="21"/>
      <c r="D44" s="55"/>
      <c r="E44" s="6" t="s">
        <v>70</v>
      </c>
      <c r="F44" s="7">
        <f>F43*10</f>
        <v>87060</v>
      </c>
      <c r="G44" s="8" t="s">
        <v>71</v>
      </c>
      <c r="H44" s="83"/>
      <c r="I44" s="55"/>
      <c r="J44" s="55"/>
    </row>
    <row r="45" spans="1:15">
      <c r="A45" s="52" t="s">
        <v>54</v>
      </c>
      <c r="B45" s="51">
        <f>(2*B30*10^4)/(B25*B28*B31)</f>
        <v>0.15123579545454544</v>
      </c>
      <c r="C45" s="53" t="s">
        <v>53</v>
      </c>
      <c r="D45" s="55"/>
      <c r="E45" s="6" t="s">
        <v>161</v>
      </c>
      <c r="F45" s="22">
        <v>100</v>
      </c>
      <c r="G45" s="57" t="s">
        <v>69</v>
      </c>
      <c r="H45" s="83"/>
      <c r="I45" s="55"/>
      <c r="J45" s="55"/>
    </row>
    <row r="46" spans="1:15" ht="14.65" thickBot="1">
      <c r="A46" s="52" t="s">
        <v>55</v>
      </c>
      <c r="B46" s="47">
        <f>B45*10000</f>
        <v>1512.3579545454543</v>
      </c>
      <c r="C46" s="53" t="s">
        <v>30</v>
      </c>
      <c r="D46" s="55"/>
      <c r="E46" s="6" t="s">
        <v>162</v>
      </c>
      <c r="F46" s="22">
        <f>F38/F45</f>
        <v>48.22</v>
      </c>
      <c r="G46" s="8" t="s">
        <v>309</v>
      </c>
      <c r="H46" s="83"/>
      <c r="I46" s="65"/>
      <c r="J46" s="55"/>
    </row>
    <row r="47" spans="1:15">
      <c r="A47" s="27" t="s">
        <v>138</v>
      </c>
      <c r="B47" s="27"/>
      <c r="C47" s="27"/>
      <c r="D47" s="55"/>
      <c r="E47" s="62" t="s">
        <v>165</v>
      </c>
      <c r="F47" s="28"/>
      <c r="G47" s="28"/>
      <c r="H47" s="28"/>
      <c r="I47" s="55"/>
      <c r="J47" s="55"/>
    </row>
    <row r="48" spans="1:15">
      <c r="A48" s="5" t="s">
        <v>123</v>
      </c>
      <c r="B48" s="7">
        <f>(6.62/SQRT(B12))*1</f>
        <v>4.6810468914549449E-3</v>
      </c>
      <c r="C48" s="8" t="s">
        <v>66</v>
      </c>
      <c r="D48" s="55"/>
      <c r="E48" s="6" t="s">
        <v>163</v>
      </c>
      <c r="F48" s="59">
        <f>(0.6*F15)/(F42)</f>
        <v>4.4704521325003315</v>
      </c>
      <c r="G48" s="8" t="s">
        <v>46</v>
      </c>
      <c r="H48" s="5"/>
      <c r="I48" s="55"/>
    </row>
    <row r="49" spans="1:9">
      <c r="A49" s="5" t="s">
        <v>124</v>
      </c>
      <c r="B49" s="7">
        <f>10*B48</f>
        <v>4.6810468914549451E-2</v>
      </c>
      <c r="C49" s="8" t="s">
        <v>39</v>
      </c>
      <c r="D49" s="55"/>
      <c r="E49" s="6" t="s">
        <v>164</v>
      </c>
      <c r="F49" s="68">
        <f>ROUNDDOWN(F48,0)</f>
        <v>4</v>
      </c>
      <c r="G49" s="57" t="s">
        <v>46</v>
      </c>
      <c r="H49" s="5"/>
      <c r="I49" s="55"/>
    </row>
    <row r="50" spans="1:9">
      <c r="A50" s="5" t="s">
        <v>125</v>
      </c>
      <c r="B50" s="22">
        <f>2*B48</f>
        <v>9.3620937829098898E-3</v>
      </c>
      <c r="C50" s="8" t="s">
        <v>66</v>
      </c>
      <c r="D50" s="55"/>
      <c r="E50" s="6" t="s">
        <v>173</v>
      </c>
      <c r="F50" s="70">
        <v>8</v>
      </c>
      <c r="G50" s="8" t="s">
        <v>46</v>
      </c>
      <c r="H50" s="5"/>
      <c r="I50" s="55"/>
    </row>
    <row r="51" spans="1:9">
      <c r="A51" s="5" t="s">
        <v>126</v>
      </c>
      <c r="B51" s="22">
        <f>10*B50</f>
        <v>9.3620937829098902E-2</v>
      </c>
      <c r="C51" s="8" t="s">
        <v>39</v>
      </c>
      <c r="D51" s="55"/>
      <c r="E51" s="6" t="s">
        <v>168</v>
      </c>
      <c r="F51" s="60">
        <f>((0.4*PI()*(F50^2)*F11*10^-8)/B22)-(F6/F22)</f>
        <v>0.5313074059832178</v>
      </c>
      <c r="G51" s="57" t="s">
        <v>66</v>
      </c>
      <c r="H51" s="5"/>
      <c r="I51" s="55"/>
    </row>
    <row r="52" spans="1:9">
      <c r="A52" s="5" t="s">
        <v>127</v>
      </c>
      <c r="B52" s="36">
        <f>PI()*B48^2</f>
        <v>6.8839206543990281E-5</v>
      </c>
      <c r="C52" s="8" t="s">
        <v>59</v>
      </c>
      <c r="D52" s="55"/>
      <c r="E52" s="6" t="s">
        <v>167</v>
      </c>
      <c r="F52" s="60">
        <f>ROUND(F51,2)</f>
        <v>0.53</v>
      </c>
      <c r="G52" s="57" t="s">
        <v>66</v>
      </c>
      <c r="H52" s="5"/>
      <c r="I52" s="55"/>
    </row>
    <row r="53" spans="1:9">
      <c r="A53" s="5" t="s">
        <v>128</v>
      </c>
      <c r="B53" s="36">
        <f>100*B52</f>
        <v>6.883920654399028E-3</v>
      </c>
      <c r="C53" s="8" t="s">
        <v>40</v>
      </c>
      <c r="D53" s="55"/>
      <c r="E53" s="6" t="s">
        <v>169</v>
      </c>
      <c r="F53" s="59">
        <f>1+(F52/SQRT(F11))*LN(2*F26/F52)</f>
        <v>2.4906297864578413</v>
      </c>
      <c r="G53" s="57"/>
      <c r="H53" s="5"/>
      <c r="I53" s="55"/>
    </row>
    <row r="54" spans="1:9">
      <c r="A54" s="27" t="s">
        <v>136</v>
      </c>
      <c r="B54" s="27"/>
      <c r="C54" s="27"/>
      <c r="D54" s="55"/>
      <c r="E54" s="6" t="s">
        <v>170</v>
      </c>
      <c r="F54" s="59">
        <f>SQRT((F52*B22)/(0.4*PI()*F11*F53*(10^-8)))</f>
        <v>5.0543864427987248</v>
      </c>
      <c r="G54" s="57" t="s">
        <v>46</v>
      </c>
      <c r="H54" s="5"/>
      <c r="I54" s="55"/>
    </row>
    <row r="55" spans="1:9">
      <c r="A55" s="5" t="s">
        <v>141</v>
      </c>
      <c r="B55" s="7">
        <f>F34</f>
        <v>0.35275691788486008</v>
      </c>
      <c r="C55" s="8" t="s">
        <v>66</v>
      </c>
      <c r="D55" s="55"/>
      <c r="E55" s="6" t="s">
        <v>171</v>
      </c>
      <c r="F55" s="68">
        <f>ROUNDUP(F54,0)</f>
        <v>6</v>
      </c>
      <c r="G55" s="57" t="s">
        <v>46</v>
      </c>
      <c r="H55" s="5"/>
      <c r="I55" s="55"/>
    </row>
    <row r="56" spans="1:9">
      <c r="A56" s="5" t="s">
        <v>139</v>
      </c>
      <c r="B56" s="7">
        <f>B55-B50</f>
        <v>0.34339482410195021</v>
      </c>
      <c r="C56" s="8" t="s">
        <v>39</v>
      </c>
      <c r="D56" s="55"/>
      <c r="E56" s="55"/>
      <c r="F56" s="55"/>
      <c r="G56" s="55"/>
      <c r="H56" s="55"/>
      <c r="I56" s="55"/>
    </row>
    <row r="57" spans="1:9">
      <c r="A57" s="5" t="s">
        <v>140</v>
      </c>
      <c r="B57" s="5">
        <f>PI()*B56^2/4</f>
        <v>9.2614155527612832E-2</v>
      </c>
      <c r="C57" s="8" t="s">
        <v>59</v>
      </c>
      <c r="D57" s="55"/>
      <c r="E57" s="55"/>
      <c r="F57" s="55"/>
      <c r="G57" s="55"/>
      <c r="H57" s="55"/>
      <c r="I57" s="55"/>
    </row>
    <row r="58" spans="1:9">
      <c r="A58" s="5" t="s">
        <v>144</v>
      </c>
      <c r="B58" s="36">
        <f>100*B57</f>
        <v>9.2614155527612834</v>
      </c>
      <c r="C58" s="8" t="s">
        <v>40</v>
      </c>
      <c r="D58" s="1" t="s">
        <v>145</v>
      </c>
      <c r="E58" s="71" t="s">
        <v>176</v>
      </c>
      <c r="F58" s="72">
        <f>F53*((0.4*PI()*F55^2*F11*(10^-8))/(F52+(F6/F22)))</f>
        <v>9.8309647630090134E-7</v>
      </c>
      <c r="G58" s="72"/>
      <c r="H58" s="72"/>
      <c r="I58" s="55"/>
    </row>
    <row r="59" spans="1:9">
      <c r="A59" s="5" t="s">
        <v>142</v>
      </c>
      <c r="B59" s="5">
        <f>(B20*SQRT(1/3))/B57</f>
        <v>243.1233148984669</v>
      </c>
      <c r="C59" s="8" t="s">
        <v>58</v>
      </c>
      <c r="D59" s="55"/>
      <c r="E59" s="55"/>
      <c r="F59" s="55"/>
      <c r="G59" s="55"/>
      <c r="H59" s="55"/>
      <c r="I59" s="55"/>
    </row>
    <row r="60" spans="1:9">
      <c r="A60" s="5" t="s">
        <v>146</v>
      </c>
      <c r="B60" s="5">
        <f>(0.866*B58)/B49</f>
        <v>171.33743913850017</v>
      </c>
      <c r="C60" s="8"/>
      <c r="D60" s="55"/>
      <c r="E60" s="55"/>
      <c r="F60" s="55"/>
      <c r="G60" s="55"/>
      <c r="H60" s="55"/>
      <c r="I60" s="55"/>
    </row>
    <row r="61" spans="1:9">
      <c r="A61" s="27" t="s">
        <v>60</v>
      </c>
      <c r="B61" s="28"/>
      <c r="C61" s="28"/>
      <c r="E61" s="2" t="s">
        <v>77</v>
      </c>
    </row>
    <row r="62" spans="1:9">
      <c r="A62" t="s">
        <v>61</v>
      </c>
      <c r="E62" s="4" t="s">
        <v>78</v>
      </c>
    </row>
    <row r="63" spans="1:9">
      <c r="A63" t="s">
        <v>62</v>
      </c>
      <c r="B63">
        <v>0.6</v>
      </c>
      <c r="E63" s="4" t="s">
        <v>79</v>
      </c>
    </row>
    <row r="64" spans="1:9">
      <c r="A64" t="s">
        <v>63</v>
      </c>
      <c r="B64">
        <v>0.75</v>
      </c>
      <c r="E64" s="4" t="s">
        <v>80</v>
      </c>
    </row>
    <row r="65" spans="1:19">
      <c r="A65" t="s">
        <v>64</v>
      </c>
      <c r="E65" s="4" t="s">
        <v>81</v>
      </c>
    </row>
    <row r="66" spans="1:19">
      <c r="E66" s="4" t="s">
        <v>137</v>
      </c>
    </row>
    <row r="69" spans="1:19">
      <c r="J69" s="42"/>
      <c r="K69" s="42"/>
      <c r="L69" s="42"/>
      <c r="M69" s="42"/>
      <c r="N69" s="42"/>
      <c r="O69" s="42"/>
      <c r="P69" s="42"/>
      <c r="Q69" s="42"/>
      <c r="R69" s="42"/>
      <c r="S69" s="42"/>
    </row>
    <row r="72" spans="1:19">
      <c r="A72" s="88" t="s">
        <v>87</v>
      </c>
      <c r="B72" s="88"/>
      <c r="C72" s="88"/>
      <c r="D72" s="88"/>
      <c r="E72" s="88"/>
      <c r="F72" s="88"/>
      <c r="G72" s="88"/>
      <c r="H72" s="88"/>
      <c r="I72" s="88"/>
    </row>
    <row r="73" spans="1:19">
      <c r="A73" s="3" t="s">
        <v>89</v>
      </c>
      <c r="B73" s="3" t="str">
        <f>F4</f>
        <v>EPC-25</v>
      </c>
      <c r="E73" s="1" t="s">
        <v>116</v>
      </c>
    </row>
    <row r="74" spans="1:19">
      <c r="A74" s="3" t="s">
        <v>88</v>
      </c>
      <c r="B74" s="4">
        <f>F11</f>
        <v>0.46400000000000002</v>
      </c>
      <c r="C74" s="1" t="s">
        <v>59</v>
      </c>
      <c r="E74">
        <v>0</v>
      </c>
    </row>
    <row r="75" spans="1:19">
      <c r="A75" s="3" t="s">
        <v>91</v>
      </c>
      <c r="B75" s="4">
        <v>20</v>
      </c>
    </row>
    <row r="76" spans="1:19">
      <c r="A76" s="3" t="s">
        <v>90</v>
      </c>
      <c r="B76" s="4">
        <v>0.2</v>
      </c>
      <c r="C76" s="1" t="s">
        <v>66</v>
      </c>
    </row>
    <row r="77" spans="1:19">
      <c r="A77" s="3" t="s">
        <v>100</v>
      </c>
      <c r="B77" s="4">
        <v>2.95</v>
      </c>
      <c r="C77" s="1" t="s">
        <v>66</v>
      </c>
    </row>
    <row r="78" spans="1:19">
      <c r="A78" s="3" t="s">
        <v>101</v>
      </c>
      <c r="B78" s="4">
        <f>(1+(B76/SQRT(B74))*LN(2*B77/B76))</f>
        <v>1.9936911966826654</v>
      </c>
      <c r="C78" s="1"/>
    </row>
    <row r="79" spans="1:19">
      <c r="A79" s="3" t="s">
        <v>92</v>
      </c>
      <c r="B79" s="4">
        <f>(0.4*PI()*B75^2*B74*(10^-8))/B76</f>
        <v>1.1661591930125311E-5</v>
      </c>
      <c r="C79" s="1" t="s">
        <v>19</v>
      </c>
    </row>
    <row r="80" spans="1:19">
      <c r="A80" s="3" t="s">
        <v>93</v>
      </c>
      <c r="B80" s="4">
        <f>(0.4*PI()*B75^2*B74*(10^-8))/(B76+(F6/B84))</f>
        <v>9.414305985257414E-6</v>
      </c>
      <c r="C80" s="1" t="s">
        <v>19</v>
      </c>
    </row>
    <row r="81" spans="1:3">
      <c r="A81" s="3" t="s">
        <v>102</v>
      </c>
      <c r="B81" s="30">
        <f>B79*B78</f>
        <v>2.3249613170396446E-5</v>
      </c>
      <c r="C81" s="1" t="s">
        <v>19</v>
      </c>
    </row>
    <row r="82" spans="1:3">
      <c r="A82" s="3" t="s">
        <v>103</v>
      </c>
      <c r="B82" s="30">
        <f>B78*B80</f>
        <v>1.8769218965684634E-5</v>
      </c>
      <c r="C82" s="1" t="s">
        <v>19</v>
      </c>
    </row>
    <row r="83" spans="1:3">
      <c r="A83" s="3" t="s">
        <v>94</v>
      </c>
      <c r="B83" s="4">
        <f>F22/(1+F22*(B76/F6))</f>
        <v>29.336857280153769</v>
      </c>
    </row>
    <row r="84" spans="1:3">
      <c r="A84" s="3" t="s">
        <v>95</v>
      </c>
      <c r="B84" s="4">
        <v>124</v>
      </c>
    </row>
    <row r="85" spans="1:3">
      <c r="A85" s="3" t="s">
        <v>97</v>
      </c>
      <c r="B85" s="4">
        <f>(B84*(0.4*PI()*B75*B7)/F6)/10000</f>
        <v>1.5792871177505445</v>
      </c>
      <c r="C85" s="1" t="s">
        <v>26</v>
      </c>
    </row>
    <row r="86" spans="1:3">
      <c r="A86" s="3" t="s">
        <v>96</v>
      </c>
      <c r="B86" s="29">
        <f>(0.4*PI()*B75*B7)/(B76+(F6/F22))/10000</f>
        <v>0.37363968369220263</v>
      </c>
      <c r="C86" s="1" t="s">
        <v>26</v>
      </c>
    </row>
    <row r="87" spans="1:3">
      <c r="A87" s="3" t="s">
        <v>98</v>
      </c>
      <c r="B87" s="4">
        <f>(0.4*PI()*B75*B7*(10^-4)/(B25*10000))</f>
        <v>3.42719198573432E-5</v>
      </c>
      <c r="C87" s="1" t="s">
        <v>99</v>
      </c>
    </row>
    <row r="88" spans="1:3">
      <c r="A88" s="3" t="s">
        <v>110</v>
      </c>
      <c r="B88" s="29">
        <f>(0.4*PI()*B75*(B7+B19)*(10^-4))/(B76+(F6/F22))</f>
        <v>0.4857315887998635</v>
      </c>
      <c r="C88" s="1" t="s">
        <v>26</v>
      </c>
    </row>
    <row r="89" spans="1:3">
      <c r="A89" s="3" t="s">
        <v>104</v>
      </c>
      <c r="B89">
        <f>(B75/F6)*(B7+B19)</f>
        <v>131.75675675675677</v>
      </c>
      <c r="C89" s="1" t="s">
        <v>105</v>
      </c>
    </row>
    <row r="90" spans="1:3">
      <c r="A90" s="3" t="s">
        <v>106</v>
      </c>
      <c r="B90">
        <f>B89*B84/10000</f>
        <v>1.6337837837837841</v>
      </c>
      <c r="C90" s="1" t="s">
        <v>26</v>
      </c>
    </row>
    <row r="91" spans="1:3">
      <c r="A91" s="3" t="s">
        <v>107</v>
      </c>
      <c r="B91">
        <f>(B75/F6)*(B7-B19)</f>
        <v>70.945945945945951</v>
      </c>
      <c r="C91" s="1" t="s">
        <v>105</v>
      </c>
    </row>
    <row r="92" spans="1:3">
      <c r="A92" s="3" t="s">
        <v>108</v>
      </c>
      <c r="B92">
        <f>B91*B84/10000</f>
        <v>0.87972972972972985</v>
      </c>
      <c r="C92" s="1" t="s">
        <v>26</v>
      </c>
    </row>
    <row r="93" spans="1:3">
      <c r="A93" s="3" t="s">
        <v>109</v>
      </c>
      <c r="B93">
        <f>(B90-B92)/2</f>
        <v>0.37702702702702712</v>
      </c>
      <c r="C93" s="1" t="s">
        <v>26</v>
      </c>
    </row>
    <row r="94" spans="1:3">
      <c r="A94" s="3" t="s">
        <v>111</v>
      </c>
      <c r="B94" s="31">
        <v>80</v>
      </c>
      <c r="C94" s="1" t="s">
        <v>113</v>
      </c>
    </row>
    <row r="95" spans="1:3">
      <c r="A95" s="3" t="s">
        <v>115</v>
      </c>
      <c r="B95">
        <f>B94*F6*B74</f>
        <v>219.75040000000001</v>
      </c>
      <c r="C95" s="1" t="s">
        <v>112</v>
      </c>
    </row>
    <row r="96" spans="1:3">
      <c r="A96" s="3" t="s">
        <v>114</v>
      </c>
      <c r="B96">
        <f>B95/1000</f>
        <v>0.21975040000000001</v>
      </c>
      <c r="C96" s="1" t="s">
        <v>9</v>
      </c>
    </row>
  </sheetData>
  <mergeCells count="9">
    <mergeCell ref="A72:I72"/>
    <mergeCell ref="A1:J2"/>
    <mergeCell ref="L32:O32"/>
    <mergeCell ref="L33:O33"/>
    <mergeCell ref="L34:O34"/>
    <mergeCell ref="L35:O35"/>
    <mergeCell ref="H33:J33"/>
    <mergeCell ref="H41:J41"/>
    <mergeCell ref="H40:J40"/>
  </mergeCells>
  <conditionalFormatting sqref="B36">
    <cfRule type="cellIs" dxfId="7" priority="2" operator="greaterThan">
      <formula>800</formula>
    </cfRule>
  </conditionalFormatting>
  <conditionalFormatting sqref="B38">
    <cfRule type="cellIs" dxfId="6" priority="1" operator="greaterThan">
      <formula>$F$27</formula>
    </cfRule>
  </conditionalFormatting>
  <conditionalFormatting sqref="F18">
    <cfRule type="cellIs" dxfId="5" priority="5" operator="lessThan">
      <formula>$B$45</formula>
    </cfRule>
  </conditionalFormatting>
  <conditionalFormatting sqref="F19">
    <cfRule type="cellIs" dxfId="4" priority="4" operator="lessThan">
      <formula>$B$46</formula>
    </cfRule>
  </conditionalFormatting>
  <conditionalFormatting sqref="F25">
    <cfRule type="cellIs" dxfId="3" priority="3" operator="lessThan">
      <formula>$B$41</formula>
    </cfRule>
  </conditionalFormatting>
  <conditionalFormatting sqref="F40">
    <cfRule type="cellIs" dxfId="2" priority="6" operator="greaterThan">
      <formula>$B$50</formula>
    </cfRule>
  </conditionalFormatting>
  <dataValidations count="2">
    <dataValidation type="list" allowBlank="1" showInputMessage="1" showErrorMessage="1" sqref="F4" xr:uid="{819539C7-15D5-4473-AD8E-2E2856804600}">
      <formula1>Ferrite_Core_ddown</formula1>
    </dataValidation>
    <dataValidation type="list" allowBlank="1" showInputMessage="1" showErrorMessage="1" sqref="F31" xr:uid="{396DD54F-359D-497A-8559-A94E0BEE365B}">
      <formula1>AWG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0B51-818B-4449-9713-11ABF587102C}">
  <dimension ref="A1:G51"/>
  <sheetViews>
    <sheetView topLeftCell="A16" workbookViewId="0">
      <selection activeCell="D39" sqref="D39"/>
    </sheetView>
    <sheetView workbookViewId="1">
      <selection activeCell="B18" sqref="B18"/>
    </sheetView>
  </sheetViews>
  <sheetFormatPr defaultRowHeight="14.25"/>
  <cols>
    <col min="1" max="1" width="12.6640625" bestFit="1" customWidth="1"/>
    <col min="2" max="2" width="27" customWidth="1"/>
    <col min="3" max="3" width="24.59765625" customWidth="1"/>
    <col min="4" max="4" width="34.265625" customWidth="1"/>
    <col min="5" max="5" width="33.265625" customWidth="1"/>
    <col min="6" max="6" width="12.6640625" customWidth="1"/>
    <col min="7" max="7" width="13" customWidth="1"/>
  </cols>
  <sheetData>
    <row r="1" spans="1:7">
      <c r="A1" s="34" t="s">
        <v>129</v>
      </c>
      <c r="B1" s="34" t="s">
        <v>130</v>
      </c>
      <c r="C1" s="34" t="s">
        <v>131</v>
      </c>
      <c r="D1" s="34" t="s">
        <v>132</v>
      </c>
      <c r="E1" s="34" t="s">
        <v>135</v>
      </c>
      <c r="F1" s="34" t="s">
        <v>133</v>
      </c>
      <c r="G1" s="34" t="s">
        <v>134</v>
      </c>
    </row>
    <row r="2" spans="1:7">
      <c r="A2" s="35">
        <v>1</v>
      </c>
      <c r="B2" s="38">
        <v>0.28929700000000003</v>
      </c>
      <c r="C2" s="33">
        <v>7.3481437999999999</v>
      </c>
      <c r="D2" s="37">
        <f>PI()*(C2/2)^2</f>
        <v>42.407744503968885</v>
      </c>
      <c r="E2" s="37">
        <f>0.01*D2</f>
        <v>0.42407744503968886</v>
      </c>
      <c r="F2" s="81">
        <v>0.1239</v>
      </c>
      <c r="G2" s="81">
        <v>0.40639199999999998</v>
      </c>
    </row>
    <row r="3" spans="1:7">
      <c r="A3" s="35">
        <v>2</v>
      </c>
      <c r="B3" s="38">
        <v>0.25762699999999999</v>
      </c>
      <c r="C3" s="33">
        <v>6.5437257999999998</v>
      </c>
      <c r="D3" s="37">
        <f t="shared" ref="D3:D51" si="0">PI()*(C3/2)^2</f>
        <v>33.631022161263758</v>
      </c>
      <c r="E3" s="37">
        <f t="shared" ref="E3:E51" si="1">0.01*D3</f>
        <v>0.33631022161263757</v>
      </c>
      <c r="F3" s="81">
        <v>0.15629999999999999</v>
      </c>
      <c r="G3" s="81">
        <v>0.51266400000000001</v>
      </c>
    </row>
    <row r="4" spans="1:7">
      <c r="A4" s="35">
        <v>3</v>
      </c>
      <c r="B4" s="38">
        <v>0.22942299999999999</v>
      </c>
      <c r="C4" s="33">
        <v>5.8273441999999998</v>
      </c>
      <c r="D4" s="37">
        <f t="shared" si="0"/>
        <v>26.670504042769874</v>
      </c>
      <c r="E4" s="37">
        <f t="shared" si="1"/>
        <v>0.26670504042769877</v>
      </c>
      <c r="F4" s="81">
        <v>0.19700000000000001</v>
      </c>
      <c r="G4" s="81">
        <v>0.64615999999999996</v>
      </c>
    </row>
    <row r="5" spans="1:7">
      <c r="A5" s="35">
        <v>4</v>
      </c>
      <c r="B5" s="38">
        <v>0.20430000000000001</v>
      </c>
      <c r="C5" s="33">
        <v>5.1892199999999997</v>
      </c>
      <c r="D5" s="37">
        <f t="shared" si="0"/>
        <v>21.149205049236116</v>
      </c>
      <c r="E5" s="37">
        <f t="shared" si="1"/>
        <v>0.21149205049236117</v>
      </c>
      <c r="F5" s="81">
        <v>0.2485</v>
      </c>
      <c r="G5" s="81">
        <v>0.81508000000000003</v>
      </c>
    </row>
    <row r="6" spans="1:7">
      <c r="A6" s="35">
        <v>5</v>
      </c>
      <c r="B6" s="38">
        <v>0.18190000000000001</v>
      </c>
      <c r="C6" s="33">
        <v>4.62026</v>
      </c>
      <c r="D6" s="37">
        <f t="shared" si="0"/>
        <v>16.765739452461158</v>
      </c>
      <c r="E6" s="37">
        <f t="shared" si="1"/>
        <v>0.16765739452461159</v>
      </c>
      <c r="F6" s="81">
        <v>0.31330000000000002</v>
      </c>
      <c r="G6" s="81">
        <v>1.0276240000000001</v>
      </c>
    </row>
    <row r="7" spans="1:7">
      <c r="A7" s="35">
        <v>6</v>
      </c>
      <c r="B7" s="38">
        <v>0.16200000000000001</v>
      </c>
      <c r="C7" s="33">
        <v>4.1147999999999998</v>
      </c>
      <c r="D7" s="37">
        <f t="shared" si="0"/>
        <v>13.298031081434729</v>
      </c>
      <c r="E7" s="37">
        <f t="shared" si="1"/>
        <v>0.1329803108143473</v>
      </c>
      <c r="F7" s="81">
        <v>0.39510000000000001</v>
      </c>
      <c r="G7" s="81">
        <v>1.295928</v>
      </c>
    </row>
    <row r="8" spans="1:7">
      <c r="A8" s="35">
        <v>7</v>
      </c>
      <c r="B8" s="38">
        <v>0.14430000000000001</v>
      </c>
      <c r="C8" s="33">
        <v>3.6652200000000001</v>
      </c>
      <c r="D8" s="37">
        <f t="shared" si="0"/>
        <v>10.550911416432855</v>
      </c>
      <c r="E8" s="37">
        <f t="shared" si="1"/>
        <v>0.10550911416432855</v>
      </c>
      <c r="F8" s="81">
        <v>0.49819999999999998</v>
      </c>
      <c r="G8" s="81">
        <v>1.634096</v>
      </c>
    </row>
    <row r="9" spans="1:7">
      <c r="A9" s="35">
        <v>8</v>
      </c>
      <c r="B9" s="38">
        <v>0.1285</v>
      </c>
      <c r="C9" s="33">
        <v>3.2639</v>
      </c>
      <c r="D9" s="37">
        <f t="shared" si="0"/>
        <v>8.3668805717276573</v>
      </c>
      <c r="E9" s="37">
        <f t="shared" si="1"/>
        <v>8.366880571727657E-2</v>
      </c>
      <c r="F9" s="81">
        <v>0.62819999999999998</v>
      </c>
      <c r="G9" s="81">
        <v>2.0604960000000001</v>
      </c>
    </row>
    <row r="10" spans="1:7">
      <c r="A10" s="35">
        <v>9</v>
      </c>
      <c r="B10" s="38">
        <v>0.1144</v>
      </c>
      <c r="C10" s="33">
        <v>2.9057599999999999</v>
      </c>
      <c r="D10" s="37">
        <f t="shared" si="0"/>
        <v>6.6314631936414266</v>
      </c>
      <c r="E10" s="37">
        <f t="shared" si="1"/>
        <v>6.6314631936414264E-2</v>
      </c>
      <c r="F10" s="81">
        <v>0.79210000000000003</v>
      </c>
      <c r="G10" s="81">
        <v>2.5980880000000002</v>
      </c>
    </row>
    <row r="11" spans="1:7">
      <c r="A11" s="35">
        <v>10</v>
      </c>
      <c r="B11" s="38">
        <v>0.1019</v>
      </c>
      <c r="C11" s="33">
        <v>2.58826</v>
      </c>
      <c r="D11" s="37">
        <f t="shared" si="0"/>
        <v>5.2614528470315687</v>
      </c>
      <c r="E11" s="37">
        <f t="shared" si="1"/>
        <v>5.261452847031569E-2</v>
      </c>
      <c r="F11" s="81">
        <v>0.99890000000000001</v>
      </c>
      <c r="G11" s="81">
        <v>3.276392</v>
      </c>
    </row>
    <row r="12" spans="1:7">
      <c r="A12" s="35">
        <v>11</v>
      </c>
      <c r="B12" s="38">
        <v>9.0700000000000003E-2</v>
      </c>
      <c r="C12" s="33">
        <v>2.3037800000000002</v>
      </c>
      <c r="D12" s="37">
        <f t="shared" si="0"/>
        <v>4.1684240097207743</v>
      </c>
      <c r="E12" s="37">
        <f t="shared" si="1"/>
        <v>4.1684240097207746E-2</v>
      </c>
      <c r="F12" s="81">
        <v>1.26</v>
      </c>
      <c r="G12" s="81">
        <v>4.1327999999999996</v>
      </c>
    </row>
    <row r="13" spans="1:7">
      <c r="A13" s="35">
        <v>12</v>
      </c>
      <c r="B13" s="38">
        <v>8.0799999999999997E-2</v>
      </c>
      <c r="C13" s="33">
        <v>2.0523199999999999</v>
      </c>
      <c r="D13" s="37">
        <f t="shared" si="0"/>
        <v>3.3081107163350878</v>
      </c>
      <c r="E13" s="37">
        <f t="shared" si="1"/>
        <v>3.308110716335088E-2</v>
      </c>
      <c r="F13" s="81">
        <v>1.5880000000000001</v>
      </c>
      <c r="G13" s="81">
        <v>5.2086399999999999</v>
      </c>
    </row>
    <row r="14" spans="1:7">
      <c r="A14" s="35">
        <v>13</v>
      </c>
      <c r="B14" s="38">
        <v>7.1999999999999995E-2</v>
      </c>
      <c r="C14" s="33">
        <v>1.8287999999999998</v>
      </c>
      <c r="D14" s="37">
        <f t="shared" si="0"/>
        <v>2.6267715716414277</v>
      </c>
      <c r="E14" s="37">
        <f t="shared" si="1"/>
        <v>2.6267715716414279E-2</v>
      </c>
      <c r="F14" s="81">
        <v>2.0030000000000001</v>
      </c>
      <c r="G14" s="81">
        <v>6.5698400000000001</v>
      </c>
    </row>
    <row r="15" spans="1:7">
      <c r="A15" s="35">
        <v>14</v>
      </c>
      <c r="B15" s="38">
        <v>6.4100000000000004E-2</v>
      </c>
      <c r="C15" s="33">
        <v>1.6281399999999999</v>
      </c>
      <c r="D15" s="37">
        <f t="shared" si="0"/>
        <v>2.0819647571905895</v>
      </c>
      <c r="E15" s="37">
        <f t="shared" si="1"/>
        <v>2.0819647571905894E-2</v>
      </c>
      <c r="F15" s="81">
        <v>2.5249999999999999</v>
      </c>
      <c r="G15" s="81">
        <v>8.282</v>
      </c>
    </row>
    <row r="16" spans="1:7">
      <c r="A16" s="35">
        <v>15</v>
      </c>
      <c r="B16" s="38">
        <v>5.7099999999999998E-2</v>
      </c>
      <c r="C16" s="33">
        <v>1.45034</v>
      </c>
      <c r="D16" s="37">
        <f t="shared" si="0"/>
        <v>1.6520741319242727</v>
      </c>
      <c r="E16" s="37">
        <f t="shared" si="1"/>
        <v>1.6520741319242728E-2</v>
      </c>
      <c r="F16" s="81">
        <v>3.1840000000000002</v>
      </c>
      <c r="G16" s="81">
        <v>10.443519999999999</v>
      </c>
    </row>
    <row r="17" spans="1:7">
      <c r="A17" s="35">
        <v>16</v>
      </c>
      <c r="B17" s="38">
        <v>5.0799999999999998E-2</v>
      </c>
      <c r="C17" s="33">
        <v>1.2903199999999999</v>
      </c>
      <c r="D17" s="37">
        <f t="shared" si="0"/>
        <v>1.3076295888581664</v>
      </c>
      <c r="E17" s="37">
        <f t="shared" si="1"/>
        <v>1.3076295888581665E-2</v>
      </c>
      <c r="F17" s="81">
        <v>4.016</v>
      </c>
      <c r="G17" s="81">
        <v>13.17248</v>
      </c>
    </row>
    <row r="18" spans="1:7">
      <c r="A18" s="35">
        <v>17</v>
      </c>
      <c r="B18" s="38">
        <v>4.53E-2</v>
      </c>
      <c r="C18" s="33">
        <v>1.15062</v>
      </c>
      <c r="D18" s="37">
        <f t="shared" si="0"/>
        <v>1.0398093507811841</v>
      </c>
      <c r="E18" s="37">
        <f t="shared" si="1"/>
        <v>1.0398093507811842E-2</v>
      </c>
      <c r="F18" s="81">
        <v>5.0640000000000001</v>
      </c>
      <c r="G18" s="81">
        <v>16.609919999999999</v>
      </c>
    </row>
    <row r="19" spans="1:7">
      <c r="A19" s="35">
        <v>18</v>
      </c>
      <c r="B19" s="38">
        <v>4.0300000000000002E-2</v>
      </c>
      <c r="C19" s="33">
        <v>1.02362</v>
      </c>
      <c r="D19" s="37">
        <f t="shared" si="0"/>
        <v>0.82293854972745495</v>
      </c>
      <c r="E19" s="37">
        <f t="shared" si="1"/>
        <v>8.2293854972745502E-3</v>
      </c>
      <c r="F19" s="81">
        <v>6.3849999999999998</v>
      </c>
      <c r="G19" s="81">
        <v>20.942799999999998</v>
      </c>
    </row>
    <row r="20" spans="1:7">
      <c r="A20" s="35">
        <v>19</v>
      </c>
      <c r="B20" s="38">
        <v>3.5900000000000001E-2</v>
      </c>
      <c r="C20" s="33">
        <v>0.91186</v>
      </c>
      <c r="D20" s="37">
        <f t="shared" si="0"/>
        <v>0.65304966613564597</v>
      </c>
      <c r="E20" s="37">
        <f t="shared" si="1"/>
        <v>6.5304966613564594E-3</v>
      </c>
      <c r="F20" s="81">
        <v>8.0510000000000002</v>
      </c>
      <c r="G20" s="81">
        <v>26.40728</v>
      </c>
    </row>
    <row r="21" spans="1:7">
      <c r="A21" s="35">
        <v>20</v>
      </c>
      <c r="B21" s="38">
        <v>3.2000000000000001E-2</v>
      </c>
      <c r="C21" s="33">
        <v>0.81279999999999997</v>
      </c>
      <c r="D21" s="37">
        <f t="shared" si="0"/>
        <v>0.51886845859583763</v>
      </c>
      <c r="E21" s="37">
        <f t="shared" si="1"/>
        <v>5.1886845859583763E-3</v>
      </c>
      <c r="F21" s="81">
        <v>10.15</v>
      </c>
      <c r="G21" s="81">
        <v>33.292000000000002</v>
      </c>
    </row>
    <row r="22" spans="1:7">
      <c r="A22" s="35">
        <v>21</v>
      </c>
      <c r="B22" s="38">
        <v>2.8500000000000001E-2</v>
      </c>
      <c r="C22" s="33">
        <v>0.72389999999999999</v>
      </c>
      <c r="D22" s="37">
        <f t="shared" si="0"/>
        <v>0.41157314989694249</v>
      </c>
      <c r="E22" s="37">
        <f t="shared" si="1"/>
        <v>4.1157314989694249E-3</v>
      </c>
      <c r="F22" s="81">
        <v>12.8</v>
      </c>
      <c r="G22" s="81">
        <v>41.984000000000002</v>
      </c>
    </row>
    <row r="23" spans="1:7">
      <c r="A23" s="35">
        <v>22</v>
      </c>
      <c r="B23" s="38">
        <v>2.53E-2</v>
      </c>
      <c r="C23" s="33">
        <v>0.64261999999999997</v>
      </c>
      <c r="D23" s="37">
        <f t="shared" si="0"/>
        <v>0.32433839029551731</v>
      </c>
      <c r="E23" s="37">
        <f t="shared" si="1"/>
        <v>3.2433839029551732E-3</v>
      </c>
      <c r="F23" s="81">
        <v>16.14</v>
      </c>
      <c r="G23" s="81">
        <v>52.9392</v>
      </c>
    </row>
    <row r="24" spans="1:7">
      <c r="A24" s="35">
        <v>23</v>
      </c>
      <c r="B24" s="38">
        <v>2.2599999999999999E-2</v>
      </c>
      <c r="C24" s="33">
        <v>0.57403999999999988</v>
      </c>
      <c r="D24" s="37">
        <f t="shared" si="0"/>
        <v>0.25880591202383785</v>
      </c>
      <c r="E24" s="37">
        <f t="shared" si="1"/>
        <v>2.5880591202383785E-3</v>
      </c>
      <c r="F24" s="81">
        <v>20.36</v>
      </c>
      <c r="G24" s="81">
        <v>66.780799999999999</v>
      </c>
    </row>
    <row r="25" spans="1:7">
      <c r="A25" s="35">
        <v>24</v>
      </c>
      <c r="B25" s="38">
        <v>2.01E-2</v>
      </c>
      <c r="C25" s="33">
        <v>0.51053999999999999</v>
      </c>
      <c r="D25" s="37">
        <f t="shared" si="0"/>
        <v>0.20471488863018006</v>
      </c>
      <c r="E25" s="37">
        <f t="shared" si="1"/>
        <v>2.0471488863018006E-3</v>
      </c>
      <c r="F25" s="81">
        <v>25.67</v>
      </c>
      <c r="G25" s="81">
        <v>84.197599999999994</v>
      </c>
    </row>
    <row r="26" spans="1:7">
      <c r="A26" s="35">
        <v>25</v>
      </c>
      <c r="B26" s="38">
        <v>1.7899999999999999E-2</v>
      </c>
      <c r="C26" s="33">
        <v>0.45465999999999995</v>
      </c>
      <c r="D26" s="37">
        <f t="shared" si="0"/>
        <v>0.16235414337762921</v>
      </c>
      <c r="E26" s="37">
        <f t="shared" si="1"/>
        <v>1.6235414337762921E-3</v>
      </c>
      <c r="F26" s="81">
        <v>32.369999999999997</v>
      </c>
      <c r="G26" s="81">
        <v>106.17359999999999</v>
      </c>
    </row>
    <row r="27" spans="1:7">
      <c r="A27" s="35">
        <v>26</v>
      </c>
      <c r="B27" s="38">
        <v>1.5900000000000001E-2</v>
      </c>
      <c r="C27" s="33">
        <v>0.40386</v>
      </c>
      <c r="D27" s="37">
        <f t="shared" si="0"/>
        <v>0.12810071779063839</v>
      </c>
      <c r="E27" s="37">
        <f t="shared" si="1"/>
        <v>1.2810071779063839E-3</v>
      </c>
      <c r="F27" s="81">
        <v>40.81</v>
      </c>
      <c r="G27" s="81">
        <v>133.85679999999999</v>
      </c>
    </row>
    <row r="28" spans="1:7">
      <c r="A28" s="35">
        <v>27</v>
      </c>
      <c r="B28" s="38">
        <v>1.4200000000000001E-2</v>
      </c>
      <c r="C28" s="33">
        <v>0.36068</v>
      </c>
      <c r="D28" s="37">
        <f t="shared" si="0"/>
        <v>0.10217249608521946</v>
      </c>
      <c r="E28" s="37">
        <f t="shared" si="1"/>
        <v>1.0217249608521946E-3</v>
      </c>
      <c r="F28" s="81">
        <v>51.47</v>
      </c>
      <c r="G28" s="81">
        <v>168.82159999999999</v>
      </c>
    </row>
    <row r="29" spans="1:7">
      <c r="A29" s="35">
        <v>28</v>
      </c>
      <c r="B29" s="38">
        <v>1.26E-2</v>
      </c>
      <c r="C29" s="33">
        <v>0.32003999999999999</v>
      </c>
      <c r="D29" s="37">
        <f t="shared" si="0"/>
        <v>8.0444879381518744E-2</v>
      </c>
      <c r="E29" s="37">
        <f t="shared" si="1"/>
        <v>8.0444879381518744E-4</v>
      </c>
      <c r="F29" s="81">
        <v>64.900000000000006</v>
      </c>
      <c r="G29" s="81">
        <v>212.87200000000001</v>
      </c>
    </row>
    <row r="30" spans="1:7">
      <c r="A30" s="35">
        <v>29</v>
      </c>
      <c r="B30" s="38">
        <v>1.1299999999999999E-2</v>
      </c>
      <c r="C30" s="33">
        <v>0.28701999999999994</v>
      </c>
      <c r="D30" s="37">
        <f t="shared" si="0"/>
        <v>6.4701478005959462E-2</v>
      </c>
      <c r="E30" s="37">
        <f t="shared" si="1"/>
        <v>6.4701478005959462E-4</v>
      </c>
      <c r="F30" s="81">
        <v>81.83</v>
      </c>
      <c r="G30" s="81">
        <v>268.4024</v>
      </c>
    </row>
    <row r="31" spans="1:7">
      <c r="A31" s="35">
        <v>30</v>
      </c>
      <c r="B31" s="38">
        <v>0.01</v>
      </c>
      <c r="C31" s="33">
        <v>0.254</v>
      </c>
      <c r="D31" s="37">
        <f t="shared" si="0"/>
        <v>5.0670747909749778E-2</v>
      </c>
      <c r="E31" s="37">
        <f t="shared" si="1"/>
        <v>5.067074790974978E-4</v>
      </c>
      <c r="F31" s="81">
        <v>103.2</v>
      </c>
      <c r="G31" s="81">
        <v>338.49599999999998</v>
      </c>
    </row>
    <row r="32" spans="1:7">
      <c r="A32" s="35">
        <v>31</v>
      </c>
      <c r="B32" s="38">
        <v>8.8999999999999999E-3</v>
      </c>
      <c r="C32" s="33">
        <v>0.22605999999999998</v>
      </c>
      <c r="D32" s="37">
        <f t="shared" si="0"/>
        <v>4.0136299419312793E-2</v>
      </c>
      <c r="E32" s="37">
        <f t="shared" si="1"/>
        <v>4.0136299419312794E-4</v>
      </c>
      <c r="F32" s="81">
        <v>130.1</v>
      </c>
      <c r="G32" s="81">
        <v>426.72800000000001</v>
      </c>
    </row>
    <row r="33" spans="1:7">
      <c r="A33" s="35">
        <v>32</v>
      </c>
      <c r="B33" s="38">
        <v>8.0000000000000002E-3</v>
      </c>
      <c r="C33" s="33">
        <v>0.20319999999999999</v>
      </c>
      <c r="D33" s="37">
        <f t="shared" si="0"/>
        <v>3.2429278662239852E-2</v>
      </c>
      <c r="E33" s="37">
        <f t="shared" si="1"/>
        <v>3.2429278662239852E-4</v>
      </c>
      <c r="F33" s="81">
        <v>164.1</v>
      </c>
      <c r="G33" s="81">
        <v>538.24800000000005</v>
      </c>
    </row>
    <row r="34" spans="1:7">
      <c r="A34" s="35">
        <v>33</v>
      </c>
      <c r="B34" s="38">
        <v>7.1000000000000004E-3</v>
      </c>
      <c r="C34" s="33">
        <v>0.18034</v>
      </c>
      <c r="D34" s="37">
        <f t="shared" si="0"/>
        <v>2.5543124021304865E-2</v>
      </c>
      <c r="E34" s="37">
        <f t="shared" si="1"/>
        <v>2.5543124021304865E-4</v>
      </c>
      <c r="F34" s="81">
        <v>206.9</v>
      </c>
      <c r="G34" s="81">
        <v>678.63199999999995</v>
      </c>
    </row>
    <row r="35" spans="1:7">
      <c r="A35" s="35">
        <v>34</v>
      </c>
      <c r="B35" s="38">
        <v>6.3E-3</v>
      </c>
      <c r="C35" s="33">
        <v>0.16002</v>
      </c>
      <c r="D35" s="37">
        <f t="shared" si="0"/>
        <v>2.0111219845379686E-2</v>
      </c>
      <c r="E35" s="37">
        <f t="shared" si="1"/>
        <v>2.0111219845379686E-4</v>
      </c>
      <c r="F35" s="81">
        <v>260.89999999999998</v>
      </c>
      <c r="G35" s="81">
        <v>855.75199999999995</v>
      </c>
    </row>
    <row r="36" spans="1:7">
      <c r="A36" s="35">
        <v>35</v>
      </c>
      <c r="B36" s="38">
        <v>5.5999999999999999E-3</v>
      </c>
      <c r="C36" s="33">
        <v>0.14223999999999998</v>
      </c>
      <c r="D36" s="37">
        <f t="shared" si="0"/>
        <v>1.5890346544497523E-2</v>
      </c>
      <c r="E36" s="37">
        <f t="shared" si="1"/>
        <v>1.5890346544497524E-4</v>
      </c>
      <c r="F36" s="81">
        <v>329</v>
      </c>
      <c r="G36" s="81">
        <v>1079.1199999999999</v>
      </c>
    </row>
    <row r="37" spans="1:7">
      <c r="A37" s="35">
        <v>36</v>
      </c>
      <c r="B37" s="38">
        <v>5.0000000000000001E-3</v>
      </c>
      <c r="C37" s="33">
        <v>0.127</v>
      </c>
      <c r="D37" s="37">
        <f t="shared" si="0"/>
        <v>1.2667686977437444E-2</v>
      </c>
      <c r="E37" s="37">
        <f t="shared" si="1"/>
        <v>1.2667686977437445E-4</v>
      </c>
      <c r="F37" s="81">
        <v>414.8</v>
      </c>
      <c r="G37" s="81">
        <v>1360</v>
      </c>
    </row>
    <row r="38" spans="1:7">
      <c r="A38" s="35">
        <v>37</v>
      </c>
      <c r="B38" s="38">
        <v>4.4999999999999997E-3</v>
      </c>
      <c r="C38" s="33">
        <v>0.11429999999999998</v>
      </c>
      <c r="D38" s="37">
        <f t="shared" si="0"/>
        <v>1.0260826451724327E-2</v>
      </c>
      <c r="E38" s="37">
        <f t="shared" si="1"/>
        <v>1.0260826451724328E-4</v>
      </c>
      <c r="F38" s="81">
        <v>523.1</v>
      </c>
      <c r="G38" s="81">
        <v>1715</v>
      </c>
    </row>
    <row r="39" spans="1:7">
      <c r="A39" s="35">
        <v>38</v>
      </c>
      <c r="B39" s="38">
        <v>4.0000000000000001E-3</v>
      </c>
      <c r="C39" s="33">
        <v>0.1016</v>
      </c>
      <c r="D39" s="37">
        <f t="shared" si="0"/>
        <v>8.107319665559963E-3</v>
      </c>
      <c r="E39" s="37">
        <f t="shared" si="1"/>
        <v>8.1073196655599629E-5</v>
      </c>
      <c r="F39" s="81">
        <v>659.6</v>
      </c>
      <c r="G39" s="81">
        <v>2163</v>
      </c>
    </row>
    <row r="40" spans="1:7">
      <c r="A40" s="35">
        <v>39</v>
      </c>
      <c r="B40" s="38">
        <v>3.5000000000000001E-3</v>
      </c>
      <c r="C40" s="32">
        <v>8.8899999999999993E-2</v>
      </c>
      <c r="D40" s="37">
        <f t="shared" si="0"/>
        <v>6.2071666189443464E-3</v>
      </c>
      <c r="E40" s="37">
        <f t="shared" si="1"/>
        <v>6.2071666189443463E-5</v>
      </c>
      <c r="F40" s="81">
        <v>831.8</v>
      </c>
      <c r="G40" s="81">
        <v>2728</v>
      </c>
    </row>
    <row r="41" spans="1:7">
      <c r="A41" s="35">
        <v>40</v>
      </c>
      <c r="B41" s="38">
        <v>3.0999999999999999E-3</v>
      </c>
      <c r="C41" s="32">
        <v>7.8739999999999991E-2</v>
      </c>
      <c r="D41" s="37">
        <f t="shared" si="0"/>
        <v>4.8694588741269515E-3</v>
      </c>
      <c r="E41" s="37">
        <f t="shared" si="1"/>
        <v>4.8694588741269513E-5</v>
      </c>
      <c r="F41" s="81">
        <v>1049</v>
      </c>
      <c r="G41" s="81">
        <v>3440</v>
      </c>
    </row>
    <row r="42" spans="1:7">
      <c r="A42" s="35">
        <v>41</v>
      </c>
      <c r="B42" s="38">
        <v>2.8E-3</v>
      </c>
      <c r="C42" s="32">
        <v>7.1119999999999989E-2</v>
      </c>
      <c r="D42" s="37">
        <f t="shared" si="0"/>
        <v>3.9725866361243808E-3</v>
      </c>
      <c r="E42" s="37">
        <f t="shared" si="1"/>
        <v>3.972586636124381E-5</v>
      </c>
      <c r="F42" s="81">
        <v>1323.42</v>
      </c>
      <c r="G42" s="81">
        <v>4341.93</v>
      </c>
    </row>
    <row r="43" spans="1:7">
      <c r="A43" s="35">
        <v>42</v>
      </c>
      <c r="B43" s="38">
        <v>2.5000000000000001E-3</v>
      </c>
      <c r="C43" s="32">
        <v>6.3500000000000001E-2</v>
      </c>
      <c r="D43" s="37">
        <f t="shared" si="0"/>
        <v>3.1669217443593611E-3</v>
      </c>
      <c r="E43" s="37">
        <f t="shared" si="1"/>
        <v>3.1669217443593612E-5</v>
      </c>
      <c r="F43" s="81">
        <v>1668.8</v>
      </c>
      <c r="G43" s="81">
        <v>5475</v>
      </c>
    </row>
    <row r="44" spans="1:7">
      <c r="A44" s="35">
        <v>43</v>
      </c>
      <c r="B44" s="38">
        <v>2.2000000000000001E-3</v>
      </c>
      <c r="C44" s="32">
        <v>5.5879999999999999E-2</v>
      </c>
      <c r="D44" s="37">
        <f t="shared" si="0"/>
        <v>2.452464198831889E-3</v>
      </c>
      <c r="E44" s="37">
        <f t="shared" si="1"/>
        <v>2.4524641988318891E-5</v>
      </c>
      <c r="F44" s="81">
        <v>2104.3200000000002</v>
      </c>
      <c r="G44" s="81">
        <v>6904</v>
      </c>
    </row>
    <row r="45" spans="1:7">
      <c r="A45" s="35">
        <v>44</v>
      </c>
      <c r="B45" s="38">
        <v>2E-3</v>
      </c>
      <c r="C45" s="32">
        <v>5.0799999999999998E-2</v>
      </c>
      <c r="D45" s="37">
        <f t="shared" si="0"/>
        <v>2.0268299163899908E-3</v>
      </c>
      <c r="E45" s="37">
        <f t="shared" si="1"/>
        <v>2.0268299163899907E-5</v>
      </c>
      <c r="F45" s="81">
        <v>2653.49</v>
      </c>
      <c r="G45" s="81">
        <v>8706</v>
      </c>
    </row>
    <row r="46" spans="1:7">
      <c r="A46" s="35">
        <v>45</v>
      </c>
      <c r="B46" s="38">
        <v>1.8E-3</v>
      </c>
      <c r="C46" s="32">
        <v>4.5719999999999997E-2</v>
      </c>
      <c r="D46" s="37">
        <f t="shared" si="0"/>
        <v>1.6417322322758922E-3</v>
      </c>
      <c r="E46" s="37">
        <f t="shared" si="1"/>
        <v>1.6417322322758923E-5</v>
      </c>
      <c r="F46" s="81">
        <v>3346</v>
      </c>
      <c r="G46" s="81">
        <v>10978</v>
      </c>
    </row>
    <row r="47" spans="1:7">
      <c r="A47" s="35">
        <v>46</v>
      </c>
      <c r="B47" s="38">
        <v>1.6000000000000001E-3</v>
      </c>
      <c r="C47" s="32">
        <v>4.0640000000000003E-2</v>
      </c>
      <c r="D47" s="37">
        <f t="shared" si="0"/>
        <v>1.2971711464895945E-3</v>
      </c>
      <c r="E47" s="37">
        <f t="shared" si="1"/>
        <v>1.2971711464895946E-5</v>
      </c>
      <c r="F47" s="81">
        <v>4219</v>
      </c>
      <c r="G47" s="81">
        <v>13843</v>
      </c>
    </row>
    <row r="48" spans="1:7">
      <c r="A48" s="35">
        <v>47</v>
      </c>
      <c r="B48" s="38">
        <v>1.4E-3</v>
      </c>
      <c r="C48" s="32">
        <v>3.5559999999999994E-2</v>
      </c>
      <c r="D48" s="37">
        <f t="shared" si="0"/>
        <v>9.9314665903109519E-4</v>
      </c>
      <c r="E48" s="37">
        <f t="shared" si="1"/>
        <v>9.9314665903109524E-6</v>
      </c>
      <c r="F48" s="81">
        <v>5320</v>
      </c>
      <c r="G48" s="81">
        <v>17455</v>
      </c>
    </row>
    <row r="49" spans="1:7">
      <c r="A49" s="35">
        <v>48</v>
      </c>
      <c r="B49" s="38">
        <v>1.1999999999999999E-3</v>
      </c>
      <c r="C49" s="32">
        <v>3.0479999999999997E-2</v>
      </c>
      <c r="D49" s="37">
        <f t="shared" si="0"/>
        <v>7.2965876990039658E-4</v>
      </c>
      <c r="E49" s="37">
        <f t="shared" si="1"/>
        <v>7.2965876990039659E-6</v>
      </c>
      <c r="F49" s="81">
        <v>6709</v>
      </c>
      <c r="G49" s="81">
        <v>22011</v>
      </c>
    </row>
    <row r="50" spans="1:7">
      <c r="A50" s="35">
        <v>49</v>
      </c>
      <c r="B50" s="38">
        <v>1.1000000000000001E-3</v>
      </c>
      <c r="C50" s="32">
        <v>2.794E-2</v>
      </c>
      <c r="D50" s="37">
        <f t="shared" si="0"/>
        <v>6.1311604970797225E-4</v>
      </c>
      <c r="E50" s="37">
        <f t="shared" si="1"/>
        <v>6.1311604970797228E-6</v>
      </c>
      <c r="F50" s="81">
        <v>8460</v>
      </c>
      <c r="G50" s="81">
        <v>27755</v>
      </c>
    </row>
    <row r="51" spans="1:7" ht="14.65" thickBot="1">
      <c r="A51" s="35">
        <v>50</v>
      </c>
      <c r="B51" s="39">
        <v>1E-3</v>
      </c>
      <c r="C51" s="32">
        <v>2.5399999999999999E-2</v>
      </c>
      <c r="D51" s="37">
        <f t="shared" si="0"/>
        <v>5.0670747909749769E-4</v>
      </c>
      <c r="E51" s="37">
        <f t="shared" si="1"/>
        <v>5.0670747909749768E-6</v>
      </c>
      <c r="F51" s="81">
        <v>10667</v>
      </c>
      <c r="G51" s="81">
        <v>34998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5FAE-CCB6-4814-9D2D-6C500CA412D3}">
  <dimension ref="A1:V103"/>
  <sheetViews>
    <sheetView topLeftCell="A31" workbookViewId="0">
      <selection sqref="A1:P1"/>
    </sheetView>
    <sheetView tabSelected="1" topLeftCell="B1" zoomScale="90" zoomScaleNormal="90" workbookViewId="1">
      <pane ySplit="3" topLeftCell="A19" activePane="bottomLeft" state="frozen"/>
      <selection pane="bottomLeft" activeCell="E40" sqref="E40"/>
    </sheetView>
  </sheetViews>
  <sheetFormatPr defaultRowHeight="14.25"/>
  <cols>
    <col min="1" max="1" width="11.796875" bestFit="1" customWidth="1"/>
    <col min="2" max="2" width="14.86328125" bestFit="1" customWidth="1"/>
    <col min="3" max="3" width="10.06640625" bestFit="1" customWidth="1"/>
    <col min="4" max="4" width="18" bestFit="1" customWidth="1"/>
    <col min="5" max="5" width="27.796875" bestFit="1" customWidth="1"/>
    <col min="6" max="6" width="11.73046875" bestFit="1" customWidth="1"/>
    <col min="7" max="7" width="24.33203125" bestFit="1" customWidth="1"/>
    <col min="8" max="8" width="23.59765625" bestFit="1" customWidth="1"/>
    <col min="9" max="9" width="30.86328125" bestFit="1" customWidth="1"/>
    <col min="10" max="10" width="30.06640625" bestFit="1" customWidth="1"/>
    <col min="11" max="11" width="27.9296875" bestFit="1" customWidth="1"/>
    <col min="12" max="12" width="27.19921875" bestFit="1" customWidth="1"/>
    <col min="13" max="13" width="25.33203125" bestFit="1" customWidth="1"/>
    <col min="14" max="14" width="30" bestFit="1" customWidth="1"/>
    <col min="15" max="15" width="29.19921875" bestFit="1" customWidth="1"/>
    <col min="16" max="16" width="25.33203125" bestFit="1" customWidth="1"/>
    <col min="17" max="17" width="24.59765625" bestFit="1" customWidth="1"/>
    <col min="18" max="18" width="34.46484375" bestFit="1" customWidth="1"/>
    <col min="19" max="19" width="33.6640625" bestFit="1" customWidth="1"/>
    <col min="20" max="20" width="22.86328125" bestFit="1" customWidth="1"/>
    <col min="21" max="21" width="19.9296875" bestFit="1" customWidth="1"/>
    <col min="22" max="22" width="16.9296875" bestFit="1" customWidth="1"/>
  </cols>
  <sheetData>
    <row r="1" spans="1:22" ht="33.4">
      <c r="A1" s="96" t="s">
        <v>180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22" ht="18.399999999999999" customHeight="1">
      <c r="A2" s="1" t="s">
        <v>205</v>
      </c>
      <c r="B2">
        <v>0.4</v>
      </c>
      <c r="C2" s="74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2" s="75" customFormat="1">
      <c r="A3" s="75" t="s">
        <v>181</v>
      </c>
      <c r="B3" s="75" t="s">
        <v>196</v>
      </c>
      <c r="C3" s="75" t="s">
        <v>203</v>
      </c>
      <c r="D3" s="75" t="s">
        <v>197</v>
      </c>
      <c r="E3" s="75" t="s">
        <v>198</v>
      </c>
      <c r="F3" s="75" t="s">
        <v>49</v>
      </c>
      <c r="G3" s="75" t="s">
        <v>193</v>
      </c>
      <c r="H3" s="75" t="s">
        <v>194</v>
      </c>
      <c r="I3" s="75" t="s">
        <v>182</v>
      </c>
      <c r="J3" s="75" t="s">
        <v>183</v>
      </c>
      <c r="K3" s="75" t="s">
        <v>184</v>
      </c>
      <c r="L3" s="75" t="s">
        <v>185</v>
      </c>
      <c r="M3" s="75" t="s">
        <v>186</v>
      </c>
      <c r="N3" s="75" t="s">
        <v>187</v>
      </c>
      <c r="O3" s="75" t="s">
        <v>188</v>
      </c>
      <c r="P3" s="75" t="s">
        <v>189</v>
      </c>
      <c r="Q3" s="75" t="s">
        <v>190</v>
      </c>
      <c r="R3" s="75" t="s">
        <v>191</v>
      </c>
      <c r="S3" s="75" t="s">
        <v>192</v>
      </c>
      <c r="T3" s="75" t="s">
        <v>195</v>
      </c>
      <c r="U3" s="75" t="s">
        <v>199</v>
      </c>
      <c r="V3" s="75" t="s">
        <v>201</v>
      </c>
    </row>
    <row r="4" spans="1:22">
      <c r="A4" s="1" t="s">
        <v>248</v>
      </c>
      <c r="B4" t="s">
        <v>231</v>
      </c>
      <c r="F4" s="3">
        <f t="shared" ref="F4:F35" si="0">(Q4*O4^2*$B$2)/L4</f>
        <v>3.6959328000000006E-3</v>
      </c>
      <c r="G4">
        <f t="shared" ref="G4:G45" si="1">H4*10000</f>
        <v>1100</v>
      </c>
      <c r="H4" s="3">
        <v>0.11</v>
      </c>
      <c r="I4">
        <f t="shared" ref="I4:I32" si="2">J4*10</f>
        <v>26.8</v>
      </c>
      <c r="J4">
        <v>2.68</v>
      </c>
      <c r="K4">
        <f t="shared" ref="K4:K45" si="3">L4*10</f>
        <v>45</v>
      </c>
      <c r="L4">
        <v>4.5</v>
      </c>
      <c r="M4">
        <v>10</v>
      </c>
      <c r="N4">
        <f t="shared" ref="N4:N45" si="4">O4*100</f>
        <v>37.799999999999997</v>
      </c>
      <c r="O4">
        <v>0.378</v>
      </c>
      <c r="P4">
        <f t="shared" ref="P4:P45" si="5">Q4*100</f>
        <v>29.099999999999998</v>
      </c>
      <c r="Q4">
        <v>0.29099999999999998</v>
      </c>
      <c r="T4">
        <v>16.2</v>
      </c>
      <c r="U4">
        <v>0.72599999999999998</v>
      </c>
      <c r="V4">
        <v>1487</v>
      </c>
    </row>
    <row r="5" spans="1:22">
      <c r="A5" s="1" t="s">
        <v>249</v>
      </c>
      <c r="B5" t="s">
        <v>231</v>
      </c>
      <c r="F5" s="3">
        <f t="shared" si="0"/>
        <v>8.0087690434782616E-3</v>
      </c>
      <c r="G5">
        <f t="shared" si="1"/>
        <v>2270</v>
      </c>
      <c r="H5" s="3">
        <v>0.22700000000000001</v>
      </c>
      <c r="I5">
        <f t="shared" si="2"/>
        <v>39.900000000000006</v>
      </c>
      <c r="J5">
        <v>3.99</v>
      </c>
      <c r="K5">
        <f t="shared" si="3"/>
        <v>46</v>
      </c>
      <c r="L5">
        <v>4.5999999999999996</v>
      </c>
      <c r="M5">
        <v>13</v>
      </c>
      <c r="N5">
        <f t="shared" si="4"/>
        <v>40.699999999999996</v>
      </c>
      <c r="O5">
        <v>0.40699999999999997</v>
      </c>
      <c r="P5">
        <f t="shared" si="5"/>
        <v>55.600000000000009</v>
      </c>
      <c r="Q5">
        <v>0.55600000000000005</v>
      </c>
      <c r="T5">
        <v>21.1</v>
      </c>
      <c r="U5">
        <v>1.3859999999999999</v>
      </c>
      <c r="V5">
        <v>1267</v>
      </c>
    </row>
    <row r="6" spans="1:22">
      <c r="A6" s="1" t="s">
        <v>250</v>
      </c>
      <c r="B6" t="s">
        <v>231</v>
      </c>
      <c r="F6" s="3">
        <f t="shared" si="0"/>
        <v>1.5903180679245288E-2</v>
      </c>
      <c r="G6">
        <f t="shared" si="1"/>
        <v>3360</v>
      </c>
      <c r="H6" s="3">
        <v>0.33600000000000002</v>
      </c>
      <c r="I6">
        <f t="shared" si="2"/>
        <v>38.9</v>
      </c>
      <c r="J6">
        <v>3.89</v>
      </c>
      <c r="K6">
        <f t="shared" si="3"/>
        <v>53</v>
      </c>
      <c r="L6">
        <v>5.3</v>
      </c>
      <c r="M6">
        <v>15</v>
      </c>
      <c r="N6">
        <f t="shared" si="4"/>
        <v>62.7</v>
      </c>
      <c r="O6">
        <v>0.627</v>
      </c>
      <c r="P6">
        <f t="shared" si="5"/>
        <v>53.6</v>
      </c>
      <c r="Q6">
        <v>0.53600000000000003</v>
      </c>
      <c r="T6">
        <v>23.1</v>
      </c>
      <c r="U6">
        <v>1.1020000000000001</v>
      </c>
      <c r="V6">
        <v>1667</v>
      </c>
    </row>
    <row r="7" spans="1:22">
      <c r="A7" s="1" t="s">
        <v>251</v>
      </c>
      <c r="B7" t="s">
        <v>231</v>
      </c>
      <c r="F7" s="3">
        <f t="shared" si="0"/>
        <v>4.3710171428571434E-2</v>
      </c>
      <c r="G7">
        <f t="shared" si="1"/>
        <v>7170</v>
      </c>
      <c r="H7" s="3">
        <v>0.71699999999999997</v>
      </c>
      <c r="I7">
        <f t="shared" si="2"/>
        <v>46.2</v>
      </c>
      <c r="J7">
        <v>4.62</v>
      </c>
      <c r="K7">
        <f t="shared" si="3"/>
        <v>63</v>
      </c>
      <c r="L7">
        <v>6.3</v>
      </c>
      <c r="M7">
        <v>22</v>
      </c>
      <c r="N7">
        <f t="shared" si="4"/>
        <v>96</v>
      </c>
      <c r="O7">
        <v>0.96</v>
      </c>
      <c r="P7">
        <f t="shared" si="5"/>
        <v>74.7</v>
      </c>
      <c r="Q7">
        <v>0.747</v>
      </c>
      <c r="T7">
        <v>31.9</v>
      </c>
      <c r="U7">
        <v>1.3</v>
      </c>
      <c r="V7">
        <v>1933</v>
      </c>
    </row>
    <row r="8" spans="1:22">
      <c r="A8" s="1" t="s">
        <v>252</v>
      </c>
      <c r="B8" t="s">
        <v>231</v>
      </c>
      <c r="F8" s="3">
        <f t="shared" si="0"/>
        <v>8.3500000000000005E-2</v>
      </c>
      <c r="G8">
        <f t="shared" si="1"/>
        <v>12529.999999999998</v>
      </c>
      <c r="H8" s="3">
        <v>1.2529999999999999</v>
      </c>
      <c r="I8">
        <f t="shared" si="2"/>
        <v>52.800000000000004</v>
      </c>
      <c r="J8">
        <v>5.28</v>
      </c>
      <c r="K8">
        <f t="shared" si="3"/>
        <v>75</v>
      </c>
      <c r="L8">
        <v>7.5</v>
      </c>
      <c r="M8">
        <v>37</v>
      </c>
      <c r="N8">
        <f t="shared" si="4"/>
        <v>125</v>
      </c>
      <c r="O8">
        <v>1.25</v>
      </c>
      <c r="P8">
        <f t="shared" si="5"/>
        <v>100.2</v>
      </c>
      <c r="Q8">
        <v>1.002</v>
      </c>
      <c r="T8">
        <v>44.2</v>
      </c>
      <c r="U8">
        <v>1.458</v>
      </c>
      <c r="V8">
        <v>2333</v>
      </c>
    </row>
    <row r="9" spans="1:22">
      <c r="A9" s="1" t="s">
        <v>253</v>
      </c>
      <c r="B9" t="s">
        <v>231</v>
      </c>
      <c r="F9" s="3">
        <f t="shared" si="0"/>
        <v>0.26953505116279075</v>
      </c>
      <c r="G9">
        <f t="shared" si="1"/>
        <v>32550</v>
      </c>
      <c r="H9" s="3">
        <v>3.2549999999999999</v>
      </c>
      <c r="I9">
        <f t="shared" si="2"/>
        <v>71.7</v>
      </c>
      <c r="J9">
        <v>7.17</v>
      </c>
      <c r="K9">
        <f t="shared" si="3"/>
        <v>86</v>
      </c>
      <c r="L9">
        <v>8.6</v>
      </c>
      <c r="M9">
        <v>78</v>
      </c>
      <c r="N9">
        <f t="shared" si="4"/>
        <v>178</v>
      </c>
      <c r="O9">
        <v>1.78</v>
      </c>
      <c r="P9">
        <f t="shared" si="5"/>
        <v>182.9</v>
      </c>
      <c r="Q9">
        <v>1.829</v>
      </c>
      <c r="T9">
        <v>67.7</v>
      </c>
      <c r="U9">
        <v>2.0419999999999998</v>
      </c>
      <c r="V9">
        <v>2800</v>
      </c>
    </row>
    <row r="10" spans="1:22">
      <c r="A10" s="1" t="s">
        <v>264</v>
      </c>
      <c r="B10" t="s">
        <v>231</v>
      </c>
      <c r="F10" s="3">
        <f t="shared" si="0"/>
        <v>5.0281974603174601E-2</v>
      </c>
      <c r="G10">
        <f t="shared" si="1"/>
        <v>11150</v>
      </c>
      <c r="H10" s="3">
        <v>1.115</v>
      </c>
      <c r="I10">
        <f t="shared" si="2"/>
        <v>75.900000000000006</v>
      </c>
      <c r="J10">
        <v>7.59</v>
      </c>
      <c r="K10">
        <f t="shared" si="3"/>
        <v>63</v>
      </c>
      <c r="L10">
        <v>6.3</v>
      </c>
      <c r="M10">
        <v>36</v>
      </c>
      <c r="N10">
        <f t="shared" si="4"/>
        <v>71</v>
      </c>
      <c r="O10">
        <v>0.71</v>
      </c>
      <c r="P10">
        <f t="shared" si="5"/>
        <v>157.1</v>
      </c>
      <c r="Q10">
        <v>1.571</v>
      </c>
      <c r="T10">
        <v>50.2</v>
      </c>
      <c r="U10">
        <v>2.38</v>
      </c>
      <c r="V10">
        <v>1000</v>
      </c>
    </row>
    <row r="11" spans="1:22">
      <c r="A11" s="1" t="s">
        <v>265</v>
      </c>
      <c r="B11" t="s">
        <v>231</v>
      </c>
      <c r="F11" s="3">
        <f t="shared" si="0"/>
        <v>0.12476454400000002</v>
      </c>
      <c r="G11">
        <f t="shared" si="1"/>
        <v>22070</v>
      </c>
      <c r="H11" s="3">
        <v>2.2069999999999999</v>
      </c>
      <c r="I11">
        <f t="shared" si="2"/>
        <v>87.6</v>
      </c>
      <c r="J11">
        <v>8.76</v>
      </c>
      <c r="K11">
        <f t="shared" si="3"/>
        <v>75</v>
      </c>
      <c r="L11">
        <v>7.5</v>
      </c>
      <c r="M11">
        <v>52</v>
      </c>
      <c r="N11">
        <f t="shared" si="4"/>
        <v>106</v>
      </c>
      <c r="O11">
        <v>1.06</v>
      </c>
      <c r="P11">
        <f t="shared" si="5"/>
        <v>208.2</v>
      </c>
      <c r="Q11">
        <v>2.0819999999999999</v>
      </c>
      <c r="T11">
        <v>67.599999999999994</v>
      </c>
      <c r="U11">
        <v>2.6970000000000001</v>
      </c>
      <c r="V11">
        <v>1233</v>
      </c>
    </row>
    <row r="12" spans="1:22">
      <c r="A12" s="1" t="s">
        <v>266</v>
      </c>
      <c r="B12" t="s">
        <v>231</v>
      </c>
      <c r="F12" s="3">
        <f t="shared" si="0"/>
        <v>0.26861439999999998</v>
      </c>
      <c r="G12">
        <f t="shared" si="1"/>
        <v>42870</v>
      </c>
      <c r="H12" s="3">
        <v>4.2869999999999999</v>
      </c>
      <c r="I12">
        <f t="shared" si="2"/>
        <v>103</v>
      </c>
      <c r="J12">
        <v>10.3</v>
      </c>
      <c r="K12">
        <f t="shared" si="3"/>
        <v>90</v>
      </c>
      <c r="L12">
        <v>9</v>
      </c>
      <c r="M12">
        <v>111</v>
      </c>
      <c r="N12">
        <f t="shared" si="4"/>
        <v>141</v>
      </c>
      <c r="O12">
        <v>1.41</v>
      </c>
      <c r="P12">
        <f t="shared" si="5"/>
        <v>304</v>
      </c>
      <c r="Q12">
        <v>3.04</v>
      </c>
      <c r="T12">
        <v>106.5</v>
      </c>
      <c r="U12">
        <v>3.0990000000000002</v>
      </c>
      <c r="V12">
        <v>1680</v>
      </c>
    </row>
    <row r="13" spans="1:22">
      <c r="A13" s="1" t="s">
        <v>267</v>
      </c>
      <c r="B13" t="s">
        <v>231</v>
      </c>
      <c r="F13" s="3">
        <f t="shared" si="0"/>
        <v>0.94019219487179484</v>
      </c>
      <c r="G13">
        <f t="shared" si="1"/>
        <v>130340</v>
      </c>
      <c r="H13" s="3">
        <v>13.034000000000001</v>
      </c>
      <c r="I13">
        <f t="shared" si="2"/>
        <v>141</v>
      </c>
      <c r="J13">
        <v>14.1</v>
      </c>
      <c r="K13">
        <f t="shared" si="3"/>
        <v>117</v>
      </c>
      <c r="L13">
        <v>11.7</v>
      </c>
      <c r="M13">
        <v>253</v>
      </c>
      <c r="N13">
        <f t="shared" si="4"/>
        <v>211</v>
      </c>
      <c r="O13">
        <v>2.11</v>
      </c>
      <c r="P13">
        <f t="shared" si="5"/>
        <v>617.69999999999993</v>
      </c>
      <c r="Q13">
        <v>6.1769999999999996</v>
      </c>
      <c r="T13">
        <v>201.7</v>
      </c>
      <c r="U13">
        <v>4.4649999999999999</v>
      </c>
      <c r="V13">
        <v>1920</v>
      </c>
    </row>
    <row r="14" spans="1:22">
      <c r="A14" s="1" t="s">
        <v>268</v>
      </c>
      <c r="B14" t="s">
        <v>231</v>
      </c>
      <c r="F14" s="3">
        <f t="shared" si="0"/>
        <v>2.7688320000000006E-3</v>
      </c>
      <c r="G14">
        <f t="shared" si="1"/>
        <v>1160</v>
      </c>
      <c r="H14" s="3">
        <v>0.11600000000000001</v>
      </c>
      <c r="I14">
        <f t="shared" si="2"/>
        <v>40.099999999999994</v>
      </c>
      <c r="J14">
        <v>4.01</v>
      </c>
      <c r="K14">
        <f t="shared" si="3"/>
        <v>38</v>
      </c>
      <c r="L14">
        <v>3.8</v>
      </c>
      <c r="M14">
        <v>4.4000000000000004</v>
      </c>
      <c r="N14">
        <f t="shared" si="4"/>
        <v>22.8</v>
      </c>
      <c r="O14">
        <v>0.22800000000000001</v>
      </c>
      <c r="P14">
        <f t="shared" si="5"/>
        <v>50.6</v>
      </c>
      <c r="Q14">
        <v>0.50600000000000001</v>
      </c>
      <c r="T14">
        <v>14.4</v>
      </c>
      <c r="U14">
        <v>1.1080000000000001</v>
      </c>
      <c r="V14">
        <v>500</v>
      </c>
    </row>
    <row r="15" spans="1:22">
      <c r="A15" s="1" t="s">
        <v>271</v>
      </c>
      <c r="B15" t="s">
        <v>231</v>
      </c>
      <c r="F15" s="3">
        <f t="shared" si="0"/>
        <v>0.1801295950617284</v>
      </c>
      <c r="G15">
        <f t="shared" si="1"/>
        <v>24480</v>
      </c>
      <c r="H15" s="3">
        <v>2.448</v>
      </c>
      <c r="I15">
        <f t="shared" si="2"/>
        <v>77.5</v>
      </c>
      <c r="J15">
        <v>7.75</v>
      </c>
      <c r="K15">
        <f t="shared" si="3"/>
        <v>81</v>
      </c>
      <c r="L15">
        <v>8.1</v>
      </c>
      <c r="M15">
        <v>57</v>
      </c>
      <c r="N15">
        <f t="shared" si="4"/>
        <v>149</v>
      </c>
      <c r="O15">
        <v>1.49</v>
      </c>
      <c r="P15">
        <f t="shared" si="5"/>
        <v>164.3</v>
      </c>
      <c r="Q15">
        <v>1.643</v>
      </c>
      <c r="T15">
        <v>60.9</v>
      </c>
      <c r="U15">
        <v>2.08</v>
      </c>
      <c r="V15">
        <v>1967</v>
      </c>
    </row>
    <row r="16" spans="1:22">
      <c r="A16" s="1" t="s">
        <v>269</v>
      </c>
      <c r="B16" t="s">
        <v>231</v>
      </c>
      <c r="F16" s="3">
        <f t="shared" si="0"/>
        <v>9.5575562448979596E-3</v>
      </c>
      <c r="G16">
        <f t="shared" si="1"/>
        <v>3050</v>
      </c>
      <c r="H16" s="3">
        <v>0.30499999999999999</v>
      </c>
      <c r="I16">
        <f t="shared" si="2"/>
        <v>48.5</v>
      </c>
      <c r="J16">
        <v>4.8499999999999996</v>
      </c>
      <c r="K16">
        <f t="shared" si="3"/>
        <v>49</v>
      </c>
      <c r="L16">
        <v>4.9000000000000004</v>
      </c>
      <c r="M16">
        <v>9.5</v>
      </c>
      <c r="N16">
        <f t="shared" si="4"/>
        <v>38.4</v>
      </c>
      <c r="O16">
        <v>0.38400000000000001</v>
      </c>
      <c r="P16">
        <f t="shared" si="5"/>
        <v>79.400000000000006</v>
      </c>
      <c r="Q16">
        <v>0.79400000000000004</v>
      </c>
      <c r="T16">
        <v>23.5</v>
      </c>
      <c r="U16">
        <v>1.25</v>
      </c>
      <c r="V16">
        <v>767</v>
      </c>
    </row>
    <row r="17" spans="1:22">
      <c r="A17" s="1" t="s">
        <v>270</v>
      </c>
      <c r="B17" t="s">
        <v>231</v>
      </c>
      <c r="F17" s="3">
        <f t="shared" si="0"/>
        <v>6.286964236363636E-2</v>
      </c>
      <c r="G17">
        <f t="shared" si="1"/>
        <v>12640</v>
      </c>
      <c r="H17" s="3">
        <v>1.264</v>
      </c>
      <c r="I17">
        <f t="shared" si="2"/>
        <v>69.400000000000006</v>
      </c>
      <c r="J17">
        <v>6.94</v>
      </c>
      <c r="K17">
        <f t="shared" si="3"/>
        <v>66</v>
      </c>
      <c r="L17">
        <v>6.6</v>
      </c>
      <c r="M17">
        <v>33</v>
      </c>
      <c r="N17">
        <f t="shared" si="4"/>
        <v>82.1</v>
      </c>
      <c r="O17">
        <v>0.82099999999999995</v>
      </c>
      <c r="P17">
        <f t="shared" si="5"/>
        <v>153.9</v>
      </c>
      <c r="Q17">
        <v>1.5389999999999999</v>
      </c>
      <c r="T17">
        <v>45.3</v>
      </c>
      <c r="U17">
        <v>1.93</v>
      </c>
      <c r="V17">
        <v>1167</v>
      </c>
    </row>
    <row r="18" spans="1:22">
      <c r="A18" s="1" t="s">
        <v>275</v>
      </c>
      <c r="B18" t="s">
        <v>231</v>
      </c>
      <c r="F18" s="3">
        <f t="shared" si="0"/>
        <v>2.5043900425531919E-3</v>
      </c>
      <c r="G18">
        <f t="shared" si="1"/>
        <v>714.99999999999989</v>
      </c>
      <c r="H18" s="3">
        <v>7.1499999999999994E-2</v>
      </c>
      <c r="I18">
        <f t="shared" si="2"/>
        <v>24.2</v>
      </c>
      <c r="J18">
        <v>2.42</v>
      </c>
      <c r="K18">
        <f t="shared" si="3"/>
        <v>47</v>
      </c>
      <c r="L18">
        <v>4.7</v>
      </c>
      <c r="M18">
        <v>4.9000000000000004</v>
      </c>
      <c r="N18">
        <f t="shared" si="4"/>
        <v>40.1</v>
      </c>
      <c r="O18">
        <v>0.40100000000000002</v>
      </c>
      <c r="P18">
        <f t="shared" si="5"/>
        <v>18.3</v>
      </c>
      <c r="Q18">
        <v>0.183</v>
      </c>
      <c r="T18">
        <v>11.6</v>
      </c>
      <c r="U18">
        <v>0.376</v>
      </c>
      <c r="V18">
        <v>1460</v>
      </c>
    </row>
    <row r="19" spans="1:22">
      <c r="A19" s="1" t="s">
        <v>277</v>
      </c>
      <c r="B19" t="s">
        <v>231</v>
      </c>
      <c r="F19" s="3">
        <f t="shared" si="0"/>
        <v>1.3432473600000003E-2</v>
      </c>
      <c r="G19">
        <f t="shared" si="1"/>
        <v>2708.9999999999995</v>
      </c>
      <c r="H19" s="3">
        <v>0.27089999999999997</v>
      </c>
      <c r="I19">
        <f t="shared" si="2"/>
        <v>32.1</v>
      </c>
      <c r="J19">
        <v>3.21</v>
      </c>
      <c r="K19">
        <f t="shared" si="3"/>
        <v>65</v>
      </c>
      <c r="L19">
        <v>6.5</v>
      </c>
      <c r="M19">
        <v>13</v>
      </c>
      <c r="N19">
        <f t="shared" si="4"/>
        <v>80.600000000000009</v>
      </c>
      <c r="O19">
        <v>0.80600000000000005</v>
      </c>
      <c r="P19">
        <f t="shared" si="5"/>
        <v>33.6</v>
      </c>
      <c r="Q19">
        <v>0.33600000000000002</v>
      </c>
      <c r="T19">
        <v>20.5</v>
      </c>
      <c r="U19">
        <v>0.61</v>
      </c>
      <c r="V19">
        <v>2083</v>
      </c>
    </row>
    <row r="20" spans="1:22">
      <c r="A20" s="1" t="s">
        <v>279</v>
      </c>
      <c r="B20" t="s">
        <v>231</v>
      </c>
      <c r="F20" s="3">
        <f t="shared" si="0"/>
        <v>4.2331712359550563E-2</v>
      </c>
      <c r="G20">
        <f t="shared" si="1"/>
        <v>7299</v>
      </c>
      <c r="H20" s="3">
        <v>0.72989999999999999</v>
      </c>
      <c r="I20">
        <f t="shared" si="2"/>
        <v>41.7</v>
      </c>
      <c r="J20">
        <v>4.17</v>
      </c>
      <c r="K20">
        <f t="shared" si="3"/>
        <v>89</v>
      </c>
      <c r="L20">
        <v>8.9</v>
      </c>
      <c r="M20">
        <v>26</v>
      </c>
      <c r="N20">
        <f t="shared" si="4"/>
        <v>129</v>
      </c>
      <c r="O20">
        <v>1.29</v>
      </c>
      <c r="P20">
        <f t="shared" si="5"/>
        <v>56.599999999999994</v>
      </c>
      <c r="Q20">
        <v>0.56599999999999995</v>
      </c>
      <c r="T20">
        <v>37.9</v>
      </c>
      <c r="U20">
        <v>0.61</v>
      </c>
      <c r="V20">
        <v>2915</v>
      </c>
    </row>
    <row r="21" spans="1:22">
      <c r="A21" s="1" t="s">
        <v>281</v>
      </c>
      <c r="B21" t="s">
        <v>231</v>
      </c>
      <c r="F21" s="3">
        <f t="shared" si="0"/>
        <v>0.24248941176470587</v>
      </c>
      <c r="G21">
        <f t="shared" si="1"/>
        <v>31784</v>
      </c>
      <c r="H21" s="3">
        <v>3.1783999999999999</v>
      </c>
      <c r="I21">
        <f t="shared" si="2"/>
        <v>61.5</v>
      </c>
      <c r="J21">
        <v>6.15</v>
      </c>
      <c r="K21">
        <f t="shared" si="3"/>
        <v>119</v>
      </c>
      <c r="L21">
        <v>11.9</v>
      </c>
      <c r="M21">
        <v>70.8</v>
      </c>
      <c r="N21">
        <f t="shared" si="4"/>
        <v>227</v>
      </c>
      <c r="O21">
        <v>2.27</v>
      </c>
      <c r="P21">
        <f t="shared" si="5"/>
        <v>140</v>
      </c>
      <c r="Q21">
        <v>1.4</v>
      </c>
      <c r="T21">
        <v>75.3</v>
      </c>
      <c r="U21">
        <v>1.0660000000000001</v>
      </c>
      <c r="V21">
        <v>3483</v>
      </c>
    </row>
    <row r="22" spans="1:22">
      <c r="A22" s="1" t="s">
        <v>273</v>
      </c>
      <c r="B22" t="s">
        <v>231</v>
      </c>
      <c r="F22" s="3">
        <f t="shared" si="0"/>
        <v>0.46912140425531912</v>
      </c>
      <c r="G22">
        <f t="shared" si="1"/>
        <v>46160</v>
      </c>
      <c r="H22" s="3">
        <v>4.6159999999999997</v>
      </c>
      <c r="I22">
        <f t="shared" si="2"/>
        <v>89</v>
      </c>
      <c r="J22">
        <v>8.9</v>
      </c>
      <c r="K22">
        <f t="shared" si="3"/>
        <v>94</v>
      </c>
      <c r="L22">
        <v>9.4</v>
      </c>
      <c r="M22">
        <v>103</v>
      </c>
      <c r="N22">
        <f t="shared" si="4"/>
        <v>239</v>
      </c>
      <c r="O22">
        <v>2.39</v>
      </c>
      <c r="P22">
        <f t="shared" si="5"/>
        <v>193</v>
      </c>
      <c r="Q22">
        <v>1.93</v>
      </c>
      <c r="T22">
        <v>81.8</v>
      </c>
      <c r="U22">
        <v>2.42</v>
      </c>
      <c r="V22">
        <v>2767</v>
      </c>
    </row>
    <row r="23" spans="1:22">
      <c r="A23" s="1" t="s">
        <v>272</v>
      </c>
      <c r="B23" t="s">
        <v>231</v>
      </c>
      <c r="F23" s="3">
        <f t="shared" si="0"/>
        <v>1.1487995678571432</v>
      </c>
      <c r="G23">
        <f t="shared" si="1"/>
        <v>94870</v>
      </c>
      <c r="H23" s="3">
        <v>9.4870000000000001</v>
      </c>
      <c r="I23">
        <f t="shared" si="2"/>
        <v>107</v>
      </c>
      <c r="J23">
        <v>10.7</v>
      </c>
      <c r="K23">
        <f t="shared" si="3"/>
        <v>112</v>
      </c>
      <c r="L23">
        <v>11.2</v>
      </c>
      <c r="M23">
        <v>179</v>
      </c>
      <c r="N23">
        <f t="shared" si="4"/>
        <v>339</v>
      </c>
      <c r="O23">
        <v>3.39</v>
      </c>
      <c r="P23">
        <f t="shared" si="5"/>
        <v>279.89999999999998</v>
      </c>
      <c r="Q23">
        <v>2.7989999999999999</v>
      </c>
      <c r="T23">
        <v>118</v>
      </c>
      <c r="U23">
        <v>2.9</v>
      </c>
      <c r="V23">
        <v>3467</v>
      </c>
    </row>
    <row r="24" spans="1:22">
      <c r="A24" s="1" t="s">
        <v>210</v>
      </c>
      <c r="B24" t="s">
        <v>215</v>
      </c>
      <c r="F24" s="3">
        <f t="shared" si="0"/>
        <v>1.3363199999999998E-4</v>
      </c>
      <c r="G24">
        <f t="shared" si="1"/>
        <v>83.7</v>
      </c>
      <c r="H24" s="3">
        <v>8.3700000000000007E-3</v>
      </c>
      <c r="I24">
        <f t="shared" si="2"/>
        <v>23.700000000000003</v>
      </c>
      <c r="J24">
        <v>2.37</v>
      </c>
      <c r="K24">
        <f t="shared" si="3"/>
        <v>18</v>
      </c>
      <c r="L24">
        <v>1.8</v>
      </c>
      <c r="M24">
        <v>0.9</v>
      </c>
      <c r="N24">
        <f t="shared" si="4"/>
        <v>7.1999999999999993</v>
      </c>
      <c r="O24">
        <v>7.1999999999999995E-2</v>
      </c>
      <c r="P24">
        <f t="shared" si="5"/>
        <v>11.600000000000001</v>
      </c>
      <c r="Q24">
        <v>0.11600000000000001</v>
      </c>
      <c r="T24">
        <v>3.3</v>
      </c>
      <c r="U24">
        <v>0.75</v>
      </c>
      <c r="V24">
        <v>254</v>
      </c>
    </row>
    <row r="25" spans="1:22">
      <c r="A25" s="1" t="s">
        <v>211</v>
      </c>
      <c r="B25" t="s">
        <v>215</v>
      </c>
      <c r="F25" s="3">
        <f t="shared" si="0"/>
        <v>1.0466666666666667E-3</v>
      </c>
      <c r="G25">
        <f t="shared" si="1"/>
        <v>470.3</v>
      </c>
      <c r="H25" s="3">
        <v>4.7030000000000002E-2</v>
      </c>
      <c r="I25">
        <f t="shared" si="2"/>
        <v>34</v>
      </c>
      <c r="J25">
        <v>3.4</v>
      </c>
      <c r="K25">
        <f t="shared" si="3"/>
        <v>27</v>
      </c>
      <c r="L25">
        <v>2.7</v>
      </c>
      <c r="M25">
        <v>2.8</v>
      </c>
      <c r="N25">
        <f t="shared" si="4"/>
        <v>15</v>
      </c>
      <c r="O25">
        <v>0.15</v>
      </c>
      <c r="P25">
        <f t="shared" si="5"/>
        <v>31.4</v>
      </c>
      <c r="Q25">
        <v>0.314</v>
      </c>
      <c r="T25">
        <v>7.3</v>
      </c>
      <c r="U25">
        <v>1.1000000000000001</v>
      </c>
      <c r="V25">
        <v>413</v>
      </c>
    </row>
    <row r="26" spans="1:22">
      <c r="A26" s="1" t="s">
        <v>212</v>
      </c>
      <c r="B26" t="s">
        <v>215</v>
      </c>
      <c r="F26" s="3">
        <f t="shared" si="0"/>
        <v>5.06801052631579E-3</v>
      </c>
      <c r="G26">
        <f t="shared" si="1"/>
        <v>1551.6</v>
      </c>
      <c r="H26" s="3">
        <v>0.15515999999999999</v>
      </c>
      <c r="I26">
        <f t="shared" si="2"/>
        <v>47</v>
      </c>
      <c r="J26">
        <v>4.7</v>
      </c>
      <c r="K26">
        <f t="shared" si="3"/>
        <v>38</v>
      </c>
      <c r="L26">
        <v>3.8</v>
      </c>
      <c r="M26">
        <v>7</v>
      </c>
      <c r="N26">
        <f t="shared" si="4"/>
        <v>31</v>
      </c>
      <c r="O26">
        <v>0.31</v>
      </c>
      <c r="P26">
        <f t="shared" si="5"/>
        <v>50.1</v>
      </c>
      <c r="Q26">
        <v>0.501</v>
      </c>
      <c r="T26">
        <v>13.3</v>
      </c>
      <c r="U26">
        <v>1.54</v>
      </c>
      <c r="V26">
        <v>565</v>
      </c>
    </row>
    <row r="27" spans="1:22">
      <c r="A27" s="1" t="s">
        <v>213</v>
      </c>
      <c r="B27" t="s">
        <v>215</v>
      </c>
      <c r="F27" s="3">
        <f t="shared" si="0"/>
        <v>1.9034633333333335E-2</v>
      </c>
      <c r="G27">
        <f t="shared" si="1"/>
        <v>3937.6</v>
      </c>
      <c r="H27" s="3">
        <v>0.39376</v>
      </c>
      <c r="I27">
        <f t="shared" si="2"/>
        <v>57</v>
      </c>
      <c r="J27">
        <v>5.7</v>
      </c>
      <c r="K27">
        <f t="shared" si="3"/>
        <v>48</v>
      </c>
      <c r="L27">
        <v>4.8</v>
      </c>
      <c r="M27">
        <v>16</v>
      </c>
      <c r="N27">
        <f t="shared" si="4"/>
        <v>57.999999999999993</v>
      </c>
      <c r="O27">
        <v>0.57999999999999996</v>
      </c>
      <c r="P27">
        <f t="shared" si="5"/>
        <v>67.900000000000006</v>
      </c>
      <c r="Q27">
        <v>0.67900000000000005</v>
      </c>
      <c r="T27">
        <v>21.6</v>
      </c>
      <c r="U27">
        <v>1.86</v>
      </c>
      <c r="V27">
        <v>957</v>
      </c>
    </row>
    <row r="28" spans="1:22">
      <c r="A28" s="1" t="s">
        <v>214</v>
      </c>
      <c r="B28" t="s">
        <v>215</v>
      </c>
      <c r="F28" s="3">
        <f t="shared" si="0"/>
        <v>3.0262647272727265E-2</v>
      </c>
      <c r="G28">
        <f t="shared" si="1"/>
        <v>6027.8</v>
      </c>
      <c r="H28" s="3">
        <v>0.60277999999999998</v>
      </c>
      <c r="I28">
        <f t="shared" si="2"/>
        <v>68</v>
      </c>
      <c r="J28">
        <v>6.8</v>
      </c>
      <c r="K28">
        <f t="shared" si="3"/>
        <v>55</v>
      </c>
      <c r="L28">
        <v>5.5</v>
      </c>
      <c r="M28">
        <v>24</v>
      </c>
      <c r="N28">
        <f t="shared" si="4"/>
        <v>69</v>
      </c>
      <c r="O28">
        <v>0.69</v>
      </c>
      <c r="P28">
        <f t="shared" si="5"/>
        <v>87.4</v>
      </c>
      <c r="Q28">
        <v>0.874</v>
      </c>
      <c r="T28">
        <v>28.9</v>
      </c>
      <c r="U28">
        <v>2.2400000000000002</v>
      </c>
      <c r="V28">
        <v>913</v>
      </c>
    </row>
    <row r="29" spans="1:22">
      <c r="A29" s="1" t="s">
        <v>274</v>
      </c>
      <c r="B29" t="s">
        <v>231</v>
      </c>
      <c r="F29" s="3">
        <f t="shared" si="0"/>
        <v>1.245352425531915E-3</v>
      </c>
      <c r="G29">
        <f t="shared" si="1"/>
        <v>366</v>
      </c>
      <c r="H29" s="3">
        <v>3.6600000000000001E-2</v>
      </c>
      <c r="I29">
        <f t="shared" si="2"/>
        <v>20.299999999999997</v>
      </c>
      <c r="J29">
        <v>2.0299999999999998</v>
      </c>
      <c r="K29">
        <f t="shared" si="3"/>
        <v>47</v>
      </c>
      <c r="L29">
        <v>4.7</v>
      </c>
      <c r="M29">
        <v>4.0999999999999996</v>
      </c>
      <c r="N29">
        <f t="shared" si="4"/>
        <v>40.1</v>
      </c>
      <c r="O29">
        <v>0.40100000000000002</v>
      </c>
      <c r="P29">
        <f t="shared" si="5"/>
        <v>9.1</v>
      </c>
      <c r="Q29">
        <v>9.0999999999999998E-2</v>
      </c>
      <c r="T29">
        <v>10.4</v>
      </c>
      <c r="U29">
        <v>0.188</v>
      </c>
      <c r="V29">
        <v>1737</v>
      </c>
    </row>
    <row r="30" spans="1:22">
      <c r="A30" s="1" t="s">
        <v>276</v>
      </c>
      <c r="B30" t="s">
        <v>231</v>
      </c>
      <c r="F30" s="3">
        <f t="shared" si="0"/>
        <v>6.5563264000000013E-3</v>
      </c>
      <c r="G30">
        <f t="shared" si="1"/>
        <v>1319</v>
      </c>
      <c r="H30" s="3">
        <v>0.13189999999999999</v>
      </c>
      <c r="I30">
        <f t="shared" si="2"/>
        <v>25.8</v>
      </c>
      <c r="J30">
        <v>2.58</v>
      </c>
      <c r="K30">
        <f t="shared" si="3"/>
        <v>65</v>
      </c>
      <c r="L30">
        <v>6.5</v>
      </c>
      <c r="M30">
        <v>10.4</v>
      </c>
      <c r="N30">
        <f t="shared" si="4"/>
        <v>80.600000000000009</v>
      </c>
      <c r="O30">
        <v>0.80600000000000005</v>
      </c>
      <c r="P30">
        <f t="shared" si="5"/>
        <v>16.400000000000002</v>
      </c>
      <c r="Q30">
        <v>0.16400000000000001</v>
      </c>
      <c r="T30">
        <v>17.8</v>
      </c>
      <c r="U30">
        <v>0.29699999999999999</v>
      </c>
      <c r="V30">
        <v>2592</v>
      </c>
    </row>
    <row r="31" spans="1:22">
      <c r="A31" s="1" t="s">
        <v>278</v>
      </c>
      <c r="B31" t="s">
        <v>231</v>
      </c>
      <c r="F31" s="3">
        <f t="shared" si="0"/>
        <v>2.1614602247191011E-2</v>
      </c>
      <c r="G31">
        <f t="shared" si="1"/>
        <v>3649</v>
      </c>
      <c r="H31" s="3">
        <v>0.3649</v>
      </c>
      <c r="I31">
        <f t="shared" si="2"/>
        <v>35.4</v>
      </c>
      <c r="J31">
        <v>3.54</v>
      </c>
      <c r="K31">
        <f t="shared" si="3"/>
        <v>89</v>
      </c>
      <c r="L31">
        <v>8.9</v>
      </c>
      <c r="M31">
        <v>22</v>
      </c>
      <c r="N31">
        <f t="shared" si="4"/>
        <v>129</v>
      </c>
      <c r="O31">
        <v>1.29</v>
      </c>
      <c r="P31">
        <f t="shared" si="5"/>
        <v>28.9</v>
      </c>
      <c r="Q31">
        <v>0.28899999999999998</v>
      </c>
      <c r="T31">
        <v>33.4</v>
      </c>
      <c r="U31">
        <v>0.30499999999999999</v>
      </c>
      <c r="V31">
        <v>3438</v>
      </c>
    </row>
    <row r="32" spans="1:22">
      <c r="A32" s="1" t="s">
        <v>280</v>
      </c>
      <c r="B32" t="s">
        <v>231</v>
      </c>
      <c r="F32" s="3">
        <f t="shared" si="0"/>
        <v>0.12124470588235294</v>
      </c>
      <c r="G32">
        <f t="shared" si="1"/>
        <v>15892</v>
      </c>
      <c r="H32" s="3">
        <v>1.5891999999999999</v>
      </c>
      <c r="I32">
        <f t="shared" si="2"/>
        <v>50.599999999999994</v>
      </c>
      <c r="J32">
        <v>5.0599999999999996</v>
      </c>
      <c r="K32">
        <f t="shared" si="3"/>
        <v>119</v>
      </c>
      <c r="L32">
        <v>11.9</v>
      </c>
      <c r="M32">
        <v>58</v>
      </c>
      <c r="N32">
        <f t="shared" si="4"/>
        <v>227</v>
      </c>
      <c r="O32">
        <v>2.27</v>
      </c>
      <c r="P32">
        <f t="shared" si="5"/>
        <v>70</v>
      </c>
      <c r="Q32">
        <v>0.7</v>
      </c>
      <c r="T32">
        <v>65.400000000000006</v>
      </c>
      <c r="U32">
        <v>0.53300000000000003</v>
      </c>
      <c r="V32">
        <v>4267</v>
      </c>
    </row>
    <row r="33" spans="1:22">
      <c r="A33" s="1" t="s">
        <v>216</v>
      </c>
      <c r="B33" t="s">
        <v>312</v>
      </c>
      <c r="C33" t="s">
        <v>313</v>
      </c>
      <c r="D33">
        <v>3300</v>
      </c>
      <c r="E33">
        <v>0.38</v>
      </c>
      <c r="F33" s="3">
        <f t="shared" si="0"/>
        <v>1.2835452631578949E-4</v>
      </c>
      <c r="G33">
        <f t="shared" si="1"/>
        <v>64.7</v>
      </c>
      <c r="H33" s="3">
        <v>6.4700000000000001E-3</v>
      </c>
      <c r="I33">
        <v>140</v>
      </c>
      <c r="J33">
        <v>1.78</v>
      </c>
      <c r="K33">
        <f t="shared" si="3"/>
        <v>19</v>
      </c>
      <c r="L33">
        <v>1.9</v>
      </c>
      <c r="M33">
        <v>1.1000000000000001</v>
      </c>
      <c r="N33">
        <f t="shared" si="4"/>
        <v>9.4</v>
      </c>
      <c r="O33">
        <v>9.4E-2</v>
      </c>
      <c r="P33">
        <f t="shared" si="5"/>
        <v>6.9</v>
      </c>
      <c r="Q33">
        <v>6.9000000000000006E-2</v>
      </c>
      <c r="T33">
        <v>2.9</v>
      </c>
      <c r="U33">
        <v>0.53</v>
      </c>
      <c r="V33">
        <v>416</v>
      </c>
    </row>
    <row r="34" spans="1:22">
      <c r="A34" s="1" t="s">
        <v>217</v>
      </c>
      <c r="B34" t="s">
        <v>312</v>
      </c>
      <c r="C34" t="s">
        <v>313</v>
      </c>
      <c r="D34">
        <v>3300</v>
      </c>
      <c r="E34">
        <v>0.38</v>
      </c>
      <c r="F34" s="3">
        <f t="shared" si="0"/>
        <v>5.5250000000000004E-4</v>
      </c>
      <c r="G34">
        <f t="shared" si="1"/>
        <v>275.60000000000002</v>
      </c>
      <c r="H34" s="3">
        <v>2.7560000000000001E-2</v>
      </c>
      <c r="I34">
        <f>J34*10</f>
        <v>30.6</v>
      </c>
      <c r="J34">
        <v>3.06</v>
      </c>
      <c r="K34">
        <f t="shared" si="3"/>
        <v>25</v>
      </c>
      <c r="L34">
        <v>2.5</v>
      </c>
      <c r="M34">
        <v>2.1</v>
      </c>
      <c r="N34">
        <f t="shared" si="4"/>
        <v>12.5</v>
      </c>
      <c r="O34">
        <v>0.125</v>
      </c>
      <c r="P34">
        <f t="shared" si="5"/>
        <v>22.1</v>
      </c>
      <c r="Q34">
        <v>0.221</v>
      </c>
      <c r="T34">
        <v>5.9</v>
      </c>
      <c r="U34">
        <v>0.9</v>
      </c>
      <c r="V34">
        <v>363</v>
      </c>
    </row>
    <row r="35" spans="1:22">
      <c r="A35" s="1" t="s">
        <v>218</v>
      </c>
      <c r="B35" t="s">
        <v>312</v>
      </c>
      <c r="C35" t="s">
        <v>313</v>
      </c>
      <c r="D35">
        <v>3300</v>
      </c>
      <c r="E35">
        <v>0.38</v>
      </c>
      <c r="F35" s="3">
        <f t="shared" si="0"/>
        <v>2.4401901176470593E-3</v>
      </c>
      <c r="G35">
        <f t="shared" si="1"/>
        <v>910.4</v>
      </c>
      <c r="H35" s="3">
        <v>9.1039999999999996E-2</v>
      </c>
      <c r="I35">
        <f>J35*10</f>
        <v>40.199999999999996</v>
      </c>
      <c r="J35">
        <v>4.0199999999999996</v>
      </c>
      <c r="K35">
        <f t="shared" si="3"/>
        <v>34</v>
      </c>
      <c r="L35">
        <v>3.4</v>
      </c>
      <c r="M35">
        <v>4.5</v>
      </c>
      <c r="N35">
        <f t="shared" si="4"/>
        <v>22.8</v>
      </c>
      <c r="O35">
        <v>0.22800000000000001</v>
      </c>
      <c r="P35">
        <f t="shared" si="5"/>
        <v>39.900000000000006</v>
      </c>
      <c r="Q35">
        <v>0.39900000000000002</v>
      </c>
      <c r="T35">
        <v>10.199999999999999</v>
      </c>
      <c r="U35">
        <v>1.21</v>
      </c>
      <c r="V35">
        <v>479</v>
      </c>
    </row>
    <row r="36" spans="1:22">
      <c r="A36" s="1" t="s">
        <v>219</v>
      </c>
      <c r="B36" t="s">
        <v>312</v>
      </c>
      <c r="C36" t="s">
        <v>313</v>
      </c>
      <c r="D36">
        <v>3300</v>
      </c>
      <c r="E36">
        <v>0.38</v>
      </c>
      <c r="F36" s="3">
        <f t="shared" ref="F36:F67" si="6">(Q36*O36^2*$B$2)/L36</f>
        <v>2.9469017297297307E-3</v>
      </c>
      <c r="G36">
        <f t="shared" si="1"/>
        <v>1201.3999999999999</v>
      </c>
      <c r="H36" s="3">
        <v>0.12014</v>
      </c>
      <c r="I36">
        <f>J36*10</f>
        <v>46.1</v>
      </c>
      <c r="J36">
        <v>4.6100000000000003</v>
      </c>
      <c r="K36">
        <f t="shared" si="3"/>
        <v>37</v>
      </c>
      <c r="L36">
        <v>3.7</v>
      </c>
      <c r="M36">
        <v>5.3</v>
      </c>
      <c r="N36">
        <f t="shared" si="4"/>
        <v>22.7</v>
      </c>
      <c r="O36">
        <v>0.22700000000000001</v>
      </c>
      <c r="P36">
        <f t="shared" si="5"/>
        <v>52.900000000000006</v>
      </c>
      <c r="Q36">
        <v>0.52900000000000003</v>
      </c>
      <c r="T36">
        <v>12.1</v>
      </c>
      <c r="U36">
        <v>1.45</v>
      </c>
      <c r="V36">
        <v>392</v>
      </c>
    </row>
    <row r="37" spans="1:22">
      <c r="A37" s="1" t="s">
        <v>220</v>
      </c>
      <c r="B37" t="s">
        <v>312</v>
      </c>
      <c r="C37" t="s">
        <v>313</v>
      </c>
      <c r="D37">
        <v>3300</v>
      </c>
      <c r="E37">
        <v>0.38</v>
      </c>
      <c r="F37" s="3">
        <f t="shared" si="6"/>
        <v>1.4416220160000002E-2</v>
      </c>
      <c r="G37">
        <f t="shared" si="1"/>
        <v>3883.7</v>
      </c>
      <c r="H37" s="3">
        <v>0.38836999999999999</v>
      </c>
      <c r="I37">
        <f>J37*10</f>
        <v>59.2</v>
      </c>
      <c r="J37">
        <v>5.92</v>
      </c>
      <c r="K37">
        <f t="shared" si="3"/>
        <v>50</v>
      </c>
      <c r="L37">
        <v>5</v>
      </c>
      <c r="M37">
        <v>13</v>
      </c>
      <c r="N37">
        <f t="shared" si="4"/>
        <v>46.400000000000006</v>
      </c>
      <c r="O37">
        <v>0.46400000000000002</v>
      </c>
      <c r="P37">
        <f t="shared" si="5"/>
        <v>83.7</v>
      </c>
      <c r="Q37">
        <v>0.83699999999999997</v>
      </c>
      <c r="T37">
        <v>20.6</v>
      </c>
      <c r="U37">
        <v>1.8</v>
      </c>
      <c r="V37">
        <v>650</v>
      </c>
    </row>
    <row r="38" spans="1:22">
      <c r="A38" s="1" t="s">
        <v>221</v>
      </c>
      <c r="B38" t="s">
        <v>312</v>
      </c>
      <c r="C38" t="s">
        <v>313</v>
      </c>
      <c r="D38">
        <v>3300</v>
      </c>
      <c r="E38">
        <v>0.38</v>
      </c>
      <c r="F38" s="3">
        <f t="shared" si="6"/>
        <v>2.4041552941176481E-2</v>
      </c>
      <c r="G38">
        <f t="shared" si="1"/>
        <v>5634.7</v>
      </c>
      <c r="H38" s="3">
        <v>0.56347000000000003</v>
      </c>
      <c r="I38">
        <f>J38*10</f>
        <v>73.099999999999994</v>
      </c>
      <c r="J38">
        <v>7.31</v>
      </c>
      <c r="K38">
        <f t="shared" si="3"/>
        <v>51</v>
      </c>
      <c r="L38">
        <v>5.0999999999999996</v>
      </c>
      <c r="M38">
        <v>18</v>
      </c>
      <c r="N38">
        <f t="shared" si="4"/>
        <v>54.500000000000007</v>
      </c>
      <c r="O38">
        <v>0.54500000000000004</v>
      </c>
      <c r="P38">
        <f t="shared" si="5"/>
        <v>103.2</v>
      </c>
      <c r="Q38">
        <v>1.032</v>
      </c>
      <c r="T38">
        <v>26.8</v>
      </c>
      <c r="U38">
        <v>2.4</v>
      </c>
      <c r="V38">
        <v>642</v>
      </c>
    </row>
    <row r="39" spans="1:22">
      <c r="A39" s="1" t="s">
        <v>222</v>
      </c>
      <c r="B39" t="s">
        <v>312</v>
      </c>
      <c r="C39" t="s">
        <v>313</v>
      </c>
      <c r="D39">
        <v>3300</v>
      </c>
      <c r="E39">
        <v>0.38</v>
      </c>
      <c r="F39" s="3">
        <f t="shared" si="6"/>
        <v>3.0255112727272729E-2</v>
      </c>
      <c r="G39">
        <f t="shared" si="1"/>
        <v>6819.8</v>
      </c>
      <c r="H39" s="3">
        <v>0.68198000000000003</v>
      </c>
      <c r="I39">
        <v>141</v>
      </c>
      <c r="J39">
        <v>8.16</v>
      </c>
      <c r="K39">
        <f t="shared" si="3"/>
        <v>55</v>
      </c>
      <c r="L39">
        <v>5.5</v>
      </c>
      <c r="M39">
        <v>23</v>
      </c>
      <c r="N39">
        <f t="shared" si="4"/>
        <v>61</v>
      </c>
      <c r="O39">
        <v>0.61</v>
      </c>
      <c r="P39">
        <f t="shared" si="5"/>
        <v>111.80000000000001</v>
      </c>
      <c r="Q39">
        <v>1.1180000000000001</v>
      </c>
      <c r="T39">
        <v>31.5</v>
      </c>
      <c r="U39">
        <v>2.6</v>
      </c>
      <c r="V39">
        <v>654</v>
      </c>
    </row>
    <row r="40" spans="1:22">
      <c r="A40" s="1" t="s">
        <v>288</v>
      </c>
      <c r="B40" t="s">
        <v>215</v>
      </c>
      <c r="F40" s="3">
        <f t="shared" si="6"/>
        <v>8.8850374999999997E-5</v>
      </c>
      <c r="G40">
        <f t="shared" si="1"/>
        <v>68.8</v>
      </c>
      <c r="H40" s="3">
        <v>6.8799999999999998E-3</v>
      </c>
      <c r="I40">
        <f t="shared" ref="I40:I45" si="7">J40*10</f>
        <v>14.7</v>
      </c>
      <c r="J40">
        <v>1.47</v>
      </c>
      <c r="K40">
        <f t="shared" si="3"/>
        <v>32</v>
      </c>
      <c r="L40">
        <v>3.2</v>
      </c>
      <c r="M40">
        <v>1</v>
      </c>
      <c r="N40">
        <f t="shared" si="4"/>
        <v>10.299999999999999</v>
      </c>
      <c r="O40">
        <v>0.10299999999999999</v>
      </c>
      <c r="P40">
        <f t="shared" si="5"/>
        <v>6.7</v>
      </c>
      <c r="Q40">
        <v>6.7000000000000004E-2</v>
      </c>
      <c r="T40">
        <v>3.7</v>
      </c>
      <c r="U40">
        <v>0.3</v>
      </c>
      <c r="V40">
        <v>609</v>
      </c>
    </row>
    <row r="41" spans="1:22">
      <c r="A41" s="1" t="s">
        <v>289</v>
      </c>
      <c r="B41" t="s">
        <v>215</v>
      </c>
      <c r="F41" s="3">
        <f t="shared" si="6"/>
        <v>0.12000000000000001</v>
      </c>
      <c r="G41">
        <f t="shared" si="1"/>
        <v>21903.7</v>
      </c>
      <c r="H41" s="3">
        <v>2.1903700000000002</v>
      </c>
      <c r="I41">
        <f t="shared" si="7"/>
        <v>90.8</v>
      </c>
      <c r="J41">
        <v>9.08</v>
      </c>
      <c r="K41">
        <f t="shared" si="3"/>
        <v>73</v>
      </c>
      <c r="L41">
        <v>7.3</v>
      </c>
      <c r="M41">
        <v>46</v>
      </c>
      <c r="N41">
        <f t="shared" si="4"/>
        <v>100</v>
      </c>
      <c r="O41">
        <v>1</v>
      </c>
      <c r="P41">
        <f t="shared" si="5"/>
        <v>219</v>
      </c>
      <c r="Q41">
        <v>2.19</v>
      </c>
      <c r="T41">
        <v>62.4</v>
      </c>
      <c r="U41">
        <v>2.95</v>
      </c>
      <c r="V41">
        <v>1217</v>
      </c>
    </row>
    <row r="42" spans="1:22">
      <c r="A42" s="1" t="s">
        <v>290</v>
      </c>
      <c r="B42" t="s">
        <v>215</v>
      </c>
      <c r="F42" s="3">
        <f t="shared" si="6"/>
        <v>0.35297058461538466</v>
      </c>
      <c r="G42">
        <f t="shared" si="1"/>
        <v>42486.7</v>
      </c>
      <c r="H42" s="3">
        <v>4.2486699999999997</v>
      </c>
      <c r="I42">
        <f t="shared" si="7"/>
        <v>98.800000000000011</v>
      </c>
      <c r="J42">
        <v>9.8800000000000008</v>
      </c>
      <c r="K42">
        <f t="shared" si="3"/>
        <v>91</v>
      </c>
      <c r="L42">
        <v>9.1</v>
      </c>
      <c r="M42">
        <v>96</v>
      </c>
      <c r="N42">
        <f t="shared" si="4"/>
        <v>189</v>
      </c>
      <c r="O42">
        <v>1.89</v>
      </c>
      <c r="P42">
        <f t="shared" si="5"/>
        <v>224.8</v>
      </c>
      <c r="Q42">
        <v>2.2480000000000002</v>
      </c>
      <c r="T42">
        <v>81</v>
      </c>
      <c r="U42">
        <v>3.09</v>
      </c>
      <c r="V42">
        <v>2000</v>
      </c>
    </row>
    <row r="43" spans="1:22">
      <c r="A43" s="1" t="s">
        <v>291</v>
      </c>
      <c r="B43" t="s">
        <v>215</v>
      </c>
      <c r="F43" s="3">
        <f t="shared" si="6"/>
        <v>0.62894525217391306</v>
      </c>
      <c r="G43">
        <f t="shared" si="1"/>
        <v>72912</v>
      </c>
      <c r="H43" s="3">
        <v>7.2911999999999999</v>
      </c>
      <c r="I43">
        <f t="shared" si="7"/>
        <v>100</v>
      </c>
      <c r="J43">
        <v>10</v>
      </c>
      <c r="K43">
        <f t="shared" si="3"/>
        <v>115</v>
      </c>
      <c r="L43">
        <v>11.5</v>
      </c>
      <c r="M43">
        <v>128</v>
      </c>
      <c r="N43">
        <f t="shared" si="4"/>
        <v>248</v>
      </c>
      <c r="O43">
        <v>2.48</v>
      </c>
      <c r="P43">
        <f t="shared" si="5"/>
        <v>294</v>
      </c>
      <c r="Q43">
        <v>2.94</v>
      </c>
      <c r="T43">
        <v>100.1</v>
      </c>
      <c r="U43">
        <v>2.94</v>
      </c>
      <c r="V43">
        <v>2478</v>
      </c>
    </row>
    <row r="44" spans="1:22">
      <c r="A44" s="1" t="s">
        <v>292</v>
      </c>
      <c r="B44" t="s">
        <v>215</v>
      </c>
      <c r="F44" s="3">
        <f t="shared" si="6"/>
        <v>0.51031578947368417</v>
      </c>
      <c r="G44">
        <f t="shared" si="1"/>
        <v>60606</v>
      </c>
      <c r="H44" s="3">
        <v>6.0606</v>
      </c>
      <c r="I44">
        <f t="shared" si="7"/>
        <v>91.8</v>
      </c>
      <c r="J44">
        <v>9.18</v>
      </c>
      <c r="K44">
        <f t="shared" si="3"/>
        <v>114</v>
      </c>
      <c r="L44">
        <v>11.4</v>
      </c>
      <c r="M44">
        <v>122</v>
      </c>
      <c r="N44">
        <f t="shared" si="4"/>
        <v>240</v>
      </c>
      <c r="O44">
        <v>2.4</v>
      </c>
      <c r="P44">
        <f t="shared" si="5"/>
        <v>252.5</v>
      </c>
      <c r="Q44">
        <v>2.5249999999999999</v>
      </c>
      <c r="T44">
        <v>96.2</v>
      </c>
      <c r="U44">
        <v>2.2200000000000002</v>
      </c>
      <c r="V44">
        <v>2652</v>
      </c>
    </row>
    <row r="45" spans="1:22">
      <c r="A45" s="1" t="s">
        <v>287</v>
      </c>
      <c r="B45" t="s">
        <v>215</v>
      </c>
      <c r="F45" s="3">
        <f t="shared" si="6"/>
        <v>5.476503703703704E-5</v>
      </c>
      <c r="G45">
        <f t="shared" si="1"/>
        <v>48.599999999999994</v>
      </c>
      <c r="H45" s="3">
        <v>4.8599999999999997E-3</v>
      </c>
      <c r="I45">
        <f t="shared" si="7"/>
        <v>14.2</v>
      </c>
      <c r="J45">
        <v>1.42</v>
      </c>
      <c r="K45">
        <f t="shared" si="3"/>
        <v>27</v>
      </c>
      <c r="L45">
        <v>2.7</v>
      </c>
      <c r="M45">
        <v>0.7</v>
      </c>
      <c r="N45">
        <f t="shared" si="4"/>
        <v>7.6</v>
      </c>
      <c r="O45">
        <v>7.5999999999999998E-2</v>
      </c>
      <c r="P45">
        <f t="shared" si="5"/>
        <v>6.4</v>
      </c>
      <c r="Q45">
        <v>6.4000000000000001E-2</v>
      </c>
      <c r="T45">
        <v>3</v>
      </c>
      <c r="U45">
        <v>0.32</v>
      </c>
      <c r="V45">
        <v>432</v>
      </c>
    </row>
    <row r="46" spans="1:22">
      <c r="A46" s="1" t="s">
        <v>200</v>
      </c>
      <c r="B46" t="s">
        <v>86</v>
      </c>
      <c r="C46" t="s">
        <v>204</v>
      </c>
      <c r="E46">
        <v>0.32</v>
      </c>
      <c r="F46" s="3">
        <f t="shared" si="6"/>
        <v>5.136079368750001E-2</v>
      </c>
      <c r="G46">
        <v>10800</v>
      </c>
      <c r="H46" s="3">
        <v>1.08</v>
      </c>
      <c r="I46">
        <v>72</v>
      </c>
      <c r="J46">
        <v>7.2</v>
      </c>
      <c r="K46">
        <v>64</v>
      </c>
      <c r="L46">
        <v>6.4</v>
      </c>
      <c r="M46">
        <v>28</v>
      </c>
      <c r="N46">
        <v>76.099999999999994</v>
      </c>
      <c r="O46">
        <v>0.76100000000000001</v>
      </c>
      <c r="P46">
        <v>141.9</v>
      </c>
      <c r="Q46">
        <v>1.419</v>
      </c>
      <c r="T46">
        <v>42.5</v>
      </c>
      <c r="U46">
        <v>2.2000000000000002</v>
      </c>
      <c r="V46">
        <v>1000</v>
      </c>
    </row>
    <row r="47" spans="1:22">
      <c r="A47" s="1" t="s">
        <v>202</v>
      </c>
      <c r="B47" t="s">
        <v>86</v>
      </c>
      <c r="C47" t="s">
        <v>204</v>
      </c>
      <c r="E47">
        <v>0.32</v>
      </c>
      <c r="F47" s="3">
        <f t="shared" si="6"/>
        <v>9.1447021746478882E-2</v>
      </c>
      <c r="G47">
        <v>16665</v>
      </c>
      <c r="H47" s="3">
        <v>1.6665000000000001</v>
      </c>
      <c r="I47">
        <v>78.7</v>
      </c>
      <c r="J47">
        <v>7.87</v>
      </c>
      <c r="K47">
        <v>71</v>
      </c>
      <c r="L47">
        <v>7.1</v>
      </c>
      <c r="M47">
        <v>40</v>
      </c>
      <c r="N47">
        <v>97.4</v>
      </c>
      <c r="O47">
        <v>0.97399999999999998</v>
      </c>
      <c r="P47">
        <v>171.1</v>
      </c>
      <c r="Q47">
        <v>1.7110000000000001</v>
      </c>
      <c r="T47">
        <v>53.4</v>
      </c>
      <c r="U47">
        <v>2.36</v>
      </c>
      <c r="V47">
        <v>1182</v>
      </c>
    </row>
    <row r="48" spans="1:22">
      <c r="A48" s="1" t="s">
        <v>282</v>
      </c>
      <c r="B48" t="s">
        <v>286</v>
      </c>
      <c r="F48" s="3">
        <f t="shared" si="6"/>
        <v>3.0892883333333333E-2</v>
      </c>
      <c r="G48">
        <f>H48*10000</f>
        <v>5732</v>
      </c>
      <c r="H48" s="3">
        <v>0.57320000000000004</v>
      </c>
      <c r="I48">
        <f>J48*10</f>
        <v>46.5</v>
      </c>
      <c r="J48">
        <v>4.6500000000000004</v>
      </c>
      <c r="K48">
        <f>L48*10</f>
        <v>72</v>
      </c>
      <c r="L48">
        <v>7.2</v>
      </c>
      <c r="M48">
        <v>32.700000000000003</v>
      </c>
      <c r="N48">
        <f>O48*100</f>
        <v>97</v>
      </c>
      <c r="O48">
        <v>0.97</v>
      </c>
      <c r="P48">
        <f>Q48*100</f>
        <v>59.099999999999994</v>
      </c>
      <c r="Q48">
        <v>0.59099999999999997</v>
      </c>
      <c r="T48">
        <v>33.1</v>
      </c>
      <c r="U48">
        <v>0.76200000000000001</v>
      </c>
      <c r="V48">
        <v>2382</v>
      </c>
    </row>
    <row r="49" spans="1:22">
      <c r="A49" s="1" t="s">
        <v>206</v>
      </c>
      <c r="B49" t="s">
        <v>86</v>
      </c>
      <c r="C49" t="s">
        <v>204</v>
      </c>
      <c r="E49">
        <v>0.32</v>
      </c>
      <c r="F49" s="3">
        <f t="shared" si="6"/>
        <v>0.1767691257831325</v>
      </c>
      <c r="G49">
        <v>29330</v>
      </c>
      <c r="H49" s="3">
        <v>2.9329999999999998</v>
      </c>
      <c r="I49">
        <v>92.2</v>
      </c>
      <c r="J49">
        <v>9.2200000000000006</v>
      </c>
      <c r="K49">
        <v>83</v>
      </c>
      <c r="L49">
        <v>8.3000000000000007</v>
      </c>
      <c r="M49">
        <v>60</v>
      </c>
      <c r="N49">
        <v>125.2</v>
      </c>
      <c r="O49">
        <v>1.252</v>
      </c>
      <c r="P49">
        <v>234</v>
      </c>
      <c r="Q49">
        <v>2.34</v>
      </c>
      <c r="T49">
        <v>69.900000000000006</v>
      </c>
      <c r="U49">
        <v>2.84</v>
      </c>
      <c r="V49">
        <v>1318</v>
      </c>
    </row>
    <row r="50" spans="1:22">
      <c r="A50" s="1" t="s">
        <v>283</v>
      </c>
      <c r="B50" t="s">
        <v>286</v>
      </c>
      <c r="F50" s="3">
        <f t="shared" si="6"/>
        <v>4.6011428571428571E-2</v>
      </c>
      <c r="G50">
        <f>H50*10000</f>
        <v>8047</v>
      </c>
      <c r="H50" s="3">
        <v>0.80469999999999997</v>
      </c>
      <c r="I50">
        <f>J50*10</f>
        <v>50.300000000000004</v>
      </c>
      <c r="J50">
        <v>5.03</v>
      </c>
      <c r="K50">
        <f>L50*10</f>
        <v>84</v>
      </c>
      <c r="L50">
        <v>8.4</v>
      </c>
      <c r="M50">
        <v>46.3</v>
      </c>
      <c r="N50">
        <f>O50*100</f>
        <v>120</v>
      </c>
      <c r="O50">
        <v>1.2</v>
      </c>
      <c r="P50">
        <f>Q50*100</f>
        <v>67.100000000000009</v>
      </c>
      <c r="Q50">
        <v>0.67100000000000004</v>
      </c>
      <c r="T50">
        <v>39.6</v>
      </c>
      <c r="U50">
        <v>0.76200000000000001</v>
      </c>
      <c r="V50">
        <v>2338</v>
      </c>
    </row>
    <row r="51" spans="1:22">
      <c r="A51" s="1" t="s">
        <v>207</v>
      </c>
      <c r="B51" t="s">
        <v>86</v>
      </c>
      <c r="C51" t="s">
        <v>204</v>
      </c>
      <c r="D51">
        <v>1650</v>
      </c>
      <c r="E51">
        <v>0.32</v>
      </c>
      <c r="F51" s="3">
        <f t="shared" si="6"/>
        <v>0.35962811659574467</v>
      </c>
      <c r="G51">
        <v>48520</v>
      </c>
      <c r="H51" s="3">
        <v>4.8520000000000003</v>
      </c>
      <c r="I51">
        <v>103</v>
      </c>
      <c r="J51">
        <v>10.3</v>
      </c>
      <c r="K51">
        <v>94</v>
      </c>
      <c r="L51">
        <v>9.4</v>
      </c>
      <c r="M51">
        <v>94</v>
      </c>
      <c r="N51">
        <v>174.2</v>
      </c>
      <c r="O51">
        <v>1.742</v>
      </c>
      <c r="P51">
        <v>278.5</v>
      </c>
      <c r="Q51">
        <v>2.7850000000000001</v>
      </c>
      <c r="T51">
        <v>87.9</v>
      </c>
      <c r="U51">
        <v>3.22</v>
      </c>
      <c r="V51">
        <v>1682</v>
      </c>
    </row>
    <row r="52" spans="1:22">
      <c r="A52" s="1" t="s">
        <v>284</v>
      </c>
      <c r="B52" t="s">
        <v>286</v>
      </c>
      <c r="F52" s="3">
        <f t="shared" si="6"/>
        <v>9.161424421052633E-2</v>
      </c>
      <c r="G52">
        <f>H52*10000</f>
        <v>12583</v>
      </c>
      <c r="H52" s="3">
        <v>1.2583</v>
      </c>
      <c r="I52">
        <f>J52*10</f>
        <v>54</v>
      </c>
      <c r="J52">
        <v>5.4</v>
      </c>
      <c r="K52">
        <f>L52*10</f>
        <v>95</v>
      </c>
      <c r="L52">
        <v>9.5</v>
      </c>
      <c r="M52">
        <v>72.099999999999994</v>
      </c>
      <c r="N52">
        <f>O52*100</f>
        <v>173</v>
      </c>
      <c r="O52">
        <v>1.73</v>
      </c>
      <c r="P52">
        <f>Q52*100</f>
        <v>72.7</v>
      </c>
      <c r="Q52">
        <v>0.72699999999999998</v>
      </c>
      <c r="T52">
        <v>48.4</v>
      </c>
      <c r="U52">
        <v>0.76200000000000001</v>
      </c>
      <c r="V52">
        <v>3659</v>
      </c>
    </row>
    <row r="53" spans="1:22">
      <c r="A53" s="1" t="s">
        <v>208</v>
      </c>
      <c r="B53" t="s">
        <v>86</v>
      </c>
      <c r="C53" t="s">
        <v>204</v>
      </c>
      <c r="D53">
        <v>1630</v>
      </c>
      <c r="E53">
        <v>0.32</v>
      </c>
      <c r="F53" s="3">
        <f t="shared" si="6"/>
        <v>0.5937285980582524</v>
      </c>
      <c r="G53">
        <v>72453</v>
      </c>
      <c r="H53" s="3">
        <v>7.2453000000000003</v>
      </c>
      <c r="I53">
        <v>114</v>
      </c>
      <c r="J53">
        <v>11.4</v>
      </c>
      <c r="K53">
        <v>103</v>
      </c>
      <c r="L53">
        <v>10.3</v>
      </c>
      <c r="M53">
        <v>124</v>
      </c>
      <c r="N53">
        <v>211</v>
      </c>
      <c r="O53">
        <v>2.11</v>
      </c>
      <c r="P53">
        <v>343.4</v>
      </c>
      <c r="Q53">
        <v>3.4340000000000002</v>
      </c>
      <c r="T53">
        <v>107.9</v>
      </c>
      <c r="U53">
        <v>3.54</v>
      </c>
      <c r="V53">
        <v>1909</v>
      </c>
    </row>
    <row r="54" spans="1:22">
      <c r="A54" s="1" t="s">
        <v>285</v>
      </c>
      <c r="B54" t="s">
        <v>286</v>
      </c>
      <c r="F54" s="3">
        <f t="shared" si="6"/>
        <v>0.13510411153846152</v>
      </c>
      <c r="G54">
        <f>H54*10000</f>
        <v>16641</v>
      </c>
      <c r="H54" s="3">
        <v>1.6640999999999999</v>
      </c>
      <c r="I54">
        <f>J54*10</f>
        <v>58.5</v>
      </c>
      <c r="J54">
        <v>5.85</v>
      </c>
      <c r="K54">
        <f>L54*10</f>
        <v>104</v>
      </c>
      <c r="L54">
        <v>10.4</v>
      </c>
      <c r="M54">
        <v>95</v>
      </c>
      <c r="N54">
        <f>O54*100</f>
        <v>211</v>
      </c>
      <c r="O54">
        <v>2.11</v>
      </c>
      <c r="P54">
        <f>Q54*100</f>
        <v>78.900000000000006</v>
      </c>
      <c r="Q54">
        <v>0.78900000000000003</v>
      </c>
      <c r="T54">
        <v>58.2</v>
      </c>
      <c r="U54">
        <v>0.76200000000000001</v>
      </c>
      <c r="V54">
        <v>4120</v>
      </c>
    </row>
    <row r="55" spans="1:22">
      <c r="A55" s="1" t="s">
        <v>209</v>
      </c>
      <c r="B55" t="s">
        <v>86</v>
      </c>
      <c r="C55" t="s">
        <v>204</v>
      </c>
      <c r="D55">
        <v>1600</v>
      </c>
      <c r="E55">
        <v>0.32</v>
      </c>
      <c r="F55" s="3">
        <f t="shared" si="6"/>
        <v>1.2074940170940169</v>
      </c>
      <c r="G55">
        <v>126129</v>
      </c>
      <c r="H55" s="3">
        <v>12.6129</v>
      </c>
      <c r="I55">
        <v>127</v>
      </c>
      <c r="J55">
        <v>12.7</v>
      </c>
      <c r="K55">
        <v>117</v>
      </c>
      <c r="L55">
        <v>11.7</v>
      </c>
      <c r="M55">
        <v>180</v>
      </c>
      <c r="N55">
        <v>280</v>
      </c>
      <c r="O55">
        <v>2.8</v>
      </c>
      <c r="P55">
        <v>450.5</v>
      </c>
      <c r="Q55">
        <v>4.5049999999999999</v>
      </c>
      <c r="T55">
        <v>133.69999999999999</v>
      </c>
      <c r="U55">
        <v>4.04</v>
      </c>
      <c r="V55">
        <v>2273</v>
      </c>
    </row>
    <row r="56" spans="1:22">
      <c r="A56" s="1" t="s">
        <v>116</v>
      </c>
      <c r="B56" t="s">
        <v>86</v>
      </c>
      <c r="C56" t="s">
        <v>204</v>
      </c>
      <c r="D56">
        <v>1590</v>
      </c>
      <c r="E56">
        <v>0.32</v>
      </c>
      <c r="F56" s="3">
        <f t="shared" si="6"/>
        <v>2.1741527502015501</v>
      </c>
      <c r="G56">
        <v>190698</v>
      </c>
      <c r="H56" s="3">
        <v>19.069800000000001</v>
      </c>
      <c r="I56">
        <v>139</v>
      </c>
      <c r="J56">
        <v>13.9</v>
      </c>
      <c r="K56">
        <v>129</v>
      </c>
      <c r="L56">
        <v>12.9</v>
      </c>
      <c r="M56">
        <v>260</v>
      </c>
      <c r="N56">
        <v>367.7</v>
      </c>
      <c r="O56">
        <v>3.677</v>
      </c>
      <c r="P56">
        <v>518.6</v>
      </c>
      <c r="Q56">
        <v>5.1859999999999999</v>
      </c>
      <c r="T56">
        <v>163.1</v>
      </c>
      <c r="U56">
        <v>4.5</v>
      </c>
      <c r="V56">
        <v>2727</v>
      </c>
    </row>
    <row r="57" spans="1:22">
      <c r="A57" s="1" t="s">
        <v>223</v>
      </c>
      <c r="B57" t="s">
        <v>231</v>
      </c>
      <c r="F57" s="3">
        <f t="shared" si="6"/>
        <v>1.3684210526315795E-4</v>
      </c>
      <c r="G57">
        <f t="shared" ref="G57:G103" si="8">H57*10000</f>
        <v>65.2</v>
      </c>
      <c r="H57" s="3">
        <v>6.5199999999999998E-3</v>
      </c>
      <c r="I57">
        <f t="shared" ref="I57:I103" si="9">J57*10</f>
        <v>12.5</v>
      </c>
      <c r="J57">
        <v>1.25</v>
      </c>
      <c r="K57">
        <f t="shared" ref="K57:K103" si="10">L57*10</f>
        <v>19</v>
      </c>
      <c r="L57">
        <v>1.9</v>
      </c>
      <c r="M57">
        <v>1</v>
      </c>
      <c r="N57">
        <f t="shared" ref="N57:N103" si="11">O57*100</f>
        <v>10</v>
      </c>
      <c r="O57">
        <v>0.1</v>
      </c>
      <c r="P57">
        <f t="shared" ref="P57:P103" si="12">Q57*100</f>
        <v>6.5</v>
      </c>
      <c r="Q57">
        <v>6.5000000000000002E-2</v>
      </c>
      <c r="T57">
        <v>2.8</v>
      </c>
      <c r="U57">
        <v>0.36099999999999999</v>
      </c>
      <c r="V57">
        <v>455</v>
      </c>
    </row>
    <row r="58" spans="1:22">
      <c r="A58" s="1" t="s">
        <v>224</v>
      </c>
      <c r="B58" t="s">
        <v>231</v>
      </c>
      <c r="F58" s="3">
        <f t="shared" si="6"/>
        <v>1.3426423448275864E-3</v>
      </c>
      <c r="G58">
        <f t="shared" si="8"/>
        <v>390.4</v>
      </c>
      <c r="H58" s="3">
        <v>3.9039999999999998E-2</v>
      </c>
      <c r="I58">
        <f t="shared" si="9"/>
        <v>19.7</v>
      </c>
      <c r="J58">
        <v>1.97</v>
      </c>
      <c r="K58">
        <f t="shared" si="10"/>
        <v>29</v>
      </c>
      <c r="L58">
        <v>2.9</v>
      </c>
      <c r="M58">
        <v>3.2</v>
      </c>
      <c r="N58">
        <f t="shared" si="11"/>
        <v>24.9</v>
      </c>
      <c r="O58">
        <v>0.249</v>
      </c>
      <c r="P58">
        <f t="shared" si="12"/>
        <v>15.7</v>
      </c>
      <c r="Q58">
        <v>0.157</v>
      </c>
      <c r="T58">
        <v>6.8</v>
      </c>
      <c r="U58">
        <v>0.55900000000000005</v>
      </c>
      <c r="V58">
        <v>933</v>
      </c>
    </row>
    <row r="59" spans="1:22">
      <c r="A59" s="1" t="s">
        <v>225</v>
      </c>
      <c r="B59" t="s">
        <v>231</v>
      </c>
      <c r="F59" s="3">
        <f t="shared" si="6"/>
        <v>5.2924222702702703E-3</v>
      </c>
      <c r="G59">
        <f t="shared" si="8"/>
        <v>1141.3</v>
      </c>
      <c r="H59" s="3">
        <v>0.11413</v>
      </c>
      <c r="I59">
        <f t="shared" si="9"/>
        <v>25.9</v>
      </c>
      <c r="J59">
        <v>2.59</v>
      </c>
      <c r="K59">
        <f t="shared" si="10"/>
        <v>37</v>
      </c>
      <c r="L59">
        <v>3.7</v>
      </c>
      <c r="M59">
        <v>7.3</v>
      </c>
      <c r="N59">
        <f t="shared" si="11"/>
        <v>42.9</v>
      </c>
      <c r="O59">
        <v>0.42899999999999999</v>
      </c>
      <c r="P59">
        <f t="shared" si="12"/>
        <v>26.6</v>
      </c>
      <c r="Q59">
        <v>0.26600000000000001</v>
      </c>
      <c r="T59">
        <v>11.1</v>
      </c>
      <c r="U59">
        <v>0.72</v>
      </c>
      <c r="V59">
        <v>1333</v>
      </c>
    </row>
    <row r="60" spans="1:22">
      <c r="A60" s="1" t="s">
        <v>226</v>
      </c>
      <c r="B60" t="s">
        <v>231</v>
      </c>
      <c r="F60" s="3">
        <f t="shared" si="6"/>
        <v>1.4513955545454545E-2</v>
      </c>
      <c r="G60">
        <f t="shared" si="8"/>
        <v>2498.5</v>
      </c>
      <c r="H60" s="3">
        <v>0.24984999999999999</v>
      </c>
      <c r="I60">
        <f t="shared" si="9"/>
        <v>31.200000000000003</v>
      </c>
      <c r="J60">
        <v>3.12</v>
      </c>
      <c r="K60">
        <f t="shared" si="10"/>
        <v>44</v>
      </c>
      <c r="L60">
        <v>4.4000000000000004</v>
      </c>
      <c r="M60">
        <v>13</v>
      </c>
      <c r="N60">
        <f t="shared" si="11"/>
        <v>63.9</v>
      </c>
      <c r="O60">
        <v>0.63900000000000001</v>
      </c>
      <c r="P60">
        <f t="shared" si="12"/>
        <v>39.1</v>
      </c>
      <c r="Q60">
        <v>0.39100000000000001</v>
      </c>
      <c r="T60">
        <v>16.399999999999999</v>
      </c>
      <c r="U60">
        <v>0.92</v>
      </c>
      <c r="V60">
        <v>1633</v>
      </c>
    </row>
    <row r="61" spans="1:22">
      <c r="A61" s="1" t="s">
        <v>227</v>
      </c>
      <c r="B61" t="s">
        <v>231</v>
      </c>
      <c r="F61" s="3">
        <f t="shared" si="6"/>
        <v>3.506293554716982E-2</v>
      </c>
      <c r="G61">
        <f t="shared" si="8"/>
        <v>4991.3</v>
      </c>
      <c r="H61" s="3">
        <v>0.49913000000000002</v>
      </c>
      <c r="I61">
        <f t="shared" si="9"/>
        <v>37.599999999999994</v>
      </c>
      <c r="J61">
        <v>3.76</v>
      </c>
      <c r="K61">
        <f t="shared" si="10"/>
        <v>53</v>
      </c>
      <c r="L61">
        <v>5.3</v>
      </c>
      <c r="M61">
        <v>20</v>
      </c>
      <c r="N61">
        <f t="shared" si="11"/>
        <v>93.100000000000009</v>
      </c>
      <c r="O61">
        <v>0.93100000000000005</v>
      </c>
      <c r="P61">
        <f t="shared" si="12"/>
        <v>53.6</v>
      </c>
      <c r="Q61">
        <v>0.53600000000000003</v>
      </c>
      <c r="T61">
        <v>23.1</v>
      </c>
      <c r="U61">
        <v>1.1020000000000001</v>
      </c>
      <c r="V61">
        <v>2116</v>
      </c>
    </row>
    <row r="62" spans="1:22">
      <c r="A62" s="1" t="s">
        <v>228</v>
      </c>
      <c r="B62" t="s">
        <v>231</v>
      </c>
      <c r="F62" s="3">
        <f t="shared" si="6"/>
        <v>8.7841320634920644E-2</v>
      </c>
      <c r="G62">
        <f t="shared" si="8"/>
        <v>9717.5</v>
      </c>
      <c r="H62" s="3">
        <v>0.97175</v>
      </c>
      <c r="I62">
        <f t="shared" si="9"/>
        <v>45</v>
      </c>
      <c r="J62">
        <v>4.5</v>
      </c>
      <c r="K62">
        <f t="shared" si="10"/>
        <v>63</v>
      </c>
      <c r="L62">
        <v>6.3</v>
      </c>
      <c r="M62">
        <v>34</v>
      </c>
      <c r="N62">
        <f t="shared" si="11"/>
        <v>136</v>
      </c>
      <c r="O62">
        <v>1.36</v>
      </c>
      <c r="P62">
        <f t="shared" si="12"/>
        <v>74.8</v>
      </c>
      <c r="Q62">
        <v>0.748</v>
      </c>
      <c r="T62">
        <v>31.9</v>
      </c>
      <c r="U62">
        <v>1.3</v>
      </c>
      <c r="V62">
        <v>2700</v>
      </c>
    </row>
    <row r="63" spans="1:22">
      <c r="A63" s="1" t="s">
        <v>229</v>
      </c>
      <c r="B63" t="s">
        <v>231</v>
      </c>
      <c r="F63" s="3">
        <f t="shared" si="6"/>
        <v>0.21914468266666667</v>
      </c>
      <c r="G63">
        <f t="shared" si="8"/>
        <v>20349.499999999996</v>
      </c>
      <c r="H63" s="3">
        <v>2.0349499999999998</v>
      </c>
      <c r="I63">
        <f t="shared" si="9"/>
        <v>52.9</v>
      </c>
      <c r="J63">
        <v>5.29</v>
      </c>
      <c r="K63">
        <f t="shared" si="10"/>
        <v>75</v>
      </c>
      <c r="L63">
        <v>7.5</v>
      </c>
      <c r="M63">
        <v>57</v>
      </c>
      <c r="N63">
        <f t="shared" si="11"/>
        <v>202</v>
      </c>
      <c r="O63">
        <v>2.02</v>
      </c>
      <c r="P63">
        <f t="shared" si="12"/>
        <v>100.69999999999999</v>
      </c>
      <c r="Q63">
        <v>1.0069999999999999</v>
      </c>
      <c r="T63">
        <v>44.5</v>
      </c>
      <c r="U63">
        <v>1.46</v>
      </c>
      <c r="V63">
        <v>3400</v>
      </c>
    </row>
    <row r="64" spans="1:22">
      <c r="A64" s="1" t="s">
        <v>230</v>
      </c>
      <c r="B64" t="s">
        <v>231</v>
      </c>
      <c r="F64" s="3">
        <f t="shared" si="6"/>
        <v>0.60093235348837226</v>
      </c>
      <c r="G64">
        <f t="shared" si="8"/>
        <v>48566.3</v>
      </c>
      <c r="H64" s="3">
        <v>4.85663</v>
      </c>
      <c r="I64">
        <f t="shared" si="9"/>
        <v>68.5</v>
      </c>
      <c r="J64">
        <v>6.85</v>
      </c>
      <c r="K64">
        <f t="shared" si="10"/>
        <v>86</v>
      </c>
      <c r="L64">
        <v>8.6</v>
      </c>
      <c r="M64">
        <v>104</v>
      </c>
      <c r="N64">
        <f t="shared" si="11"/>
        <v>266</v>
      </c>
      <c r="O64">
        <v>2.66</v>
      </c>
      <c r="P64">
        <f t="shared" si="12"/>
        <v>182.6</v>
      </c>
      <c r="Q64">
        <v>1.8260000000000001</v>
      </c>
      <c r="T64">
        <v>67.7</v>
      </c>
      <c r="U64">
        <v>2.04</v>
      </c>
      <c r="V64">
        <v>4000</v>
      </c>
    </row>
    <row r="65" spans="1:22">
      <c r="A65" s="1" t="s">
        <v>232</v>
      </c>
      <c r="B65" t="s">
        <v>86</v>
      </c>
      <c r="F65" s="3">
        <f t="shared" si="6"/>
        <v>1.6564145454545452E-2</v>
      </c>
      <c r="G65">
        <f t="shared" si="8"/>
        <v>2940</v>
      </c>
      <c r="H65" s="3">
        <v>0.29399999999999998</v>
      </c>
      <c r="I65">
        <f t="shared" si="9"/>
        <v>37.400000000000006</v>
      </c>
      <c r="J65">
        <v>3.74</v>
      </c>
      <c r="K65">
        <f t="shared" si="10"/>
        <v>44</v>
      </c>
      <c r="L65">
        <v>4.4000000000000004</v>
      </c>
      <c r="M65">
        <v>13</v>
      </c>
      <c r="N65">
        <f t="shared" si="11"/>
        <v>62</v>
      </c>
      <c r="O65">
        <v>0.62</v>
      </c>
      <c r="P65">
        <f t="shared" si="12"/>
        <v>47.4</v>
      </c>
      <c r="Q65">
        <v>0.47399999999999998</v>
      </c>
      <c r="T65">
        <v>16.899999999999999</v>
      </c>
      <c r="U65">
        <v>1.03</v>
      </c>
      <c r="V65">
        <v>1617</v>
      </c>
    </row>
    <row r="66" spans="1:22">
      <c r="A66" s="1" t="s">
        <v>233</v>
      </c>
      <c r="B66" t="s">
        <v>86</v>
      </c>
      <c r="F66" s="3">
        <f t="shared" si="6"/>
        <v>2.2994109090909091E-2</v>
      </c>
      <c r="G66">
        <f t="shared" si="8"/>
        <v>4079.9999999999995</v>
      </c>
      <c r="H66" s="3">
        <v>0.40799999999999997</v>
      </c>
      <c r="I66">
        <f t="shared" si="9"/>
        <v>45.4</v>
      </c>
      <c r="J66">
        <v>4.54</v>
      </c>
      <c r="K66">
        <f t="shared" si="10"/>
        <v>44</v>
      </c>
      <c r="L66">
        <v>4.4000000000000004</v>
      </c>
      <c r="M66">
        <v>15</v>
      </c>
      <c r="N66">
        <f t="shared" si="11"/>
        <v>62</v>
      </c>
      <c r="O66">
        <v>0.62</v>
      </c>
      <c r="P66">
        <f t="shared" si="12"/>
        <v>65.8</v>
      </c>
      <c r="Q66">
        <v>0.65800000000000003</v>
      </c>
      <c r="T66">
        <v>19.7</v>
      </c>
      <c r="U66">
        <v>1.43</v>
      </c>
      <c r="V66">
        <v>1313</v>
      </c>
    </row>
    <row r="67" spans="1:22">
      <c r="A67" s="1" t="s">
        <v>293</v>
      </c>
      <c r="B67" t="s">
        <v>286</v>
      </c>
      <c r="F67" s="3">
        <f t="shared" si="6"/>
        <v>1.2195963636363636E-2</v>
      </c>
      <c r="G67">
        <f t="shared" si="8"/>
        <v>2170</v>
      </c>
      <c r="H67" s="3">
        <v>0.217</v>
      </c>
      <c r="I67">
        <f t="shared" si="9"/>
        <v>32</v>
      </c>
      <c r="J67">
        <v>3.2</v>
      </c>
      <c r="K67">
        <f t="shared" si="10"/>
        <v>44</v>
      </c>
      <c r="L67">
        <v>4.4000000000000004</v>
      </c>
      <c r="M67">
        <v>12.5</v>
      </c>
      <c r="N67">
        <f t="shared" si="11"/>
        <v>62</v>
      </c>
      <c r="O67">
        <v>0.62</v>
      </c>
      <c r="P67">
        <f t="shared" si="12"/>
        <v>34.9</v>
      </c>
      <c r="Q67">
        <v>0.34899999999999998</v>
      </c>
      <c r="T67">
        <v>15.4</v>
      </c>
      <c r="U67">
        <v>0.76200000000000001</v>
      </c>
      <c r="V67">
        <v>1948</v>
      </c>
    </row>
    <row r="68" spans="1:22">
      <c r="A68" s="1" t="s">
        <v>234</v>
      </c>
      <c r="B68" t="s">
        <v>86</v>
      </c>
      <c r="F68" s="3">
        <f t="shared" ref="F68:F103" si="13">(Q68*O68^2*$B$2)/L68</f>
        <v>6.1094599999999992E-2</v>
      </c>
      <c r="G68">
        <f t="shared" si="8"/>
        <v>7180</v>
      </c>
      <c r="H68" s="3">
        <v>0.71799999999999997</v>
      </c>
      <c r="I68">
        <f t="shared" si="9"/>
        <v>46.3</v>
      </c>
      <c r="J68">
        <v>4.63</v>
      </c>
      <c r="K68">
        <f t="shared" si="10"/>
        <v>56</v>
      </c>
      <c r="L68">
        <v>5.6</v>
      </c>
      <c r="M68">
        <v>31</v>
      </c>
      <c r="N68">
        <f t="shared" si="11"/>
        <v>119</v>
      </c>
      <c r="O68">
        <v>1.19</v>
      </c>
      <c r="P68">
        <f t="shared" si="12"/>
        <v>60.4</v>
      </c>
      <c r="Q68">
        <v>0.60399999999999998</v>
      </c>
      <c r="T68">
        <v>28.4</v>
      </c>
      <c r="U68">
        <v>1.1499999999999999</v>
      </c>
      <c r="V68">
        <v>2571</v>
      </c>
    </row>
    <row r="69" spans="1:22">
      <c r="A69" s="1" t="s">
        <v>235</v>
      </c>
      <c r="B69" t="s">
        <v>86</v>
      </c>
      <c r="F69" s="3">
        <f t="shared" si="13"/>
        <v>8.2566877192982446E-2</v>
      </c>
      <c r="G69">
        <f t="shared" si="8"/>
        <v>9970</v>
      </c>
      <c r="H69" s="3">
        <v>0.997</v>
      </c>
      <c r="I69">
        <f t="shared" si="9"/>
        <v>55.5</v>
      </c>
      <c r="J69">
        <v>5.55</v>
      </c>
      <c r="K69">
        <f t="shared" si="10"/>
        <v>57</v>
      </c>
      <c r="L69">
        <v>5.7</v>
      </c>
      <c r="M69">
        <v>36</v>
      </c>
      <c r="N69">
        <f t="shared" si="11"/>
        <v>118</v>
      </c>
      <c r="O69">
        <v>1.18</v>
      </c>
      <c r="P69">
        <f t="shared" si="12"/>
        <v>84.5</v>
      </c>
      <c r="Q69">
        <v>0.84499999999999997</v>
      </c>
      <c r="T69">
        <v>32.6</v>
      </c>
      <c r="U69">
        <v>1.61</v>
      </c>
      <c r="V69">
        <v>2187</v>
      </c>
    </row>
    <row r="70" spans="1:22">
      <c r="A70" s="1" t="s">
        <v>294</v>
      </c>
      <c r="B70" t="s">
        <v>286</v>
      </c>
      <c r="F70" s="3">
        <f t="shared" si="13"/>
        <v>4.0460000000000003E-2</v>
      </c>
      <c r="G70">
        <f t="shared" si="8"/>
        <v>4770</v>
      </c>
      <c r="H70" s="3">
        <v>0.47699999999999998</v>
      </c>
      <c r="I70">
        <f t="shared" si="9"/>
        <v>39</v>
      </c>
      <c r="J70">
        <v>3.9</v>
      </c>
      <c r="K70">
        <f t="shared" si="10"/>
        <v>56</v>
      </c>
      <c r="L70">
        <v>5.6</v>
      </c>
      <c r="M70">
        <v>28</v>
      </c>
      <c r="N70">
        <f t="shared" si="11"/>
        <v>119</v>
      </c>
      <c r="O70">
        <v>1.19</v>
      </c>
      <c r="P70">
        <f t="shared" si="12"/>
        <v>40</v>
      </c>
      <c r="Q70">
        <v>0.4</v>
      </c>
      <c r="T70">
        <v>25.4</v>
      </c>
      <c r="U70">
        <v>0.76200000000000001</v>
      </c>
      <c r="V70">
        <v>3170</v>
      </c>
    </row>
    <row r="71" spans="1:22">
      <c r="A71" s="1" t="s">
        <v>236</v>
      </c>
      <c r="B71" t="s">
        <v>86</v>
      </c>
      <c r="F71" s="3">
        <f t="shared" si="13"/>
        <v>0.14152242424242426</v>
      </c>
      <c r="G71">
        <f t="shared" si="8"/>
        <v>13730</v>
      </c>
      <c r="H71" s="3">
        <v>1.373</v>
      </c>
      <c r="I71">
        <f t="shared" si="9"/>
        <v>55.5</v>
      </c>
      <c r="J71">
        <v>5.55</v>
      </c>
      <c r="K71">
        <f t="shared" si="10"/>
        <v>66</v>
      </c>
      <c r="L71">
        <v>6.6</v>
      </c>
      <c r="M71">
        <v>42</v>
      </c>
      <c r="N71">
        <f t="shared" si="11"/>
        <v>170</v>
      </c>
      <c r="O71">
        <v>1.7</v>
      </c>
      <c r="P71">
        <f t="shared" si="12"/>
        <v>80.800000000000011</v>
      </c>
      <c r="Q71">
        <v>0.80800000000000005</v>
      </c>
      <c r="T71">
        <v>36.299999999999997</v>
      </c>
      <c r="U71">
        <v>1.1499999999999999</v>
      </c>
      <c r="V71">
        <v>3046</v>
      </c>
    </row>
    <row r="72" spans="1:22">
      <c r="A72" s="1" t="s">
        <v>237</v>
      </c>
      <c r="B72" t="s">
        <v>86</v>
      </c>
      <c r="F72" s="3">
        <f t="shared" si="13"/>
        <v>0.2315093492537314</v>
      </c>
      <c r="G72">
        <f t="shared" si="8"/>
        <v>24089.999999999996</v>
      </c>
      <c r="H72" s="3">
        <v>2.4089999999999998</v>
      </c>
      <c r="I72">
        <f t="shared" si="9"/>
        <v>74.599999999999994</v>
      </c>
      <c r="J72">
        <v>7.46</v>
      </c>
      <c r="K72">
        <f t="shared" si="10"/>
        <v>67</v>
      </c>
      <c r="L72">
        <v>6.7</v>
      </c>
      <c r="M72">
        <v>55</v>
      </c>
      <c r="N72">
        <f t="shared" si="11"/>
        <v>161</v>
      </c>
      <c r="O72">
        <v>1.61</v>
      </c>
      <c r="P72">
        <f t="shared" si="12"/>
        <v>149.6</v>
      </c>
      <c r="Q72">
        <v>1.496</v>
      </c>
      <c r="T72">
        <v>46.9</v>
      </c>
      <c r="U72">
        <v>2.13</v>
      </c>
      <c r="V72">
        <v>2142</v>
      </c>
    </row>
    <row r="73" spans="1:22">
      <c r="A73" s="1" t="s">
        <v>295</v>
      </c>
      <c r="B73" t="s">
        <v>286</v>
      </c>
      <c r="F73" s="3">
        <f t="shared" si="13"/>
        <v>9.3706060606060612E-2</v>
      </c>
      <c r="G73">
        <f t="shared" si="8"/>
        <v>9090</v>
      </c>
      <c r="H73" s="3">
        <v>0.90900000000000003</v>
      </c>
      <c r="I73">
        <f t="shared" si="9"/>
        <v>48</v>
      </c>
      <c r="J73">
        <v>4.8</v>
      </c>
      <c r="K73">
        <f t="shared" si="10"/>
        <v>66</v>
      </c>
      <c r="L73">
        <v>6.6</v>
      </c>
      <c r="M73">
        <v>39.4</v>
      </c>
      <c r="N73">
        <f t="shared" si="11"/>
        <v>170</v>
      </c>
      <c r="O73">
        <v>1.7</v>
      </c>
      <c r="P73">
        <f t="shared" si="12"/>
        <v>53.5</v>
      </c>
      <c r="Q73">
        <v>0.53500000000000003</v>
      </c>
      <c r="T73">
        <v>32.9</v>
      </c>
      <c r="U73">
        <v>0.76200000000000001</v>
      </c>
      <c r="V73">
        <v>3659</v>
      </c>
    </row>
    <row r="74" spans="1:22">
      <c r="A74" s="1" t="s">
        <v>238</v>
      </c>
      <c r="B74" t="s">
        <v>86</v>
      </c>
      <c r="F74" s="3">
        <f t="shared" si="13"/>
        <v>0.45197704533333327</v>
      </c>
      <c r="G74">
        <f t="shared" si="8"/>
        <v>43240</v>
      </c>
      <c r="H74" s="3">
        <v>4.3239999999999998</v>
      </c>
      <c r="I74">
        <f t="shared" si="9"/>
        <v>87.899999999999991</v>
      </c>
      <c r="J74">
        <v>8.7899999999999991</v>
      </c>
      <c r="K74">
        <f t="shared" si="10"/>
        <v>75</v>
      </c>
      <c r="L74">
        <v>7.5</v>
      </c>
      <c r="M74">
        <v>73</v>
      </c>
      <c r="N74">
        <f t="shared" si="11"/>
        <v>196</v>
      </c>
      <c r="O74">
        <v>1.96</v>
      </c>
      <c r="P74">
        <f t="shared" si="12"/>
        <v>220.6</v>
      </c>
      <c r="Q74">
        <v>2.206</v>
      </c>
      <c r="T74">
        <v>60.7</v>
      </c>
      <c r="U74">
        <v>2.5</v>
      </c>
      <c r="V74">
        <v>2025</v>
      </c>
    </row>
    <row r="75" spans="1:22">
      <c r="A75" s="1" t="s">
        <v>296</v>
      </c>
      <c r="B75" t="s">
        <v>286</v>
      </c>
      <c r="F75" s="3">
        <f t="shared" si="13"/>
        <v>0.13954352432432432</v>
      </c>
      <c r="G75">
        <f t="shared" si="8"/>
        <v>13180</v>
      </c>
      <c r="H75" s="3">
        <v>1.3180000000000001</v>
      </c>
      <c r="I75">
        <f t="shared" si="9"/>
        <v>53</v>
      </c>
      <c r="J75">
        <v>5.3</v>
      </c>
      <c r="K75">
        <f t="shared" si="10"/>
        <v>74</v>
      </c>
      <c r="L75">
        <v>7.4</v>
      </c>
      <c r="M75">
        <v>44.9</v>
      </c>
      <c r="N75">
        <f t="shared" si="11"/>
        <v>196</v>
      </c>
      <c r="O75">
        <v>1.96</v>
      </c>
      <c r="P75">
        <f t="shared" si="12"/>
        <v>67.2</v>
      </c>
      <c r="Q75">
        <v>0.67200000000000004</v>
      </c>
      <c r="T75">
        <v>40.4</v>
      </c>
      <c r="U75">
        <v>0.76200000000000001</v>
      </c>
      <c r="V75">
        <v>3893</v>
      </c>
    </row>
    <row r="76" spans="1:22">
      <c r="A76" s="1" t="s">
        <v>239</v>
      </c>
      <c r="B76" t="s">
        <v>86</v>
      </c>
      <c r="F76" s="3">
        <f t="shared" si="13"/>
        <v>0.62717742857142833</v>
      </c>
      <c r="G76">
        <f t="shared" si="8"/>
        <v>65519.999999999993</v>
      </c>
      <c r="H76" s="3">
        <v>6.5519999999999996</v>
      </c>
      <c r="I76">
        <f t="shared" si="9"/>
        <v>102</v>
      </c>
      <c r="J76">
        <v>10.199999999999999</v>
      </c>
      <c r="K76">
        <f t="shared" si="10"/>
        <v>84</v>
      </c>
      <c r="L76">
        <v>8.4</v>
      </c>
      <c r="M76">
        <v>95</v>
      </c>
      <c r="N76">
        <f t="shared" si="11"/>
        <v>200.99999999999997</v>
      </c>
      <c r="O76">
        <v>2.0099999999999998</v>
      </c>
      <c r="P76">
        <f t="shared" si="12"/>
        <v>326</v>
      </c>
      <c r="Q76">
        <v>3.26</v>
      </c>
      <c r="T76">
        <v>77.099999999999994</v>
      </c>
      <c r="U76">
        <v>2.95</v>
      </c>
      <c r="V76">
        <v>1792</v>
      </c>
    </row>
    <row r="77" spans="1:22">
      <c r="A77" s="1" t="s">
        <v>297</v>
      </c>
      <c r="B77" t="s">
        <v>286</v>
      </c>
      <c r="F77" s="3">
        <f t="shared" si="13"/>
        <v>0.16394044337349392</v>
      </c>
      <c r="G77">
        <f t="shared" si="8"/>
        <v>16920</v>
      </c>
      <c r="H77" s="3">
        <v>1.6919999999999999</v>
      </c>
      <c r="I77">
        <f t="shared" si="9"/>
        <v>58</v>
      </c>
      <c r="J77">
        <v>5.8</v>
      </c>
      <c r="K77">
        <f t="shared" si="10"/>
        <v>83</v>
      </c>
      <c r="L77">
        <v>8.3000000000000007</v>
      </c>
      <c r="M77">
        <v>63.5</v>
      </c>
      <c r="N77">
        <f t="shared" si="11"/>
        <v>200.99999999999997</v>
      </c>
      <c r="O77">
        <v>2.0099999999999998</v>
      </c>
      <c r="P77">
        <f t="shared" si="12"/>
        <v>84.2</v>
      </c>
      <c r="Q77">
        <v>0.84199999999999997</v>
      </c>
      <c r="T77">
        <v>48</v>
      </c>
      <c r="U77">
        <v>0.76200000000000001</v>
      </c>
      <c r="V77">
        <v>3850</v>
      </c>
    </row>
    <row r="78" spans="1:22">
      <c r="A78" s="1" t="s">
        <v>240</v>
      </c>
      <c r="B78" t="s">
        <v>86</v>
      </c>
      <c r="F78" s="3">
        <f t="shared" si="13"/>
        <v>1.8099180116504852</v>
      </c>
      <c r="G78">
        <f t="shared" si="8"/>
        <v>142090</v>
      </c>
      <c r="H78" s="3">
        <v>14.209</v>
      </c>
      <c r="I78">
        <f t="shared" si="9"/>
        <v>113</v>
      </c>
      <c r="J78">
        <v>11.3</v>
      </c>
      <c r="K78">
        <f t="shared" si="10"/>
        <v>103</v>
      </c>
      <c r="L78">
        <v>10.3</v>
      </c>
      <c r="M78">
        <v>195</v>
      </c>
      <c r="N78">
        <f t="shared" si="11"/>
        <v>328</v>
      </c>
      <c r="O78">
        <v>3.28</v>
      </c>
      <c r="P78">
        <f t="shared" si="12"/>
        <v>433.2</v>
      </c>
      <c r="Q78">
        <v>4.3319999999999999</v>
      </c>
      <c r="T78">
        <v>113.9</v>
      </c>
      <c r="U78">
        <v>3.61</v>
      </c>
      <c r="V78">
        <v>2800</v>
      </c>
    </row>
    <row r="79" spans="1:22">
      <c r="A79" s="1" t="s">
        <v>245</v>
      </c>
      <c r="B79" t="s">
        <v>86</v>
      </c>
      <c r="F79" s="3">
        <f t="shared" si="13"/>
        <v>5.0375698113207544E-2</v>
      </c>
      <c r="G79">
        <f t="shared" si="8"/>
        <v>6814</v>
      </c>
      <c r="H79" s="3">
        <v>0.68140000000000001</v>
      </c>
      <c r="I79">
        <f t="shared" si="9"/>
        <v>44</v>
      </c>
      <c r="J79">
        <v>4.4000000000000004</v>
      </c>
      <c r="K79">
        <f t="shared" si="10"/>
        <v>53</v>
      </c>
      <c r="L79">
        <v>5.3</v>
      </c>
      <c r="M79">
        <v>23</v>
      </c>
      <c r="N79">
        <f t="shared" si="11"/>
        <v>98</v>
      </c>
      <c r="O79">
        <v>0.98</v>
      </c>
      <c r="P79">
        <f t="shared" si="12"/>
        <v>69.5</v>
      </c>
      <c r="Q79">
        <v>0.69499999999999995</v>
      </c>
      <c r="T79">
        <v>29.6</v>
      </c>
      <c r="U79">
        <v>1.27</v>
      </c>
      <c r="V79">
        <v>1833</v>
      </c>
    </row>
    <row r="80" spans="1:22">
      <c r="A80" s="1" t="s">
        <v>303</v>
      </c>
      <c r="B80" t="s">
        <v>215</v>
      </c>
      <c r="F80" s="3">
        <f t="shared" si="13"/>
        <v>1.7368918846153849E-2</v>
      </c>
      <c r="G80">
        <f t="shared" si="8"/>
        <v>2791.5</v>
      </c>
      <c r="H80" s="3">
        <v>0.27915000000000001</v>
      </c>
      <c r="I80">
        <f t="shared" si="9"/>
        <v>33.9</v>
      </c>
      <c r="J80">
        <v>3.39</v>
      </c>
      <c r="K80">
        <f t="shared" si="10"/>
        <v>52</v>
      </c>
      <c r="L80">
        <v>5.2</v>
      </c>
      <c r="M80">
        <v>17</v>
      </c>
      <c r="N80">
        <f t="shared" si="11"/>
        <v>80.900000000000006</v>
      </c>
      <c r="O80">
        <v>0.80900000000000005</v>
      </c>
      <c r="P80">
        <f t="shared" si="12"/>
        <v>34.5</v>
      </c>
      <c r="Q80">
        <v>0.34499999999999997</v>
      </c>
      <c r="T80">
        <v>25</v>
      </c>
      <c r="U80">
        <v>0.67</v>
      </c>
      <c r="V80">
        <v>2435</v>
      </c>
    </row>
    <row r="81" spans="1:22">
      <c r="A81" s="1" t="s">
        <v>246</v>
      </c>
      <c r="B81" t="s">
        <v>86</v>
      </c>
      <c r="F81" s="3">
        <f t="shared" si="13"/>
        <v>0.13947612903225803</v>
      </c>
      <c r="G81">
        <f t="shared" si="8"/>
        <v>15440</v>
      </c>
      <c r="H81" s="3">
        <v>1.544</v>
      </c>
      <c r="I81">
        <f t="shared" si="9"/>
        <v>56.900000000000006</v>
      </c>
      <c r="J81">
        <v>5.69</v>
      </c>
      <c r="K81">
        <f t="shared" si="10"/>
        <v>62</v>
      </c>
      <c r="L81">
        <v>6.2</v>
      </c>
      <c r="M81">
        <v>42</v>
      </c>
      <c r="N81">
        <f t="shared" si="11"/>
        <v>140</v>
      </c>
      <c r="O81">
        <v>1.4</v>
      </c>
      <c r="P81">
        <f t="shared" si="12"/>
        <v>110.3</v>
      </c>
      <c r="Q81">
        <v>1.103</v>
      </c>
      <c r="T81">
        <v>44.6</v>
      </c>
      <c r="U81">
        <v>1.71</v>
      </c>
      <c r="V81">
        <v>2434</v>
      </c>
    </row>
    <row r="82" spans="1:22">
      <c r="A82" s="1" t="s">
        <v>304</v>
      </c>
      <c r="B82" t="s">
        <v>215</v>
      </c>
      <c r="F82" s="3">
        <f t="shared" si="13"/>
        <v>5.6250000000000015E-2</v>
      </c>
      <c r="G82">
        <f t="shared" si="8"/>
        <v>6862.5</v>
      </c>
      <c r="H82" s="3">
        <v>0.68625000000000003</v>
      </c>
      <c r="I82">
        <f t="shared" si="9"/>
        <v>42</v>
      </c>
      <c r="J82">
        <v>4.2</v>
      </c>
      <c r="K82">
        <f t="shared" si="10"/>
        <v>61</v>
      </c>
      <c r="L82">
        <v>6.1</v>
      </c>
      <c r="M82">
        <v>34</v>
      </c>
      <c r="N82">
        <f t="shared" si="11"/>
        <v>125</v>
      </c>
      <c r="O82">
        <v>1.25</v>
      </c>
      <c r="P82">
        <f t="shared" si="12"/>
        <v>54.900000000000006</v>
      </c>
      <c r="Q82">
        <v>0.54900000000000004</v>
      </c>
      <c r="T82">
        <v>37.799999999999997</v>
      </c>
      <c r="U82">
        <v>0.9</v>
      </c>
      <c r="V82">
        <v>3087</v>
      </c>
    </row>
    <row r="83" spans="1:22">
      <c r="A83" s="1" t="s">
        <v>247</v>
      </c>
      <c r="B83" t="s">
        <v>86</v>
      </c>
      <c r="F83" s="3">
        <f t="shared" si="13"/>
        <v>0.30651102222222221</v>
      </c>
      <c r="G83">
        <f t="shared" si="8"/>
        <v>27790</v>
      </c>
      <c r="H83" s="3">
        <v>2.7789999999999999</v>
      </c>
      <c r="I83">
        <f t="shared" si="9"/>
        <v>69</v>
      </c>
      <c r="J83">
        <v>6.9</v>
      </c>
      <c r="K83">
        <f t="shared" si="10"/>
        <v>72</v>
      </c>
      <c r="L83">
        <v>7.2</v>
      </c>
      <c r="M83">
        <v>70</v>
      </c>
      <c r="N83">
        <f t="shared" si="11"/>
        <v>188</v>
      </c>
      <c r="O83">
        <v>1.88</v>
      </c>
      <c r="P83">
        <f t="shared" si="12"/>
        <v>156.1</v>
      </c>
      <c r="Q83">
        <v>1.5609999999999999</v>
      </c>
      <c r="T83">
        <v>62.8</v>
      </c>
      <c r="U83">
        <v>2.11</v>
      </c>
      <c r="V83">
        <v>2869</v>
      </c>
    </row>
    <row r="84" spans="1:22">
      <c r="A84" s="1" t="s">
        <v>305</v>
      </c>
      <c r="B84" t="s">
        <v>215</v>
      </c>
      <c r="F84" s="3">
        <f t="shared" si="13"/>
        <v>0.1235495661971831</v>
      </c>
      <c r="G84">
        <f t="shared" si="8"/>
        <v>13053.6</v>
      </c>
      <c r="H84" s="3">
        <v>1.3053600000000001</v>
      </c>
      <c r="I84">
        <f t="shared" si="9"/>
        <v>50.9</v>
      </c>
      <c r="J84">
        <v>5.09</v>
      </c>
      <c r="K84">
        <f t="shared" si="10"/>
        <v>71</v>
      </c>
      <c r="L84">
        <v>7.1</v>
      </c>
      <c r="M84">
        <v>55</v>
      </c>
      <c r="N84">
        <f t="shared" si="11"/>
        <v>168</v>
      </c>
      <c r="O84">
        <v>1.68</v>
      </c>
      <c r="P84">
        <f t="shared" si="12"/>
        <v>77.7</v>
      </c>
      <c r="Q84">
        <v>0.77700000000000002</v>
      </c>
      <c r="T84">
        <v>52.5</v>
      </c>
      <c r="U84">
        <v>1.1100000000000001</v>
      </c>
      <c r="V84">
        <v>3652</v>
      </c>
    </row>
    <row r="85" spans="1:22">
      <c r="A85" s="1" t="s">
        <v>241</v>
      </c>
      <c r="B85" t="s">
        <v>86</v>
      </c>
      <c r="F85" s="3">
        <f t="shared" si="13"/>
        <v>6.1544000000000008E-4</v>
      </c>
      <c r="G85">
        <f t="shared" si="8"/>
        <v>219</v>
      </c>
      <c r="H85" s="3">
        <v>2.1899999999999999E-2</v>
      </c>
      <c r="I85">
        <f t="shared" si="9"/>
        <v>22.7</v>
      </c>
      <c r="J85">
        <v>2.27</v>
      </c>
      <c r="K85">
        <f t="shared" si="10"/>
        <v>20</v>
      </c>
      <c r="L85">
        <v>2</v>
      </c>
      <c r="M85">
        <v>1.7</v>
      </c>
      <c r="N85">
        <f t="shared" si="11"/>
        <v>14.000000000000002</v>
      </c>
      <c r="O85">
        <v>0.14000000000000001</v>
      </c>
      <c r="P85">
        <f t="shared" si="12"/>
        <v>15.7</v>
      </c>
      <c r="Q85">
        <v>0.157</v>
      </c>
      <c r="T85">
        <v>5.9</v>
      </c>
      <c r="U85">
        <v>0.72</v>
      </c>
      <c r="V85">
        <v>489</v>
      </c>
    </row>
    <row r="86" spans="1:22">
      <c r="A86" s="1" t="s">
        <v>298</v>
      </c>
      <c r="B86" t="s">
        <v>215</v>
      </c>
      <c r="F86" s="3">
        <f t="shared" si="13"/>
        <v>2.2218059999999998E-4</v>
      </c>
      <c r="G86">
        <f t="shared" si="8"/>
        <v>98.399999999999991</v>
      </c>
      <c r="H86" s="3">
        <v>9.8399999999999998E-3</v>
      </c>
      <c r="I86">
        <f t="shared" si="9"/>
        <v>17.3</v>
      </c>
      <c r="J86">
        <v>1.73</v>
      </c>
      <c r="K86">
        <f t="shared" si="10"/>
        <v>20</v>
      </c>
      <c r="L86">
        <v>2</v>
      </c>
      <c r="M86">
        <v>1.5</v>
      </c>
      <c r="N86">
        <f t="shared" si="11"/>
        <v>11.3</v>
      </c>
      <c r="O86">
        <v>0.113</v>
      </c>
      <c r="P86">
        <f t="shared" si="12"/>
        <v>8.6999999999999993</v>
      </c>
      <c r="Q86">
        <v>8.6999999999999994E-2</v>
      </c>
      <c r="T86">
        <v>5</v>
      </c>
      <c r="U86">
        <v>0.43</v>
      </c>
      <c r="V86">
        <v>609</v>
      </c>
    </row>
    <row r="87" spans="1:22">
      <c r="A87" s="1" t="s">
        <v>242</v>
      </c>
      <c r="B87" t="s">
        <v>86</v>
      </c>
      <c r="F87" s="3">
        <f t="shared" si="13"/>
        <v>1.6356412799999997E-3</v>
      </c>
      <c r="G87">
        <f t="shared" si="8"/>
        <v>431</v>
      </c>
      <c r="H87" s="3">
        <v>4.3099999999999999E-2</v>
      </c>
      <c r="I87">
        <f t="shared" si="9"/>
        <v>22.400000000000002</v>
      </c>
      <c r="J87">
        <v>2.2400000000000002</v>
      </c>
      <c r="K87">
        <f t="shared" si="10"/>
        <v>25</v>
      </c>
      <c r="L87">
        <v>2.5</v>
      </c>
      <c r="M87">
        <v>3</v>
      </c>
      <c r="N87">
        <f t="shared" si="11"/>
        <v>23.7</v>
      </c>
      <c r="O87">
        <v>0.23699999999999999</v>
      </c>
      <c r="P87">
        <f t="shared" si="12"/>
        <v>18.2</v>
      </c>
      <c r="Q87">
        <v>0.182</v>
      </c>
      <c r="T87">
        <v>7.9</v>
      </c>
      <c r="U87">
        <v>0.65</v>
      </c>
      <c r="V87">
        <v>869</v>
      </c>
    </row>
    <row r="88" spans="1:22">
      <c r="A88" s="1" t="s">
        <v>299</v>
      </c>
      <c r="B88" t="s">
        <v>215</v>
      </c>
      <c r="F88" s="3">
        <f t="shared" si="13"/>
        <v>4.9796720000000005E-4</v>
      </c>
      <c r="G88">
        <f t="shared" si="8"/>
        <v>172.70000000000002</v>
      </c>
      <c r="H88" s="3">
        <v>1.7270000000000001E-2</v>
      </c>
      <c r="I88">
        <f t="shared" si="9"/>
        <v>17.5</v>
      </c>
      <c r="J88">
        <v>1.75</v>
      </c>
      <c r="K88">
        <f t="shared" si="10"/>
        <v>25</v>
      </c>
      <c r="L88">
        <v>2.5</v>
      </c>
      <c r="M88">
        <v>2.2000000000000002</v>
      </c>
      <c r="N88">
        <f t="shared" si="11"/>
        <v>18.099999999999998</v>
      </c>
      <c r="O88">
        <v>0.18099999999999999</v>
      </c>
      <c r="P88">
        <f t="shared" si="12"/>
        <v>9.5</v>
      </c>
      <c r="Q88">
        <v>9.5000000000000001E-2</v>
      </c>
      <c r="T88">
        <v>6.9</v>
      </c>
      <c r="U88">
        <v>0.36</v>
      </c>
      <c r="V88">
        <v>1022</v>
      </c>
    </row>
    <row r="89" spans="1:22">
      <c r="A89" s="1" t="s">
        <v>243</v>
      </c>
      <c r="B89" t="s">
        <v>86</v>
      </c>
      <c r="F89" s="3">
        <f t="shared" si="13"/>
        <v>4.4940077419354839E-3</v>
      </c>
      <c r="G89">
        <f t="shared" si="8"/>
        <v>953</v>
      </c>
      <c r="H89" s="3">
        <v>9.5299999999999996E-2</v>
      </c>
      <c r="I89">
        <f t="shared" si="9"/>
        <v>28.599999999999998</v>
      </c>
      <c r="J89">
        <v>2.86</v>
      </c>
      <c r="K89">
        <f t="shared" si="10"/>
        <v>31</v>
      </c>
      <c r="L89">
        <v>3.1</v>
      </c>
      <c r="M89">
        <v>5.5</v>
      </c>
      <c r="N89">
        <f t="shared" si="11"/>
        <v>36.6</v>
      </c>
      <c r="O89">
        <v>0.36599999999999999</v>
      </c>
      <c r="P89">
        <f t="shared" si="12"/>
        <v>26</v>
      </c>
      <c r="Q89">
        <v>0.26</v>
      </c>
      <c r="T89">
        <v>11.3</v>
      </c>
      <c r="U89">
        <v>0.82</v>
      </c>
      <c r="V89">
        <v>1130</v>
      </c>
    </row>
    <row r="90" spans="1:22">
      <c r="A90" s="1" t="s">
        <v>300</v>
      </c>
      <c r="B90" t="s">
        <v>215</v>
      </c>
      <c r="F90" s="3">
        <f t="shared" si="13"/>
        <v>1.6956696774193549E-3</v>
      </c>
      <c r="G90">
        <f t="shared" si="8"/>
        <v>421.2</v>
      </c>
      <c r="H90" s="3">
        <v>4.2119999999999998E-2</v>
      </c>
      <c r="I90">
        <f t="shared" si="9"/>
        <v>21.8</v>
      </c>
      <c r="J90">
        <v>2.1800000000000002</v>
      </c>
      <c r="K90">
        <f t="shared" si="10"/>
        <v>31</v>
      </c>
      <c r="L90">
        <v>3.1</v>
      </c>
      <c r="M90">
        <v>4.2</v>
      </c>
      <c r="N90">
        <f t="shared" si="11"/>
        <v>31.2</v>
      </c>
      <c r="O90">
        <v>0.312</v>
      </c>
      <c r="P90">
        <f t="shared" si="12"/>
        <v>13.5</v>
      </c>
      <c r="Q90">
        <v>0.13500000000000001</v>
      </c>
      <c r="T90">
        <v>9.6</v>
      </c>
      <c r="U90">
        <v>0.45</v>
      </c>
      <c r="V90">
        <v>1380</v>
      </c>
    </row>
    <row r="91" spans="1:22">
      <c r="A91" s="1" t="s">
        <v>301</v>
      </c>
      <c r="B91" t="s">
        <v>215</v>
      </c>
      <c r="F91" s="3">
        <f t="shared" si="13"/>
        <v>3.066624E-3</v>
      </c>
      <c r="G91">
        <f t="shared" si="8"/>
        <v>697.90000000000009</v>
      </c>
      <c r="H91" s="3">
        <v>6.9790000000000005E-2</v>
      </c>
      <c r="I91">
        <f t="shared" si="9"/>
        <v>23.5</v>
      </c>
      <c r="J91">
        <v>2.35</v>
      </c>
      <c r="K91">
        <f t="shared" si="10"/>
        <v>36</v>
      </c>
      <c r="L91">
        <v>3.6</v>
      </c>
      <c r="M91">
        <v>6</v>
      </c>
      <c r="N91">
        <f t="shared" si="11"/>
        <v>39.6</v>
      </c>
      <c r="O91">
        <v>0.39600000000000002</v>
      </c>
      <c r="P91">
        <f t="shared" si="12"/>
        <v>17.599999999999998</v>
      </c>
      <c r="Q91">
        <v>0.17599999999999999</v>
      </c>
      <c r="T91">
        <v>12.7</v>
      </c>
      <c r="U91">
        <v>0.47</v>
      </c>
      <c r="V91">
        <v>1587</v>
      </c>
    </row>
    <row r="92" spans="1:22">
      <c r="A92" s="1" t="s">
        <v>244</v>
      </c>
      <c r="B92" t="s">
        <v>86</v>
      </c>
      <c r="F92" s="3">
        <f t="shared" si="13"/>
        <v>1.9114666666666669E-2</v>
      </c>
      <c r="G92">
        <f t="shared" si="8"/>
        <v>3133.0000000000005</v>
      </c>
      <c r="H92" s="3">
        <v>0.31330000000000002</v>
      </c>
      <c r="I92">
        <f t="shared" si="9"/>
        <v>38</v>
      </c>
      <c r="J92">
        <v>3.8</v>
      </c>
      <c r="K92">
        <f t="shared" si="10"/>
        <v>42</v>
      </c>
      <c r="L92">
        <v>4.2</v>
      </c>
      <c r="M92">
        <v>13</v>
      </c>
      <c r="N92">
        <f t="shared" si="11"/>
        <v>64</v>
      </c>
      <c r="O92">
        <v>0.64</v>
      </c>
      <c r="P92">
        <f t="shared" si="12"/>
        <v>49</v>
      </c>
      <c r="Q92">
        <v>0.49</v>
      </c>
      <c r="T92">
        <v>20.2</v>
      </c>
      <c r="U92">
        <v>1.1000000000000001</v>
      </c>
      <c r="V92">
        <v>1233</v>
      </c>
    </row>
    <row r="93" spans="1:22">
      <c r="A93" s="1" t="s">
        <v>302</v>
      </c>
      <c r="B93" t="s">
        <v>215</v>
      </c>
      <c r="F93" s="3">
        <f t="shared" si="13"/>
        <v>7.2782937142857156E-3</v>
      </c>
      <c r="G93">
        <f t="shared" si="8"/>
        <v>1381</v>
      </c>
      <c r="H93" s="3">
        <v>0.1381</v>
      </c>
      <c r="I93">
        <f t="shared" si="9"/>
        <v>28.700000000000003</v>
      </c>
      <c r="J93">
        <v>2.87</v>
      </c>
      <c r="K93">
        <f t="shared" si="10"/>
        <v>42</v>
      </c>
      <c r="L93">
        <v>4.2</v>
      </c>
      <c r="M93">
        <v>10</v>
      </c>
      <c r="N93">
        <f t="shared" si="11"/>
        <v>55.400000000000006</v>
      </c>
      <c r="O93">
        <v>0.55400000000000005</v>
      </c>
      <c r="P93">
        <f t="shared" si="12"/>
        <v>24.9</v>
      </c>
      <c r="Q93">
        <v>0.249</v>
      </c>
      <c r="T93">
        <v>16.899999999999999</v>
      </c>
      <c r="U93">
        <v>0.59</v>
      </c>
      <c r="V93">
        <v>1783</v>
      </c>
    </row>
    <row r="94" spans="1:22">
      <c r="A94" s="1" t="s">
        <v>258</v>
      </c>
      <c r="B94" t="s">
        <v>215</v>
      </c>
      <c r="F94" s="3">
        <f t="shared" si="13"/>
        <v>5.1891545454545455E-4</v>
      </c>
      <c r="G94">
        <f t="shared" si="8"/>
        <v>352</v>
      </c>
      <c r="H94" s="3">
        <v>3.5200000000000002E-2</v>
      </c>
      <c r="I94">
        <f t="shared" si="9"/>
        <v>38</v>
      </c>
      <c r="J94">
        <v>3.8</v>
      </c>
      <c r="K94">
        <f t="shared" si="10"/>
        <v>22</v>
      </c>
      <c r="L94">
        <v>2.2000000000000002</v>
      </c>
      <c r="M94">
        <v>1.8</v>
      </c>
      <c r="N94">
        <f t="shared" si="11"/>
        <v>8.1</v>
      </c>
      <c r="O94">
        <v>8.1000000000000003E-2</v>
      </c>
      <c r="P94">
        <f t="shared" si="12"/>
        <v>43.5</v>
      </c>
      <c r="Q94">
        <v>0.435</v>
      </c>
      <c r="T94">
        <v>8.1</v>
      </c>
      <c r="U94">
        <v>1</v>
      </c>
      <c r="V94">
        <v>213</v>
      </c>
    </row>
    <row r="95" spans="1:22">
      <c r="A95" s="1" t="s">
        <v>259</v>
      </c>
      <c r="B95" t="s">
        <v>215</v>
      </c>
      <c r="F95" s="3">
        <f t="shared" si="13"/>
        <v>3.0276654545454546E-2</v>
      </c>
      <c r="G95">
        <f t="shared" si="8"/>
        <v>5949</v>
      </c>
      <c r="H95" s="3">
        <v>0.59489999999999998</v>
      </c>
      <c r="I95">
        <f t="shared" si="9"/>
        <v>68</v>
      </c>
      <c r="J95">
        <v>6.8</v>
      </c>
      <c r="K95">
        <f t="shared" si="10"/>
        <v>44</v>
      </c>
      <c r="L95">
        <v>4.4000000000000004</v>
      </c>
      <c r="M95">
        <v>19</v>
      </c>
      <c r="N95">
        <f t="shared" si="11"/>
        <v>56.000000000000007</v>
      </c>
      <c r="O95">
        <v>0.56000000000000005</v>
      </c>
      <c r="P95">
        <f t="shared" si="12"/>
        <v>106.2</v>
      </c>
      <c r="Q95">
        <v>1.0620000000000001</v>
      </c>
      <c r="T95">
        <v>29.5</v>
      </c>
      <c r="U95">
        <v>1.66</v>
      </c>
      <c r="V95">
        <v>826</v>
      </c>
    </row>
    <row r="96" spans="1:22">
      <c r="A96" s="1" t="s">
        <v>260</v>
      </c>
      <c r="B96" t="s">
        <v>215</v>
      </c>
      <c r="F96" s="3">
        <f t="shared" si="13"/>
        <v>0.13582059016393447</v>
      </c>
      <c r="G96">
        <f t="shared" si="8"/>
        <v>19920</v>
      </c>
      <c r="H96" s="3">
        <v>1.992</v>
      </c>
      <c r="I96">
        <f t="shared" si="9"/>
        <v>88</v>
      </c>
      <c r="J96">
        <v>8.8000000000000007</v>
      </c>
      <c r="K96">
        <f t="shared" si="10"/>
        <v>61</v>
      </c>
      <c r="L96">
        <v>6.1</v>
      </c>
      <c r="M96">
        <v>47</v>
      </c>
      <c r="N96">
        <f t="shared" si="11"/>
        <v>104</v>
      </c>
      <c r="O96">
        <v>1.04</v>
      </c>
      <c r="P96">
        <f t="shared" si="12"/>
        <v>191.5</v>
      </c>
      <c r="Q96">
        <v>1.915</v>
      </c>
      <c r="T96">
        <v>51.1</v>
      </c>
      <c r="U96">
        <v>2.2799999999999998</v>
      </c>
      <c r="V96">
        <v>1261</v>
      </c>
    </row>
    <row r="97" spans="1:22">
      <c r="A97" s="1" t="s">
        <v>261</v>
      </c>
      <c r="B97" t="s">
        <v>215</v>
      </c>
      <c r="F97" s="3">
        <f t="shared" si="13"/>
        <v>0.43256964800000003</v>
      </c>
      <c r="G97">
        <f t="shared" si="8"/>
        <v>50380</v>
      </c>
      <c r="H97" s="3">
        <v>5.0380000000000003</v>
      </c>
      <c r="I97">
        <f t="shared" si="9"/>
        <v>111</v>
      </c>
      <c r="J97">
        <v>11.1</v>
      </c>
      <c r="K97">
        <f t="shared" si="10"/>
        <v>75</v>
      </c>
      <c r="L97">
        <v>7.5</v>
      </c>
      <c r="M97">
        <v>86</v>
      </c>
      <c r="N97">
        <f t="shared" si="11"/>
        <v>161</v>
      </c>
      <c r="O97">
        <v>1.61</v>
      </c>
      <c r="P97">
        <f t="shared" si="12"/>
        <v>312.89999999999998</v>
      </c>
      <c r="Q97">
        <v>3.129</v>
      </c>
      <c r="T97">
        <v>82.5</v>
      </c>
      <c r="U97">
        <v>2.98</v>
      </c>
      <c r="V97">
        <v>1609</v>
      </c>
    </row>
    <row r="98" spans="1:22">
      <c r="A98" s="1" t="s">
        <v>262</v>
      </c>
      <c r="B98" t="s">
        <v>215</v>
      </c>
      <c r="F98" s="3">
        <f t="shared" si="13"/>
        <v>1.3229860645161293</v>
      </c>
      <c r="G98">
        <f t="shared" si="8"/>
        <v>201050</v>
      </c>
      <c r="H98" s="3">
        <v>20.105</v>
      </c>
      <c r="I98">
        <f t="shared" si="9"/>
        <v>173</v>
      </c>
      <c r="J98">
        <v>17.3</v>
      </c>
      <c r="K98">
        <f t="shared" si="10"/>
        <v>124</v>
      </c>
      <c r="L98">
        <v>12.4</v>
      </c>
      <c r="M98">
        <v>170</v>
      </c>
      <c r="N98">
        <f t="shared" si="11"/>
        <v>204</v>
      </c>
      <c r="O98">
        <v>2.04</v>
      </c>
      <c r="P98">
        <f t="shared" si="12"/>
        <v>985.5</v>
      </c>
      <c r="Q98">
        <v>9.8550000000000004</v>
      </c>
      <c r="T98">
        <v>240.2</v>
      </c>
      <c r="U98">
        <v>2.54</v>
      </c>
      <c r="V98">
        <v>1652</v>
      </c>
    </row>
    <row r="99" spans="1:22">
      <c r="A99" s="1" t="s">
        <v>263</v>
      </c>
      <c r="B99" t="s">
        <v>215</v>
      </c>
      <c r="F99" s="3">
        <f t="shared" si="13"/>
        <v>18.354908968421061</v>
      </c>
      <c r="G99">
        <f t="shared" si="8"/>
        <v>1556890</v>
      </c>
      <c r="H99" s="3">
        <v>155.68899999999999</v>
      </c>
      <c r="I99">
        <f t="shared" si="9"/>
        <v>354</v>
      </c>
      <c r="J99">
        <v>35.4</v>
      </c>
      <c r="K99">
        <f t="shared" si="10"/>
        <v>152</v>
      </c>
      <c r="L99">
        <v>15.2</v>
      </c>
      <c r="M99">
        <v>800</v>
      </c>
      <c r="N99">
        <f t="shared" si="11"/>
        <v>448.00000000000006</v>
      </c>
      <c r="O99">
        <v>4.4800000000000004</v>
      </c>
      <c r="P99">
        <f t="shared" si="12"/>
        <v>3475.2000000000003</v>
      </c>
      <c r="Q99">
        <v>34.752000000000002</v>
      </c>
      <c r="T99">
        <v>605.29999999999995</v>
      </c>
      <c r="U99">
        <v>9.6</v>
      </c>
      <c r="V99">
        <v>1478</v>
      </c>
    </row>
    <row r="100" spans="1:22">
      <c r="A100" s="1" t="s">
        <v>255</v>
      </c>
      <c r="B100" t="s">
        <v>231</v>
      </c>
      <c r="F100" s="3">
        <f t="shared" si="13"/>
        <v>0.21241827994999998</v>
      </c>
      <c r="G100">
        <f t="shared" si="8"/>
        <v>46630</v>
      </c>
      <c r="H100" s="3">
        <v>4.6630000000000003</v>
      </c>
      <c r="I100">
        <f t="shared" si="9"/>
        <v>121</v>
      </c>
      <c r="J100">
        <v>12.1</v>
      </c>
      <c r="K100">
        <f t="shared" si="10"/>
        <v>80</v>
      </c>
      <c r="L100">
        <v>8</v>
      </c>
      <c r="M100">
        <v>54</v>
      </c>
      <c r="N100">
        <f t="shared" si="11"/>
        <v>91.100000000000009</v>
      </c>
      <c r="O100">
        <v>0.91100000000000003</v>
      </c>
      <c r="P100">
        <f t="shared" si="12"/>
        <v>511.9</v>
      </c>
      <c r="Q100">
        <v>5.1189999999999998</v>
      </c>
      <c r="T100">
        <v>102.9</v>
      </c>
      <c r="U100">
        <v>2.68</v>
      </c>
      <c r="V100">
        <v>710</v>
      </c>
    </row>
    <row r="101" spans="1:22">
      <c r="A101" s="1" t="s">
        <v>254</v>
      </c>
      <c r="B101" t="s">
        <v>231</v>
      </c>
      <c r="F101" s="3">
        <f t="shared" si="13"/>
        <v>0.2032331808</v>
      </c>
      <c r="G101">
        <f t="shared" si="8"/>
        <v>41140</v>
      </c>
      <c r="H101" s="3">
        <v>4.1139999999999999</v>
      </c>
      <c r="I101">
        <f t="shared" si="9"/>
        <v>113</v>
      </c>
      <c r="J101">
        <v>11.3</v>
      </c>
      <c r="K101">
        <f t="shared" si="10"/>
        <v>80</v>
      </c>
      <c r="L101">
        <v>8</v>
      </c>
      <c r="M101">
        <v>55</v>
      </c>
      <c r="N101">
        <f t="shared" si="11"/>
        <v>98.8</v>
      </c>
      <c r="O101">
        <v>0.98799999999999999</v>
      </c>
      <c r="P101">
        <f t="shared" si="12"/>
        <v>416.4</v>
      </c>
      <c r="Q101">
        <v>4.1639999999999997</v>
      </c>
      <c r="T101">
        <v>98.5</v>
      </c>
      <c r="U101">
        <v>2.1800000000000002</v>
      </c>
      <c r="V101">
        <v>616</v>
      </c>
    </row>
    <row r="102" spans="1:22">
      <c r="A102" s="1" t="s">
        <v>256</v>
      </c>
      <c r="B102" t="s">
        <v>231</v>
      </c>
      <c r="F102" s="3">
        <f t="shared" si="13"/>
        <v>0.29269677840000002</v>
      </c>
      <c r="G102">
        <f t="shared" si="8"/>
        <v>59250</v>
      </c>
      <c r="H102" s="3">
        <v>5.9249999999999998</v>
      </c>
      <c r="I102">
        <f t="shared" si="9"/>
        <v>133</v>
      </c>
      <c r="J102">
        <v>13.3</v>
      </c>
      <c r="K102">
        <f t="shared" si="10"/>
        <v>80</v>
      </c>
      <c r="L102">
        <v>8</v>
      </c>
      <c r="M102">
        <v>64</v>
      </c>
      <c r="N102">
        <f t="shared" si="11"/>
        <v>98.8</v>
      </c>
      <c r="O102">
        <v>0.98799999999999999</v>
      </c>
      <c r="P102">
        <f t="shared" si="12"/>
        <v>599.70000000000005</v>
      </c>
      <c r="Q102">
        <v>5.9969999999999999</v>
      </c>
      <c r="T102">
        <v>116.1</v>
      </c>
      <c r="U102">
        <v>3.14</v>
      </c>
      <c r="V102">
        <v>702</v>
      </c>
    </row>
    <row r="103" spans="1:22">
      <c r="A103" s="1" t="s">
        <v>257</v>
      </c>
      <c r="B103" t="s">
        <v>231</v>
      </c>
      <c r="F103" s="3">
        <f t="shared" si="13"/>
        <v>0.38782201119999998</v>
      </c>
      <c r="G103">
        <f t="shared" si="8"/>
        <v>78500</v>
      </c>
      <c r="H103" s="3">
        <v>7.85</v>
      </c>
      <c r="I103">
        <f t="shared" si="9"/>
        <v>153</v>
      </c>
      <c r="J103">
        <v>15.3</v>
      </c>
      <c r="K103">
        <f t="shared" si="10"/>
        <v>80</v>
      </c>
      <c r="L103">
        <v>8</v>
      </c>
      <c r="M103">
        <v>75</v>
      </c>
      <c r="N103">
        <f t="shared" si="11"/>
        <v>98.8</v>
      </c>
      <c r="O103">
        <v>0.98799999999999999</v>
      </c>
      <c r="P103">
        <f t="shared" si="12"/>
        <v>794.6</v>
      </c>
      <c r="Q103">
        <v>7.9459999999999997</v>
      </c>
      <c r="T103">
        <v>134.9</v>
      </c>
      <c r="U103">
        <v>4.16</v>
      </c>
      <c r="V103">
        <v>610</v>
      </c>
    </row>
  </sheetData>
  <mergeCells count="1">
    <mergeCell ref="A1:P1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Isolation Transformer Design</vt:lpstr>
      <vt:lpstr>Tape and Iron Cores</vt:lpstr>
      <vt:lpstr>Inductor Design Selector</vt:lpstr>
      <vt:lpstr>AWG Chart</vt:lpstr>
      <vt:lpstr>Ferrite Cores</vt:lpstr>
      <vt:lpstr>AWG</vt:lpstr>
      <vt:lpstr>Ferrite_Core_ddown</vt:lpstr>
      <vt:lpstr>Iron_core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McElroy</dc:creator>
  <cp:lastModifiedBy>Scott McElroy</cp:lastModifiedBy>
  <dcterms:created xsi:type="dcterms:W3CDTF">2023-08-23T03:18:10Z</dcterms:created>
  <dcterms:modified xsi:type="dcterms:W3CDTF">2023-10-11T10:35:04Z</dcterms:modified>
</cp:coreProperties>
</file>