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730" windowHeight="9465"/>
  </bookViews>
  <sheets>
    <sheet name="ROIs" sheetId="7" r:id="rId1"/>
    <sheet name="Annual Energy Comps" sheetId="5" r:id="rId2"/>
    <sheet name="Existing Lighting" sheetId="4" r:id="rId3"/>
    <sheet name="Philips AllStart" sheetId="3" r:id="rId4"/>
    <sheet name="6L T8 Solutions" sheetId="1" r:id="rId5"/>
    <sheet name="4L T5HO Solutions" sheetId="2" r:id="rId6"/>
    <sheet name="ILP LED" sheetId="6" r:id="rId7"/>
  </sheets>
  <calcPr calcId="145621"/>
</workbook>
</file>

<file path=xl/calcChain.xml><?xml version="1.0" encoding="utf-8"?>
<calcChain xmlns="http://schemas.openxmlformats.org/spreadsheetml/2006/main">
  <c r="N10" i="1" l="1"/>
  <c r="N9" i="1"/>
  <c r="N8" i="1"/>
  <c r="N7" i="1"/>
  <c r="N10" i="2"/>
  <c r="N9" i="2"/>
  <c r="N8" i="2"/>
  <c r="N7" i="2"/>
  <c r="N8" i="6"/>
  <c r="N7" i="6"/>
  <c r="B1" i="6" l="1"/>
  <c r="B1" i="1"/>
  <c r="B1" i="3"/>
  <c r="B1" i="4"/>
  <c r="B1" i="5"/>
  <c r="A5" i="6"/>
  <c r="A5" i="2"/>
  <c r="A5" i="1"/>
  <c r="A5" i="3"/>
  <c r="A5" i="4"/>
  <c r="F5" i="4" l="1"/>
  <c r="F5" i="6"/>
  <c r="D5" i="6"/>
  <c r="F5" i="2"/>
  <c r="D5" i="2"/>
  <c r="F5" i="1"/>
  <c r="D5" i="1"/>
  <c r="F5" i="3"/>
  <c r="D5" i="3"/>
  <c r="D5" i="4"/>
  <c r="A27" i="5" l="1"/>
  <c r="A22" i="5"/>
  <c r="A17" i="5"/>
  <c r="A12" i="5"/>
  <c r="N12" i="6" l="1"/>
  <c r="N14" i="2"/>
  <c r="N14" i="1"/>
  <c r="F27" i="5"/>
  <c r="B35" i="7" s="1"/>
  <c r="F22" i="5"/>
  <c r="F17" i="5"/>
  <c r="B21" i="7" s="1"/>
  <c r="F12" i="5"/>
  <c r="B14" i="7" s="1"/>
  <c r="F7" i="5"/>
  <c r="D27" i="5"/>
  <c r="E27" i="5" s="1"/>
  <c r="B34" i="7" s="1"/>
  <c r="D22" i="5"/>
  <c r="E22" i="5" s="1"/>
  <c r="B27" i="7" s="1"/>
  <c r="D24" i="7" s="1"/>
  <c r="D17" i="5"/>
  <c r="E17" i="5" s="1"/>
  <c r="B20" i="7" s="1"/>
  <c r="D17" i="7" s="1"/>
  <c r="D12" i="5"/>
  <c r="E12" i="5" s="1"/>
  <c r="B13" i="7" s="1"/>
  <c r="D7" i="5"/>
  <c r="E7" i="5" s="1"/>
  <c r="B6" i="7" s="1"/>
  <c r="I5" i="6"/>
  <c r="N5" i="6"/>
  <c r="E5" i="6"/>
  <c r="G5" i="6" s="1"/>
  <c r="M5" i="4"/>
  <c r="I5" i="4"/>
  <c r="B7" i="7" s="1"/>
  <c r="E5" i="4"/>
  <c r="G5" i="4" s="1"/>
  <c r="D10" i="7" l="1"/>
  <c r="D31" i="7"/>
  <c r="N9" i="6"/>
  <c r="N10" i="6" s="1"/>
  <c r="N11" i="6" s="1"/>
  <c r="H27" i="5"/>
  <c r="H12" i="5"/>
  <c r="H17" i="5"/>
  <c r="H22" i="5"/>
  <c r="G27" i="5"/>
  <c r="G22" i="5"/>
  <c r="G17" i="5"/>
  <c r="G12" i="5"/>
  <c r="M6" i="4"/>
  <c r="M7" i="4" s="1"/>
  <c r="B4" i="7" s="1"/>
  <c r="M5" i="3"/>
  <c r="I5" i="3"/>
  <c r="E5" i="3"/>
  <c r="G5" i="3" s="1"/>
  <c r="I5" i="2"/>
  <c r="B28" i="7" s="1"/>
  <c r="N5" i="2"/>
  <c r="E5" i="2"/>
  <c r="G5" i="2" s="1"/>
  <c r="I5" i="1"/>
  <c r="N5" i="1"/>
  <c r="E5" i="1"/>
  <c r="G5" i="1" s="1"/>
  <c r="D4" i="7" l="1"/>
  <c r="B5" i="7"/>
  <c r="B8" i="7" s="1"/>
  <c r="N13" i="6"/>
  <c r="B32" i="7" s="1"/>
  <c r="N11" i="1"/>
  <c r="N12" i="1" s="1"/>
  <c r="N13" i="1" s="1"/>
  <c r="N15" i="1" s="1"/>
  <c r="B18" i="7" s="1"/>
  <c r="N11" i="2"/>
  <c r="N12" i="2" s="1"/>
  <c r="N13" i="2" s="1"/>
  <c r="N15" i="2" s="1"/>
  <c r="B25" i="7" s="1"/>
  <c r="M6" i="3"/>
  <c r="M7" i="3" s="1"/>
  <c r="B11" i="7" s="1"/>
  <c r="D32" i="7" l="1"/>
  <c r="D33" i="7" s="1"/>
  <c r="B36" i="7"/>
  <c r="D34" i="7" s="1"/>
  <c r="B12" i="7"/>
  <c r="B15" i="7" s="1"/>
  <c r="D13" i="7" s="1"/>
  <c r="D11" i="7"/>
  <c r="D12" i="7" s="1"/>
  <c r="D25" i="7"/>
  <c r="D26" i="7" s="1"/>
  <c r="B29" i="7"/>
  <c r="D27" i="7" s="1"/>
  <c r="D18" i="7"/>
  <c r="D19" i="7" s="1"/>
  <c r="B22" i="7"/>
  <c r="D20" i="7" s="1"/>
</calcChain>
</file>

<file path=xl/sharedStrings.xml><?xml version="1.0" encoding="utf-8"?>
<sst xmlns="http://schemas.openxmlformats.org/spreadsheetml/2006/main" count="218" uniqueCount="69">
  <si>
    <t>Qty.</t>
  </si>
  <si>
    <t>Fixture Type</t>
  </si>
  <si>
    <t>System Watts</t>
  </si>
  <si>
    <t>Annual Burn Hrs</t>
  </si>
  <si>
    <t>Annual kWhs</t>
  </si>
  <si>
    <t>kWh Rate</t>
  </si>
  <si>
    <t>Annual Energy Cost</t>
  </si>
  <si>
    <t>Rated Lamp Life B50</t>
  </si>
  <si>
    <t>Energy Cost Over 99,000 Hours</t>
  </si>
  <si>
    <t>6-lamp T8 Highbay</t>
  </si>
  <si>
    <t>Fixture Sell</t>
  </si>
  <si>
    <t>Total Sell</t>
  </si>
  <si>
    <t>Fixture w/ lamps</t>
  </si>
  <si>
    <t>Sensor, Cord &amp; Plug</t>
  </si>
  <si>
    <t>Y- Toggle Mount</t>
  </si>
  <si>
    <t>Wire Guard</t>
  </si>
  <si>
    <t>tax</t>
  </si>
  <si>
    <t>Total</t>
  </si>
  <si>
    <t>Rebates</t>
  </si>
  <si>
    <t>Total After Rebates</t>
  </si>
  <si>
    <t>4L T5HO</t>
  </si>
  <si>
    <t>4-Lamp T5HO Solution / Shatterproof Lamps</t>
  </si>
  <si>
    <t>Philips AllStart 330W Shatterproof Solution</t>
  </si>
  <si>
    <t>Lamp Sell Price</t>
  </si>
  <si>
    <t>Existing 400W Metahalide System</t>
  </si>
  <si>
    <t>400W Metalhalide Highbay</t>
  </si>
  <si>
    <t>Annual Energy Cost Comparisons</t>
  </si>
  <si>
    <t>Rated LED Life L70</t>
  </si>
  <si>
    <t>Fixture</t>
  </si>
  <si>
    <t>Tax</t>
  </si>
  <si>
    <t>ILP 150W LED</t>
  </si>
  <si>
    <t>Annual Energy Savings</t>
  </si>
  <si>
    <t>NONE</t>
  </si>
  <si>
    <t>Energy Savings Over 99,000 Hours</t>
  </si>
  <si>
    <t>Annual Burn Hours</t>
  </si>
  <si>
    <t>Lighting Scenarios</t>
  </si>
  <si>
    <t>B50 Life Rating of Lamps 70,000 Hours</t>
  </si>
  <si>
    <t>Fixture Costs</t>
  </si>
  <si>
    <t>Additional Lamp Cost Over 99,000 Hrs.</t>
  </si>
  <si>
    <t>Energy Costs Over 99,000 Hrs.</t>
  </si>
  <si>
    <t>B50 Life Rating of Lamps 40,000 Hours</t>
  </si>
  <si>
    <t>L70 Life Rating of 99,000 Hours</t>
  </si>
  <si>
    <t>N/A</t>
  </si>
  <si>
    <t>Lamp Costs</t>
  </si>
  <si>
    <t>B50 Life Rating of Lamps 20,000 Hours</t>
  </si>
  <si>
    <t>Existing Lighting System</t>
  </si>
  <si>
    <t>Cord &amp; Plug</t>
  </si>
  <si>
    <t>Sensor</t>
  </si>
  <si>
    <t>Philips AllStart 330W</t>
  </si>
  <si>
    <t>6-Lamp T8 Solution</t>
  </si>
  <si>
    <t xml:space="preserve">4-Lamp T5HO Solution </t>
  </si>
  <si>
    <t xml:space="preserve">Philips AllStart 330W </t>
  </si>
  <si>
    <t>B50 Life Rating of Lamps 36,000 Hours</t>
  </si>
  <si>
    <t>None</t>
  </si>
  <si>
    <t>Investment Dollars</t>
  </si>
  <si>
    <t>ROI in Years</t>
  </si>
  <si>
    <t>Savings Over 99,000 Hrs.</t>
  </si>
  <si>
    <t>4-lamp T5HO Highbay</t>
  </si>
  <si>
    <t>Accessories</t>
  </si>
  <si>
    <t>Selected Solution</t>
  </si>
  <si>
    <t>15ft Cord &amp; Plug</t>
  </si>
  <si>
    <t xml:space="preserve">***NOTE*** No recycling costs or labor costs for re-lamping the HID &amp; Fluorescents were factored into the Total Cost of Ownership Figures. The Philips Allstart scenario would require re-lamping all of the fixtures two additional times once the retrofit lamps fail. The T8 fluorescent solution would require one additional re-lamp (1,590 lamps) after the retrofit lamps fail. The T5HO fluorescent solution will need to be re-lamped two additional times (2,920 lamps) after the retrofit lamps fail. </t>
  </si>
  <si>
    <t>Big Brick Company</t>
  </si>
  <si>
    <t>Ceramic Metal Halide</t>
  </si>
  <si>
    <t xml:space="preserve"> LED Highbay</t>
  </si>
  <si>
    <t>NOTE: B50 designation indicates life of lamps when an average of 50% fail</t>
  </si>
  <si>
    <t xml:space="preserve">L70 indicates life of LEDs when 70% fail. In this comparison no recycling or labor costs for re-lamping </t>
  </si>
  <si>
    <t>were included.  The CMH and the T5 HO's required 2 re-lampings, and the T8's one additional re-lamping.</t>
  </si>
  <si>
    <t>Total Cost of Ownership Over 99,000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</si>
</sst>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165" fontId="1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6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top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C30" sqref="C30"/>
    </sheetView>
  </sheetViews>
  <sheetFormatPr defaultRowHeight="15" x14ac:dyDescent="0.25"/>
  <cols>
    <col min="1" max="1" width="36.5703125" customWidth="1"/>
    <col min="2" max="2" width="23.28515625" style="11" customWidth="1"/>
    <col min="3" max="3" width="22" style="2" customWidth="1"/>
    <col min="4" max="4" width="12.7109375" style="2" bestFit="1" customWidth="1"/>
    <col min="6" max="6" width="124.7109375" customWidth="1"/>
  </cols>
  <sheetData>
    <row r="1" spans="1:4" ht="18.75" x14ac:dyDescent="0.3">
      <c r="B1" s="16" t="s">
        <v>62</v>
      </c>
    </row>
    <row r="2" spans="1:4" s="52" customFormat="1" ht="24.75" customHeight="1" x14ac:dyDescent="0.25">
      <c r="B2" s="50" t="s">
        <v>35</v>
      </c>
      <c r="C2" s="51"/>
      <c r="D2" s="51"/>
    </row>
    <row r="3" spans="1:4" ht="15.75" customHeight="1" x14ac:dyDescent="0.25">
      <c r="A3" s="35" t="s">
        <v>44</v>
      </c>
      <c r="B3" s="38" t="s">
        <v>45</v>
      </c>
      <c r="C3" s="2" t="s">
        <v>31</v>
      </c>
      <c r="D3" s="2" t="s">
        <v>53</v>
      </c>
    </row>
    <row r="4" spans="1:4" ht="14.45" x14ac:dyDescent="0.3">
      <c r="A4" s="32" t="s">
        <v>43</v>
      </c>
      <c r="B4" s="11">
        <f>'Existing Lighting'!M7</f>
        <v>12618.706399999999</v>
      </c>
      <c r="C4" s="2" t="s">
        <v>54</v>
      </c>
      <c r="D4" s="10">
        <f>B4</f>
        <v>12618.706399999999</v>
      </c>
    </row>
    <row r="5" spans="1:4" ht="14.45" x14ac:dyDescent="0.3">
      <c r="A5" s="32" t="s">
        <v>38</v>
      </c>
      <c r="B5" s="11">
        <f>B4*4</f>
        <v>50474.825599999996</v>
      </c>
      <c r="C5" s="2" t="s">
        <v>55</v>
      </c>
    </row>
    <row r="6" spans="1:4" ht="14.45" x14ac:dyDescent="0.3">
      <c r="A6" s="32" t="s">
        <v>6</v>
      </c>
      <c r="B6" s="11">
        <f>'Annual Energy Comps'!E7</f>
        <v>89300.876640000002</v>
      </c>
    </row>
    <row r="7" spans="1:4" ht="14.45" x14ac:dyDescent="0.3">
      <c r="A7" s="32" t="s">
        <v>39</v>
      </c>
      <c r="B7" s="11">
        <f>'Existing Lighting'!I5</f>
        <v>1009222.236</v>
      </c>
    </row>
    <row r="8" spans="1:4" ht="14.45" x14ac:dyDescent="0.3">
      <c r="A8" s="36" t="s">
        <v>68</v>
      </c>
      <c r="B8" s="37">
        <f>B4+B5+B7</f>
        <v>1072315.7679999999</v>
      </c>
    </row>
    <row r="9" spans="1:4" ht="15.6" x14ac:dyDescent="0.3">
      <c r="A9" s="4"/>
    </row>
    <row r="10" spans="1:4" ht="15.75" x14ac:dyDescent="0.25">
      <c r="A10" s="35" t="s">
        <v>52</v>
      </c>
      <c r="B10" s="38" t="s">
        <v>63</v>
      </c>
      <c r="C10" s="2" t="s">
        <v>31</v>
      </c>
      <c r="D10" s="10">
        <f>B6-B13</f>
        <v>16183.346640000003</v>
      </c>
    </row>
    <row r="11" spans="1:4" ht="14.45" x14ac:dyDescent="0.3">
      <c r="A11" s="32" t="s">
        <v>43</v>
      </c>
      <c r="B11" s="11">
        <f>'Philips AllStart'!M7</f>
        <v>17885.38</v>
      </c>
      <c r="C11" s="2" t="s">
        <v>54</v>
      </c>
      <c r="D11" s="10">
        <f>B11</f>
        <v>17885.38</v>
      </c>
    </row>
    <row r="12" spans="1:4" ht="14.45" x14ac:dyDescent="0.3">
      <c r="A12" s="32" t="s">
        <v>38</v>
      </c>
      <c r="B12" s="11">
        <f>B11*2</f>
        <v>35770.76</v>
      </c>
      <c r="C12" s="2" t="s">
        <v>55</v>
      </c>
      <c r="D12" s="39">
        <f>D11/D10</f>
        <v>1.1051719028123097</v>
      </c>
    </row>
    <row r="13" spans="1:4" ht="14.45" x14ac:dyDescent="0.3">
      <c r="A13" s="32" t="s">
        <v>6</v>
      </c>
      <c r="B13" s="11">
        <f>'Annual Energy Comps'!E12</f>
        <v>73117.53</v>
      </c>
      <c r="C13" s="44" t="s">
        <v>56</v>
      </c>
      <c r="D13" s="45">
        <f>B8-B15</f>
        <v>192331.37799999991</v>
      </c>
    </row>
    <row r="14" spans="1:4" ht="14.45" x14ac:dyDescent="0.3">
      <c r="A14" s="32" t="s">
        <v>39</v>
      </c>
      <c r="B14" s="11">
        <f>'Annual Energy Comps'!F12</f>
        <v>826328.25</v>
      </c>
    </row>
    <row r="15" spans="1:4" ht="14.45" x14ac:dyDescent="0.3">
      <c r="A15" s="36" t="s">
        <v>68</v>
      </c>
      <c r="B15" s="37">
        <f>B11+B12+B14</f>
        <v>879984.39</v>
      </c>
    </row>
    <row r="16" spans="1:4" ht="15.6" x14ac:dyDescent="0.3">
      <c r="A16" s="4"/>
    </row>
    <row r="17" spans="1:6" ht="15.6" x14ac:dyDescent="0.3">
      <c r="A17" s="35" t="s">
        <v>36</v>
      </c>
      <c r="B17" s="38" t="s">
        <v>9</v>
      </c>
      <c r="C17" s="2" t="s">
        <v>31</v>
      </c>
      <c r="D17" s="10">
        <f>B6-B20</f>
        <v>45235.378560000005</v>
      </c>
    </row>
    <row r="18" spans="1:6" ht="14.45" x14ac:dyDescent="0.3">
      <c r="A18" s="32" t="s">
        <v>37</v>
      </c>
      <c r="B18" s="11">
        <f>'6L T8 Solutions'!N15</f>
        <v>37170.501000000004</v>
      </c>
      <c r="C18" s="2" t="s">
        <v>54</v>
      </c>
      <c r="D18" s="10">
        <f>B18</f>
        <v>37170.501000000004</v>
      </c>
    </row>
    <row r="19" spans="1:6" ht="14.45" x14ac:dyDescent="0.3">
      <c r="A19" s="32" t="s">
        <v>38</v>
      </c>
      <c r="B19" s="11">
        <v>7806</v>
      </c>
      <c r="C19" s="2" t="s">
        <v>55</v>
      </c>
      <c r="D19" s="39">
        <f>D18/D17</f>
        <v>0.82171305255458882</v>
      </c>
    </row>
    <row r="20" spans="1:6" ht="14.45" x14ac:dyDescent="0.3">
      <c r="A20" s="32" t="s">
        <v>6</v>
      </c>
      <c r="B20" s="11">
        <f>'Annual Energy Comps'!E17</f>
        <v>44065.498079999998</v>
      </c>
      <c r="C20" s="44" t="s">
        <v>56</v>
      </c>
      <c r="D20" s="45">
        <f>B8-B22</f>
        <v>529338.77499999991</v>
      </c>
    </row>
    <row r="21" spans="1:6" ht="14.45" x14ac:dyDescent="0.3">
      <c r="A21" s="32" t="s">
        <v>39</v>
      </c>
      <c r="B21" s="11">
        <f>'Annual Energy Comps'!F17</f>
        <v>498000.49199999997</v>
      </c>
    </row>
    <row r="22" spans="1:6" ht="14.45" x14ac:dyDescent="0.3">
      <c r="A22" s="36" t="s">
        <v>68</v>
      </c>
      <c r="B22" s="37">
        <f>B18+B19+B21</f>
        <v>542976.99300000002</v>
      </c>
    </row>
    <row r="24" spans="1:6" ht="15.6" x14ac:dyDescent="0.3">
      <c r="A24" s="35" t="s">
        <v>40</v>
      </c>
      <c r="B24" s="38" t="s">
        <v>57</v>
      </c>
      <c r="C24" s="2" t="s">
        <v>31</v>
      </c>
      <c r="D24" s="10">
        <f>B6-B27</f>
        <v>47185.179360000009</v>
      </c>
      <c r="F24" s="49" t="s">
        <v>59</v>
      </c>
    </row>
    <row r="25" spans="1:6" ht="14.45" x14ac:dyDescent="0.3">
      <c r="A25" s="32" t="s">
        <v>37</v>
      </c>
      <c r="B25" s="11">
        <f>'4L T5HO Solutions'!N15</f>
        <v>20667.271000000001</v>
      </c>
      <c r="C25" s="2" t="s">
        <v>54</v>
      </c>
      <c r="D25" s="10">
        <f>B25</f>
        <v>20667.271000000001</v>
      </c>
      <c r="F25" s="48"/>
    </row>
    <row r="26" spans="1:6" x14ac:dyDescent="0.25">
      <c r="A26" s="32" t="s">
        <v>38</v>
      </c>
      <c r="B26" s="11">
        <v>29821</v>
      </c>
      <c r="C26" s="2" t="s">
        <v>55</v>
      </c>
      <c r="D26" s="39">
        <f>D25/D24</f>
        <v>0.4380034426131722</v>
      </c>
      <c r="F26" s="48"/>
    </row>
    <row r="27" spans="1:6" x14ac:dyDescent="0.25">
      <c r="A27" s="32" t="s">
        <v>6</v>
      </c>
      <c r="B27" s="11">
        <f>'Annual Energy Comps'!E22</f>
        <v>42115.697279999993</v>
      </c>
      <c r="C27" s="44" t="s">
        <v>56</v>
      </c>
      <c r="D27" s="45">
        <f>B8-B29</f>
        <v>545862.42499999993</v>
      </c>
      <c r="F27" s="48"/>
    </row>
    <row r="28" spans="1:6" x14ac:dyDescent="0.25">
      <c r="A28" s="32" t="s">
        <v>39</v>
      </c>
      <c r="B28" s="11">
        <f>'4L T5HO Solutions'!I5</f>
        <v>475965.07199999999</v>
      </c>
      <c r="F28" s="48"/>
    </row>
    <row r="29" spans="1:6" x14ac:dyDescent="0.25">
      <c r="A29" s="36" t="s">
        <v>68</v>
      </c>
      <c r="B29" s="45">
        <f>B25+B26+B28</f>
        <v>526453.34299999999</v>
      </c>
      <c r="F29" s="48"/>
    </row>
    <row r="31" spans="1:6" ht="15.75" x14ac:dyDescent="0.25">
      <c r="A31" s="35" t="s">
        <v>41</v>
      </c>
      <c r="B31" s="38" t="s">
        <v>64</v>
      </c>
      <c r="C31" s="2" t="s">
        <v>31</v>
      </c>
      <c r="D31" s="10">
        <f>B6-B34</f>
        <v>56154.263039999998</v>
      </c>
    </row>
    <row r="32" spans="1:6" x14ac:dyDescent="0.25">
      <c r="A32" s="32" t="s">
        <v>37</v>
      </c>
      <c r="B32" s="11">
        <f>'ILP LED'!N13</f>
        <v>124818.19700000001</v>
      </c>
      <c r="C32" s="2" t="s">
        <v>54</v>
      </c>
      <c r="D32" s="10">
        <f>B32</f>
        <v>124818.19700000001</v>
      </c>
    </row>
    <row r="33" spans="1:6" x14ac:dyDescent="0.25">
      <c r="A33" s="32" t="s">
        <v>38</v>
      </c>
      <c r="B33" s="11" t="s">
        <v>42</v>
      </c>
      <c r="C33" s="2" t="s">
        <v>55</v>
      </c>
      <c r="D33" s="39">
        <f>D32/D31</f>
        <v>2.2227733077200051</v>
      </c>
    </row>
    <row r="34" spans="1:6" x14ac:dyDescent="0.25">
      <c r="A34" s="32" t="s">
        <v>6</v>
      </c>
      <c r="B34" s="11">
        <f>'Annual Energy Comps'!E27</f>
        <v>33146.613600000004</v>
      </c>
      <c r="C34" s="44" t="s">
        <v>56</v>
      </c>
      <c r="D34" s="45">
        <f>B8-B36</f>
        <v>572895.43099999987</v>
      </c>
    </row>
    <row r="35" spans="1:6" x14ac:dyDescent="0.25">
      <c r="A35" s="32" t="s">
        <v>39</v>
      </c>
      <c r="B35" s="11">
        <f>'Annual Energy Comps'!F27</f>
        <v>374602.14</v>
      </c>
    </row>
    <row r="36" spans="1:6" x14ac:dyDescent="0.25">
      <c r="A36" s="36" t="s">
        <v>68</v>
      </c>
      <c r="B36" s="37">
        <f>(B32+B35)</f>
        <v>499420.33700000006</v>
      </c>
    </row>
    <row r="38" spans="1:6" x14ac:dyDescent="0.25">
      <c r="A38" s="32" t="s">
        <v>65</v>
      </c>
    </row>
    <row r="39" spans="1:6" x14ac:dyDescent="0.25">
      <c r="A39" s="53" t="s">
        <v>66</v>
      </c>
    </row>
    <row r="40" spans="1:6" s="32" customFormat="1" x14ac:dyDescent="0.25">
      <c r="A40" s="32" t="s">
        <v>67</v>
      </c>
      <c r="B40" s="10"/>
      <c r="C40" s="2"/>
      <c r="D40" s="2"/>
    </row>
    <row r="41" spans="1:6" ht="60" x14ac:dyDescent="0.25">
      <c r="F41" s="47" t="s">
        <v>61</v>
      </c>
    </row>
  </sheetData>
  <pageMargins left="0.5" right="0.47916666666666669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75" zoomScaleNormal="75" workbookViewId="0">
      <selection activeCell="E17" sqref="E17"/>
    </sheetView>
  </sheetViews>
  <sheetFormatPr defaultRowHeight="18.75" x14ac:dyDescent="0.3"/>
  <cols>
    <col min="1" max="1" width="4.85546875" bestFit="1" customWidth="1"/>
    <col min="2" max="2" width="38.7109375" bestFit="1" customWidth="1"/>
    <col min="3" max="3" width="13.140625" customWidth="1"/>
    <col min="4" max="4" width="22.7109375" bestFit="1" customWidth="1"/>
    <col min="5" max="5" width="23.5703125" bestFit="1" customWidth="1"/>
    <col min="6" max="6" width="36.42578125" style="21" bestFit="1" customWidth="1"/>
    <col min="7" max="7" width="27.28515625" bestFit="1" customWidth="1"/>
    <col min="8" max="8" width="40.140625" bestFit="1" customWidth="1"/>
    <col min="9" max="9" width="40.140625" style="25" bestFit="1" customWidth="1"/>
  </cols>
  <sheetData>
    <row r="1" spans="1:9" ht="18" x14ac:dyDescent="0.35">
      <c r="B1" s="16" t="str">
        <f>ROIs!B1</f>
        <v>Big Brick Company</v>
      </c>
    </row>
    <row r="2" spans="1:9" ht="18" x14ac:dyDescent="0.35">
      <c r="B2" s="1"/>
    </row>
    <row r="3" spans="1:9" ht="18" x14ac:dyDescent="0.35">
      <c r="B3" s="26" t="s">
        <v>26</v>
      </c>
      <c r="D3" s="16" t="s">
        <v>34</v>
      </c>
      <c r="E3" s="33">
        <v>8760</v>
      </c>
    </row>
    <row r="4" spans="1:9" ht="18" x14ac:dyDescent="0.35">
      <c r="D4" s="16" t="s">
        <v>5</v>
      </c>
      <c r="E4" s="34">
        <v>6.2E-2</v>
      </c>
    </row>
    <row r="5" spans="1:9" s="1" customFormat="1" ht="18" x14ac:dyDescent="0.35">
      <c r="B5" s="2" t="s">
        <v>24</v>
      </c>
      <c r="F5" s="22"/>
      <c r="I5" s="27"/>
    </row>
    <row r="6" spans="1:9" s="1" customFormat="1" ht="18" x14ac:dyDescent="0.35">
      <c r="A6" s="2" t="s">
        <v>0</v>
      </c>
      <c r="B6" s="2" t="s">
        <v>1</v>
      </c>
      <c r="C6" s="2" t="s">
        <v>2</v>
      </c>
      <c r="D6" s="2" t="s">
        <v>4</v>
      </c>
      <c r="E6" s="16" t="s">
        <v>6</v>
      </c>
      <c r="F6" s="27" t="s">
        <v>8</v>
      </c>
      <c r="G6" s="26" t="s">
        <v>31</v>
      </c>
      <c r="H6" s="26" t="s">
        <v>33</v>
      </c>
    </row>
    <row r="7" spans="1:9" s="1" customFormat="1" ht="18" x14ac:dyDescent="0.35">
      <c r="A7" s="46">
        <v>359</v>
      </c>
      <c r="B7" s="1" t="s">
        <v>25</v>
      </c>
      <c r="C7" s="1">
        <v>458</v>
      </c>
      <c r="D7" s="1">
        <f>((C7*A7)*E3)/1000</f>
        <v>1440336.72</v>
      </c>
      <c r="E7" s="12">
        <f>D7*E4</f>
        <v>89300.876640000002</v>
      </c>
      <c r="F7" s="28">
        <f>((A7*C7)*99000)/1000*E4</f>
        <v>1009222.236</v>
      </c>
      <c r="G7" s="16" t="s">
        <v>32</v>
      </c>
      <c r="H7" s="27" t="s">
        <v>32</v>
      </c>
    </row>
    <row r="8" spans="1:9" s="1" customFormat="1" ht="18" x14ac:dyDescent="0.35">
      <c r="E8" s="22"/>
      <c r="F8" s="29"/>
      <c r="G8" s="16"/>
      <c r="H8" s="27"/>
    </row>
    <row r="9" spans="1:9" ht="18" x14ac:dyDescent="0.35">
      <c r="E9" s="21"/>
      <c r="F9" s="23"/>
      <c r="G9" s="24"/>
      <c r="H9" s="25"/>
      <c r="I9"/>
    </row>
    <row r="10" spans="1:9" s="1" customFormat="1" ht="18" x14ac:dyDescent="0.35">
      <c r="B10" s="2" t="s">
        <v>48</v>
      </c>
      <c r="E10" s="22"/>
      <c r="F10" s="29"/>
      <c r="G10" s="16"/>
      <c r="H10" s="27"/>
    </row>
    <row r="11" spans="1:9" s="1" customFormat="1" ht="18" x14ac:dyDescent="0.35">
      <c r="A11" s="2" t="s">
        <v>0</v>
      </c>
      <c r="B11" s="2" t="s">
        <v>1</v>
      </c>
      <c r="C11" s="2" t="s">
        <v>2</v>
      </c>
      <c r="D11" s="2" t="s">
        <v>4</v>
      </c>
      <c r="E11" s="16" t="s">
        <v>6</v>
      </c>
      <c r="F11" s="27" t="s">
        <v>8</v>
      </c>
      <c r="G11" s="16" t="s">
        <v>31</v>
      </c>
      <c r="H11" s="27" t="s">
        <v>33</v>
      </c>
    </row>
    <row r="12" spans="1:9" s="1" customFormat="1" ht="18" x14ac:dyDescent="0.35">
      <c r="A12" s="1">
        <f>A7</f>
        <v>359</v>
      </c>
      <c r="B12" s="1" t="s">
        <v>22</v>
      </c>
      <c r="C12" s="1">
        <v>375</v>
      </c>
      <c r="D12" s="1">
        <f>((C12*A12)*E3)/1000</f>
        <v>1179315</v>
      </c>
      <c r="E12" s="12">
        <f>D12*E4</f>
        <v>73117.53</v>
      </c>
      <c r="F12" s="28">
        <f>((A12*C12)*99000)/1000*E4</f>
        <v>826328.25</v>
      </c>
      <c r="G12" s="31">
        <f>E7-E12</f>
        <v>16183.346640000003</v>
      </c>
      <c r="H12" s="31">
        <f>F7-F12</f>
        <v>182893.98600000003</v>
      </c>
    </row>
    <row r="13" spans="1:9" s="1" customFormat="1" ht="18" x14ac:dyDescent="0.35">
      <c r="E13" s="22"/>
      <c r="F13" s="29"/>
      <c r="G13" s="16"/>
      <c r="H13" s="27"/>
    </row>
    <row r="14" spans="1:9" s="1" customFormat="1" ht="18" x14ac:dyDescent="0.35">
      <c r="E14" s="22"/>
      <c r="F14" s="29"/>
      <c r="G14" s="16"/>
      <c r="H14" s="27"/>
    </row>
    <row r="15" spans="1:9" s="1" customFormat="1" ht="18" x14ac:dyDescent="0.35">
      <c r="B15" s="2" t="s">
        <v>49</v>
      </c>
      <c r="E15" s="22"/>
      <c r="F15" s="29"/>
      <c r="G15" s="16"/>
      <c r="H15" s="27"/>
    </row>
    <row r="16" spans="1:9" s="1" customFormat="1" ht="18" x14ac:dyDescent="0.35">
      <c r="A16" s="2" t="s">
        <v>0</v>
      </c>
      <c r="B16" s="2" t="s">
        <v>1</v>
      </c>
      <c r="C16" s="2" t="s">
        <v>2</v>
      </c>
      <c r="D16" s="2" t="s">
        <v>4</v>
      </c>
      <c r="E16" s="16" t="s">
        <v>6</v>
      </c>
      <c r="F16" s="27" t="s">
        <v>8</v>
      </c>
      <c r="G16" s="16" t="s">
        <v>31</v>
      </c>
      <c r="H16" s="27" t="s">
        <v>33</v>
      </c>
    </row>
    <row r="17" spans="1:9" s="1" customFormat="1" ht="18" x14ac:dyDescent="0.35">
      <c r="A17" s="1">
        <f>A7</f>
        <v>359</v>
      </c>
      <c r="B17" s="1" t="s">
        <v>9</v>
      </c>
      <c r="C17" s="1">
        <v>226</v>
      </c>
      <c r="D17" s="1">
        <f>((C17*A17)*E3)/1000</f>
        <v>710733.84</v>
      </c>
      <c r="E17" s="12">
        <f>D17*E4</f>
        <v>44065.498079999998</v>
      </c>
      <c r="F17" s="28">
        <f>((A17*C17)*99000)/1000*E4</f>
        <v>498000.49199999997</v>
      </c>
      <c r="G17" s="31">
        <f>E7-E17</f>
        <v>45235.378560000005</v>
      </c>
      <c r="H17" s="31">
        <f>F7-F17</f>
        <v>511221.74400000006</v>
      </c>
    </row>
    <row r="18" spans="1:9" ht="18" x14ac:dyDescent="0.35">
      <c r="E18" s="21"/>
      <c r="F18" s="23"/>
      <c r="G18" s="24"/>
      <c r="H18" s="25"/>
      <c r="I18"/>
    </row>
    <row r="19" spans="1:9" s="20" customFormat="1" ht="18" x14ac:dyDescent="0.35">
      <c r="E19" s="23"/>
      <c r="F19" s="23"/>
      <c r="G19" s="25"/>
      <c r="H19" s="25"/>
    </row>
    <row r="20" spans="1:9" s="1" customFormat="1" ht="18" x14ac:dyDescent="0.35">
      <c r="B20" s="2" t="s">
        <v>50</v>
      </c>
      <c r="E20" s="22"/>
      <c r="F20" s="30"/>
      <c r="G20" s="16"/>
      <c r="H20" s="27"/>
    </row>
    <row r="21" spans="1:9" s="2" customFormat="1" ht="18" x14ac:dyDescent="0.35">
      <c r="A21" s="2" t="s">
        <v>0</v>
      </c>
      <c r="B21" s="2" t="s">
        <v>1</v>
      </c>
      <c r="C21" s="2" t="s">
        <v>2</v>
      </c>
      <c r="D21" s="2" t="s">
        <v>4</v>
      </c>
      <c r="E21" s="16" t="s">
        <v>6</v>
      </c>
      <c r="F21" s="54" t="s">
        <v>8</v>
      </c>
      <c r="G21" s="16" t="s">
        <v>31</v>
      </c>
      <c r="H21" s="27" t="s">
        <v>33</v>
      </c>
    </row>
    <row r="22" spans="1:9" s="1" customFormat="1" x14ac:dyDescent="0.3">
      <c r="A22" s="1">
        <f>A7</f>
        <v>359</v>
      </c>
      <c r="B22" s="1" t="s">
        <v>20</v>
      </c>
      <c r="C22" s="1">
        <v>216</v>
      </c>
      <c r="D22" s="1">
        <f>((C22*A22)*E3)/1000</f>
        <v>679285.44</v>
      </c>
      <c r="E22" s="12">
        <f>D22*E4</f>
        <v>42115.697279999993</v>
      </c>
      <c r="F22" s="31">
        <f>((A22*C22)*99000)/1000*E4</f>
        <v>475965.07199999999</v>
      </c>
      <c r="G22" s="31">
        <f>E7-E22</f>
        <v>47185.179360000009</v>
      </c>
      <c r="H22" s="31">
        <f>F7-F22</f>
        <v>533257.16400000011</v>
      </c>
    </row>
    <row r="23" spans="1:9" x14ac:dyDescent="0.3">
      <c r="E23" s="21"/>
      <c r="F23" s="23"/>
      <c r="G23" s="24"/>
      <c r="H23" s="25"/>
      <c r="I23"/>
    </row>
    <row r="24" spans="1:9" x14ac:dyDescent="0.3">
      <c r="E24" s="21"/>
      <c r="F24" s="23"/>
      <c r="G24" s="24"/>
      <c r="H24" s="25"/>
      <c r="I24"/>
    </row>
    <row r="25" spans="1:9" s="1" customFormat="1" x14ac:dyDescent="0.3">
      <c r="B25" s="2" t="s">
        <v>30</v>
      </c>
      <c r="E25" s="22"/>
      <c r="F25" s="30"/>
      <c r="G25" s="16"/>
      <c r="H25" s="27"/>
    </row>
    <row r="26" spans="1:9" s="2" customFormat="1" x14ac:dyDescent="0.3">
      <c r="A26" s="2" t="s">
        <v>0</v>
      </c>
      <c r="B26" s="2" t="s">
        <v>1</v>
      </c>
      <c r="C26" s="2" t="s">
        <v>2</v>
      </c>
      <c r="D26" s="2" t="s">
        <v>4</v>
      </c>
      <c r="E26" s="16" t="s">
        <v>6</v>
      </c>
      <c r="F26" s="27" t="s">
        <v>8</v>
      </c>
      <c r="G26" s="16" t="s">
        <v>31</v>
      </c>
      <c r="H26" s="27" t="s">
        <v>33</v>
      </c>
    </row>
    <row r="27" spans="1:9" s="1" customFormat="1" x14ac:dyDescent="0.3">
      <c r="A27" s="1">
        <f>A7</f>
        <v>359</v>
      </c>
      <c r="B27" s="1" t="s">
        <v>30</v>
      </c>
      <c r="C27" s="1">
        <v>170</v>
      </c>
      <c r="D27" s="1">
        <f>((C27*A27)*E3)/1000</f>
        <v>534622.80000000005</v>
      </c>
      <c r="E27" s="12">
        <f>D27*E4</f>
        <v>33146.613600000004</v>
      </c>
      <c r="F27" s="28">
        <f>((A27*C27)*99000)/1000*E4</f>
        <v>374602.14</v>
      </c>
      <c r="G27" s="31">
        <f>E7-E27</f>
        <v>56154.263039999998</v>
      </c>
      <c r="H27" s="31">
        <f>F7-F27</f>
        <v>634620.09600000002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4" sqref="H4"/>
    </sheetView>
  </sheetViews>
  <sheetFormatPr defaultRowHeight="15" x14ac:dyDescent="0.25"/>
  <cols>
    <col min="1" max="1" width="4.85546875" bestFit="1" customWidth="1"/>
    <col min="2" max="2" width="30.42578125" bestFit="1" customWidth="1"/>
    <col min="3" max="3" width="13.140625" bestFit="1" customWidth="1"/>
    <col min="4" max="4" width="15.5703125" bestFit="1" customWidth="1"/>
    <col min="5" max="5" width="12.7109375" bestFit="1" customWidth="1"/>
    <col min="6" max="6" width="9.5703125" bestFit="1" customWidth="1"/>
    <col min="7" max="7" width="19.28515625" bestFit="1" customWidth="1"/>
    <col min="8" max="8" width="20" bestFit="1" customWidth="1"/>
    <col min="9" max="9" width="30.28515625" bestFit="1" customWidth="1"/>
    <col min="11" max="11" width="13.85546875" bestFit="1" customWidth="1"/>
    <col min="12" max="12" width="10.28515625" bestFit="1" customWidth="1"/>
    <col min="13" max="13" width="13.42578125" bestFit="1" customWidth="1"/>
  </cols>
  <sheetData>
    <row r="1" spans="1:13" ht="14.45" x14ac:dyDescent="0.3">
      <c r="B1" s="1" t="str">
        <f>ROIs!B1</f>
        <v>Big Brick Company</v>
      </c>
    </row>
    <row r="3" spans="1:13" s="1" customFormat="1" ht="14.45" x14ac:dyDescent="0.3">
      <c r="B3" s="1" t="s">
        <v>24</v>
      </c>
    </row>
    <row r="4" spans="1:13" s="1" customFormat="1" ht="15.6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5" t="s">
        <v>7</v>
      </c>
      <c r="I4" s="6" t="s">
        <v>8</v>
      </c>
      <c r="K4" s="2"/>
      <c r="L4" s="10" t="s">
        <v>10</v>
      </c>
      <c r="M4" s="2" t="s">
        <v>11</v>
      </c>
    </row>
    <row r="5" spans="1:13" s="1" customFormat="1" ht="15.6" x14ac:dyDescent="0.3">
      <c r="A5" s="1">
        <f>'Annual Energy Comps'!A7</f>
        <v>359</v>
      </c>
      <c r="B5" s="1" t="s">
        <v>25</v>
      </c>
      <c r="C5" s="1">
        <v>458</v>
      </c>
      <c r="D5" s="40">
        <f>'Annual Energy Comps'!E3</f>
        <v>8760</v>
      </c>
      <c r="E5" s="41">
        <f>((C5*A5)*D5)/1000</f>
        <v>1440336.72</v>
      </c>
      <c r="F5" s="42">
        <f>'Annual Energy Comps'!E4</f>
        <v>6.2E-2</v>
      </c>
      <c r="G5" s="8">
        <f>E5*F5</f>
        <v>89300.876640000002</v>
      </c>
      <c r="H5" s="5">
        <v>20000</v>
      </c>
      <c r="I5" s="9">
        <f>((A5*C5)*99000)/1000*F5</f>
        <v>1009222.236</v>
      </c>
      <c r="K5" s="7" t="s">
        <v>23</v>
      </c>
      <c r="L5" s="11">
        <v>33.159999999999997</v>
      </c>
      <c r="M5" s="11">
        <f>L5*A5</f>
        <v>11904.439999999999</v>
      </c>
    </row>
    <row r="6" spans="1:13" s="1" customFormat="1" ht="14.45" x14ac:dyDescent="0.3">
      <c r="L6" s="11" t="s">
        <v>16</v>
      </c>
      <c r="M6" s="11">
        <f>M5*6%</f>
        <v>714.26639999999986</v>
      </c>
    </row>
    <row r="7" spans="1:13" s="1" customFormat="1" ht="18" x14ac:dyDescent="0.35">
      <c r="L7" s="12" t="s">
        <v>17</v>
      </c>
      <c r="M7" s="12">
        <f>SUM(M5:M6)</f>
        <v>12618.706399999999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80" zoomScaleNormal="80" workbookViewId="0">
      <selection activeCell="B2" sqref="B2"/>
    </sheetView>
  </sheetViews>
  <sheetFormatPr defaultRowHeight="15" x14ac:dyDescent="0.25"/>
  <cols>
    <col min="1" max="1" width="4.85546875" bestFit="1" customWidth="1"/>
    <col min="2" max="2" width="25.85546875" customWidth="1"/>
    <col min="3" max="3" width="13.140625" bestFit="1" customWidth="1"/>
    <col min="4" max="4" width="15.5703125" bestFit="1" customWidth="1"/>
    <col min="5" max="5" width="12.7109375" bestFit="1" customWidth="1"/>
    <col min="6" max="6" width="9.5703125" bestFit="1" customWidth="1"/>
    <col min="7" max="7" width="19.28515625" customWidth="1"/>
    <col min="8" max="8" width="20" bestFit="1" customWidth="1"/>
    <col min="9" max="9" width="30.28515625" bestFit="1" customWidth="1"/>
    <col min="11" max="11" width="17.85546875" bestFit="1" customWidth="1"/>
    <col min="12" max="12" width="21.7109375" bestFit="1" customWidth="1"/>
    <col min="13" max="13" width="14.42578125" bestFit="1" customWidth="1"/>
  </cols>
  <sheetData>
    <row r="1" spans="1:13" ht="14.45" x14ac:dyDescent="0.3">
      <c r="B1" s="1" t="str">
        <f>ROIs!B1</f>
        <v>Big Brick Company</v>
      </c>
    </row>
    <row r="3" spans="1:13" s="1" customFormat="1" ht="14.45" x14ac:dyDescent="0.3">
      <c r="B3" s="1" t="s">
        <v>51</v>
      </c>
    </row>
    <row r="4" spans="1:13" s="1" customFormat="1" ht="15.6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5" t="s">
        <v>7</v>
      </c>
      <c r="I4" s="6" t="s">
        <v>8</v>
      </c>
      <c r="K4" s="2"/>
      <c r="L4" s="10" t="s">
        <v>10</v>
      </c>
      <c r="M4" s="2" t="s">
        <v>11</v>
      </c>
    </row>
    <row r="5" spans="1:13" s="1" customFormat="1" ht="15.6" x14ac:dyDescent="0.3">
      <c r="A5" s="1">
        <f>'Annual Energy Comps'!A7</f>
        <v>359</v>
      </c>
      <c r="B5" s="1" t="s">
        <v>48</v>
      </c>
      <c r="C5" s="1">
        <v>375</v>
      </c>
      <c r="D5" s="40">
        <f>'Annual Energy Comps'!E3</f>
        <v>8760</v>
      </c>
      <c r="E5" s="1">
        <f>((C5*A5)*D5)/1000</f>
        <v>1179315</v>
      </c>
      <c r="F5" s="42">
        <f>'Annual Energy Comps'!E4</f>
        <v>6.2E-2</v>
      </c>
      <c r="G5" s="8">
        <f>E5*F5</f>
        <v>73117.53</v>
      </c>
      <c r="H5" s="5">
        <v>20000</v>
      </c>
      <c r="I5" s="9">
        <f>((A5*C5)*99000)/1000*F5</f>
        <v>826328.25</v>
      </c>
      <c r="K5" s="7" t="s">
        <v>23</v>
      </c>
      <c r="L5" s="11">
        <v>47</v>
      </c>
      <c r="M5" s="11">
        <f>L5*A5</f>
        <v>16873</v>
      </c>
    </row>
    <row r="6" spans="1:13" s="1" customFormat="1" ht="14.45" x14ac:dyDescent="0.3">
      <c r="L6" s="11" t="s">
        <v>16</v>
      </c>
      <c r="M6" s="11">
        <f>M5*6%</f>
        <v>1012.38</v>
      </c>
    </row>
    <row r="7" spans="1:13" s="1" customFormat="1" ht="18" x14ac:dyDescent="0.35">
      <c r="L7" s="12" t="s">
        <v>17</v>
      </c>
      <c r="M7" s="12">
        <f>SUM(M5:M6)</f>
        <v>17885.38</v>
      </c>
    </row>
    <row r="8" spans="1:13" s="1" customFormat="1" ht="14.45" x14ac:dyDescent="0.3">
      <c r="L8"/>
      <c r="M8"/>
    </row>
    <row r="9" spans="1:13" s="1" customFormat="1" ht="14.45" x14ac:dyDescent="0.3">
      <c r="L9"/>
      <c r="M9"/>
    </row>
    <row r="10" spans="1:13" s="1" customFormat="1" ht="14.45" x14ac:dyDescent="0.3">
      <c r="K10"/>
      <c r="L10"/>
      <c r="M10"/>
    </row>
    <row r="11" spans="1:13" s="1" customFormat="1" ht="14.45" x14ac:dyDescent="0.3">
      <c r="K11"/>
      <c r="L11"/>
      <c r="M11"/>
    </row>
    <row r="12" spans="1:13" s="1" customFormat="1" ht="14.45" x14ac:dyDescent="0.3">
      <c r="K12"/>
      <c r="L12"/>
      <c r="M12"/>
    </row>
    <row r="13" spans="1:13" s="1" customFormat="1" ht="14.45" x14ac:dyDescent="0.3">
      <c r="K13"/>
      <c r="L13"/>
      <c r="M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H4" sqref="H4"/>
    </sheetView>
  </sheetViews>
  <sheetFormatPr defaultColWidth="8.85546875" defaultRowHeight="15" x14ac:dyDescent="0.25"/>
  <cols>
    <col min="1" max="1" width="4.85546875" style="1" bestFit="1" customWidth="1"/>
    <col min="2" max="2" width="17.42578125" style="1" bestFit="1" customWidth="1"/>
    <col min="3" max="3" width="13.140625" style="1" customWidth="1"/>
    <col min="4" max="4" width="15.5703125" style="1" bestFit="1" customWidth="1"/>
    <col min="5" max="5" width="12.7109375" style="1" customWidth="1"/>
    <col min="6" max="6" width="9.5703125" style="1" customWidth="1"/>
    <col min="7" max="7" width="19.28515625" style="1" customWidth="1"/>
    <col min="8" max="8" width="20" style="1" bestFit="1" customWidth="1"/>
    <col min="9" max="9" width="30.28515625" style="1" bestFit="1" customWidth="1"/>
    <col min="10" max="10" width="8.85546875" style="1"/>
    <col min="11" max="11" width="18.7109375" style="1" bestFit="1" customWidth="1"/>
    <col min="12" max="12" width="18.7109375" style="1" customWidth="1"/>
    <col min="13" max="13" width="23.140625" style="1" bestFit="1" customWidth="1"/>
    <col min="14" max="14" width="14.85546875" style="1" customWidth="1"/>
    <col min="15" max="16384" width="8.85546875" style="1"/>
  </cols>
  <sheetData>
    <row r="1" spans="1:14" ht="14.45" x14ac:dyDescent="0.3">
      <c r="B1" s="1" t="str">
        <f>ROIs!B1</f>
        <v>Big Brick Company</v>
      </c>
    </row>
    <row r="3" spans="1:14" ht="14.45" x14ac:dyDescent="0.3">
      <c r="B3" s="1" t="s">
        <v>49</v>
      </c>
    </row>
    <row r="4" spans="1:14" ht="15.6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5" t="s">
        <v>7</v>
      </c>
      <c r="I4" s="6" t="s">
        <v>8</v>
      </c>
      <c r="K4" s="2"/>
      <c r="L4" s="2"/>
      <c r="M4" s="10" t="s">
        <v>10</v>
      </c>
      <c r="N4" s="2" t="s">
        <v>11</v>
      </c>
    </row>
    <row r="5" spans="1:14" ht="15.6" x14ac:dyDescent="0.3">
      <c r="A5" s="1">
        <f>'Annual Energy Comps'!A7</f>
        <v>359</v>
      </c>
      <c r="B5" s="1" t="s">
        <v>9</v>
      </c>
      <c r="C5" s="1">
        <v>226</v>
      </c>
      <c r="D5" s="40">
        <f>'Annual Energy Comps'!E3</f>
        <v>8760</v>
      </c>
      <c r="E5" s="1">
        <f>((C5*A5)*D5)/1000</f>
        <v>710733.84</v>
      </c>
      <c r="F5" s="42">
        <f>'Annual Energy Comps'!E4</f>
        <v>6.2E-2</v>
      </c>
      <c r="G5" s="8">
        <f>E5*F5</f>
        <v>44065.498079999998</v>
      </c>
      <c r="H5" s="5">
        <v>70000</v>
      </c>
      <c r="I5" s="9">
        <f>((A5*C5)*99000)/1000*F5</f>
        <v>498000.49199999997</v>
      </c>
      <c r="L5" s="7" t="s">
        <v>12</v>
      </c>
      <c r="M5" s="11">
        <v>158</v>
      </c>
      <c r="N5" s="11">
        <f>M5*A5</f>
        <v>56722</v>
      </c>
    </row>
    <row r="6" spans="1:14" ht="14.45" x14ac:dyDescent="0.3">
      <c r="K6" s="7"/>
      <c r="L6" s="7" t="s">
        <v>58</v>
      </c>
      <c r="M6" s="11"/>
      <c r="N6" s="11"/>
    </row>
    <row r="7" spans="1:14" ht="14.45" x14ac:dyDescent="0.3">
      <c r="K7" s="7" t="s">
        <v>47</v>
      </c>
      <c r="L7" s="7">
        <v>359</v>
      </c>
      <c r="M7" s="11">
        <v>45.25</v>
      </c>
      <c r="N7" s="11">
        <f>L7*M7</f>
        <v>16244.75</v>
      </c>
    </row>
    <row r="8" spans="1:14" ht="14.45" x14ac:dyDescent="0.3">
      <c r="K8" s="7" t="s">
        <v>46</v>
      </c>
      <c r="L8" s="7">
        <v>359</v>
      </c>
      <c r="M8" s="11">
        <v>9.75</v>
      </c>
      <c r="N8" s="11">
        <f t="shared" ref="N8:N10" si="0">L8*M8</f>
        <v>3500.25</v>
      </c>
    </row>
    <row r="9" spans="1:14" ht="14.45" x14ac:dyDescent="0.3">
      <c r="K9" s="7" t="s">
        <v>14</v>
      </c>
      <c r="L9" s="7">
        <v>359</v>
      </c>
      <c r="M9" s="11">
        <v>10.15</v>
      </c>
      <c r="N9" s="11">
        <f t="shared" si="0"/>
        <v>3643.85</v>
      </c>
    </row>
    <row r="10" spans="1:14" ht="14.45" x14ac:dyDescent="0.3">
      <c r="K10" s="7" t="s">
        <v>15</v>
      </c>
      <c r="L10" s="7">
        <v>359</v>
      </c>
      <c r="M10" s="11">
        <v>0</v>
      </c>
      <c r="N10" s="11">
        <f t="shared" si="0"/>
        <v>0</v>
      </c>
    </row>
    <row r="11" spans="1:14" ht="14.45" x14ac:dyDescent="0.3">
      <c r="M11" s="11"/>
      <c r="N11" s="11">
        <f>SUM(N5:N10)</f>
        <v>80110.850000000006</v>
      </c>
    </row>
    <row r="12" spans="1:14" ht="14.45" x14ac:dyDescent="0.3">
      <c r="M12" s="11" t="s">
        <v>16</v>
      </c>
      <c r="N12" s="11">
        <f>N11*6%</f>
        <v>4806.6509999999998</v>
      </c>
    </row>
    <row r="13" spans="1:14" ht="18" x14ac:dyDescent="0.35">
      <c r="M13" s="12" t="s">
        <v>17</v>
      </c>
      <c r="N13" s="12">
        <f>SUM(N11:N12)</f>
        <v>84917.501000000004</v>
      </c>
    </row>
    <row r="14" spans="1:14" ht="18" x14ac:dyDescent="0.35">
      <c r="M14" s="12" t="s">
        <v>18</v>
      </c>
      <c r="N14" s="12">
        <f>A5*133</f>
        <v>47747</v>
      </c>
    </row>
    <row r="15" spans="1:14" ht="18" x14ac:dyDescent="0.35">
      <c r="M15" s="12" t="s">
        <v>19</v>
      </c>
      <c r="N15" s="12">
        <f>N13-N14</f>
        <v>37170.501000000004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80" zoomScaleNormal="80" workbookViewId="0">
      <selection activeCell="B1" sqref="B1"/>
    </sheetView>
  </sheetViews>
  <sheetFormatPr defaultColWidth="8.85546875" defaultRowHeight="15" x14ac:dyDescent="0.25"/>
  <cols>
    <col min="1" max="1" width="4.85546875" style="20" bestFit="1" customWidth="1"/>
    <col min="2" max="2" width="39.28515625" style="20" bestFit="1" customWidth="1"/>
    <col min="3" max="3" width="13.140625" style="20" customWidth="1"/>
    <col min="4" max="4" width="15.5703125" style="20" bestFit="1" customWidth="1"/>
    <col min="5" max="5" width="12.7109375" style="20" customWidth="1"/>
    <col min="6" max="6" width="9.5703125" style="20" customWidth="1"/>
    <col min="7" max="7" width="19.28515625" style="20" customWidth="1"/>
    <col min="8" max="8" width="20" style="20" bestFit="1" customWidth="1"/>
    <col min="9" max="9" width="30.28515625" style="20" bestFit="1" customWidth="1"/>
    <col min="10" max="10" width="8.85546875" style="20"/>
    <col min="11" max="11" width="18.7109375" style="20" bestFit="1" customWidth="1"/>
    <col min="12" max="12" width="18.7109375" style="20" customWidth="1"/>
    <col min="13" max="13" width="23.140625" style="20" bestFit="1" customWidth="1"/>
    <col min="14" max="14" width="14.85546875" style="20" bestFit="1" customWidth="1"/>
    <col min="15" max="16384" width="8.85546875" style="20"/>
  </cols>
  <sheetData>
    <row r="1" spans="1:17" ht="14.45" x14ac:dyDescent="0.3">
      <c r="B1" s="1" t="s">
        <v>62</v>
      </c>
    </row>
    <row r="3" spans="1:17" s="1" customFormat="1" ht="14.45" x14ac:dyDescent="0.3">
      <c r="B3" s="1" t="s">
        <v>21</v>
      </c>
      <c r="F3" s="13"/>
      <c r="H3" s="14"/>
      <c r="K3" s="2"/>
      <c r="L3" s="2"/>
      <c r="M3" s="11"/>
    </row>
    <row r="4" spans="1:17" s="2" customFormat="1" ht="15.6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5" t="s">
        <v>7</v>
      </c>
      <c r="I4" s="6" t="s">
        <v>8</v>
      </c>
      <c r="M4" s="10" t="s">
        <v>10</v>
      </c>
      <c r="N4" s="2" t="s">
        <v>11</v>
      </c>
    </row>
    <row r="5" spans="1:17" s="1" customFormat="1" ht="15.6" x14ac:dyDescent="0.3">
      <c r="A5" s="1">
        <f>'Annual Energy Comps'!A7</f>
        <v>359</v>
      </c>
      <c r="B5" s="1" t="s">
        <v>20</v>
      </c>
      <c r="C5" s="1">
        <v>216</v>
      </c>
      <c r="D5" s="41">
        <f>'Annual Energy Comps'!E3</f>
        <v>8760</v>
      </c>
      <c r="E5" s="1">
        <f>((C5*A5)*D5)/1000</f>
        <v>679285.44</v>
      </c>
      <c r="F5" s="43">
        <f>'Annual Energy Comps'!E4</f>
        <v>6.2E-2</v>
      </c>
      <c r="G5" s="8">
        <f>E5*F5</f>
        <v>42115.697279999993</v>
      </c>
      <c r="H5" s="5">
        <v>40000</v>
      </c>
      <c r="I5" s="9">
        <f>((A5*C5)*99000)/1000*F5</f>
        <v>475965.07199999999</v>
      </c>
      <c r="J5" s="11"/>
      <c r="L5" s="7" t="s">
        <v>12</v>
      </c>
      <c r="M5" s="11">
        <v>117</v>
      </c>
      <c r="N5" s="11">
        <f>M5*A5</f>
        <v>42003</v>
      </c>
    </row>
    <row r="6" spans="1:17" s="1" customFormat="1" ht="14.45" x14ac:dyDescent="0.3">
      <c r="F6" s="13"/>
      <c r="H6" s="14"/>
      <c r="K6" s="7"/>
      <c r="L6" s="7" t="s">
        <v>58</v>
      </c>
      <c r="M6" s="11"/>
      <c r="N6" s="11"/>
    </row>
    <row r="7" spans="1:17" s="1" customFormat="1" ht="14.45" x14ac:dyDescent="0.3">
      <c r="F7" s="13"/>
      <c r="H7" s="14"/>
      <c r="K7" s="7" t="s">
        <v>47</v>
      </c>
      <c r="L7" s="7">
        <v>0</v>
      </c>
      <c r="M7" s="11">
        <v>45.25</v>
      </c>
      <c r="N7" s="11">
        <f>L7*M7</f>
        <v>0</v>
      </c>
    </row>
    <row r="8" spans="1:17" s="1" customFormat="1" ht="14.45" x14ac:dyDescent="0.3">
      <c r="F8" s="13"/>
      <c r="H8" s="14"/>
      <c r="K8" s="7" t="s">
        <v>60</v>
      </c>
      <c r="L8" s="7">
        <v>359</v>
      </c>
      <c r="M8" s="11">
        <v>21.5</v>
      </c>
      <c r="N8" s="11">
        <f t="shared" ref="N8:N10" si="0">L8*M8</f>
        <v>7718.5</v>
      </c>
    </row>
    <row r="9" spans="1:17" s="1" customFormat="1" ht="14.45" x14ac:dyDescent="0.3">
      <c r="F9" s="13"/>
      <c r="H9" s="14"/>
      <c r="K9" s="7" t="s">
        <v>14</v>
      </c>
      <c r="L9" s="7">
        <v>359</v>
      </c>
      <c r="M9" s="11">
        <v>10.15</v>
      </c>
      <c r="N9" s="11">
        <f t="shared" si="0"/>
        <v>3643.85</v>
      </c>
    </row>
    <row r="10" spans="1:17" s="1" customFormat="1" ht="14.45" x14ac:dyDescent="0.3">
      <c r="F10" s="13"/>
      <c r="H10" s="14"/>
      <c r="K10" s="7" t="s">
        <v>15</v>
      </c>
      <c r="L10" s="7">
        <v>0</v>
      </c>
      <c r="M10" s="11">
        <v>0</v>
      </c>
      <c r="N10" s="11">
        <f t="shared" si="0"/>
        <v>0</v>
      </c>
    </row>
    <row r="11" spans="1:17" s="1" customFormat="1" ht="14.45" x14ac:dyDescent="0.3">
      <c r="F11" s="13"/>
      <c r="H11" s="14"/>
      <c r="K11"/>
      <c r="L11"/>
      <c r="M11" s="11"/>
      <c r="N11" s="11">
        <f>SUM(N5:N10)</f>
        <v>53365.35</v>
      </c>
    </row>
    <row r="12" spans="1:17" s="1" customFormat="1" ht="14.45" x14ac:dyDescent="0.3">
      <c r="F12" s="13"/>
      <c r="H12" s="14"/>
      <c r="K12"/>
      <c r="L12"/>
      <c r="M12" s="1" t="s">
        <v>16</v>
      </c>
      <c r="N12" s="11">
        <f>N11*6%</f>
        <v>3201.9209999999998</v>
      </c>
    </row>
    <row r="13" spans="1:17" s="1" customFormat="1" ht="18" x14ac:dyDescent="0.35">
      <c r="F13" s="13"/>
      <c r="H13" s="14"/>
      <c r="K13"/>
      <c r="L13"/>
      <c r="M13" s="16" t="s">
        <v>17</v>
      </c>
      <c r="N13" s="17">
        <f>SUM(N11:N12)</f>
        <v>56567.271000000001</v>
      </c>
      <c r="Q13" s="11"/>
    </row>
    <row r="14" spans="1:17" customFormat="1" ht="18" x14ac:dyDescent="0.35">
      <c r="F14" s="18"/>
      <c r="H14" s="19"/>
      <c r="M14" s="12" t="s">
        <v>18</v>
      </c>
      <c r="N14" s="17">
        <f>A5*100</f>
        <v>35900</v>
      </c>
    </row>
    <row r="15" spans="1:17" ht="18" x14ac:dyDescent="0.35">
      <c r="K15" s="1"/>
      <c r="L15" s="1"/>
      <c r="M15" s="12" t="s">
        <v>19</v>
      </c>
      <c r="N15" s="17">
        <f>N13-N14</f>
        <v>20667.271000000001</v>
      </c>
    </row>
    <row r="20" spans="13:13" ht="14.45" x14ac:dyDescent="0.3">
      <c r="M20" s="20">
        <v>45.25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="80" zoomScaleNormal="80" workbookViewId="0">
      <selection activeCell="G22" sqref="G22"/>
    </sheetView>
  </sheetViews>
  <sheetFormatPr defaultRowHeight="15" x14ac:dyDescent="0.25"/>
  <cols>
    <col min="1" max="1" width="4.85546875" bestFit="1" customWidth="1"/>
    <col min="2" max="2" width="12.7109375" bestFit="1" customWidth="1"/>
    <col min="3" max="3" width="13.140625" bestFit="1" customWidth="1"/>
    <col min="4" max="4" width="15.5703125" bestFit="1" customWidth="1"/>
    <col min="5" max="5" width="12.7109375" bestFit="1" customWidth="1"/>
    <col min="6" max="6" width="9.5703125" bestFit="1" customWidth="1"/>
    <col min="7" max="7" width="19.28515625" bestFit="1" customWidth="1"/>
    <col min="8" max="8" width="18.140625" bestFit="1" customWidth="1"/>
    <col min="9" max="9" width="30.28515625" bestFit="1" customWidth="1"/>
    <col min="11" max="11" width="18.7109375" bestFit="1" customWidth="1"/>
    <col min="12" max="12" width="18.7109375" customWidth="1"/>
    <col min="13" max="13" width="23.140625" bestFit="1" customWidth="1"/>
    <col min="14" max="14" width="14.85546875" customWidth="1"/>
  </cols>
  <sheetData>
    <row r="1" spans="1:17" ht="14.45" x14ac:dyDescent="0.3">
      <c r="B1" s="1" t="str">
        <f>ROIs!B1</f>
        <v>Big Brick Company</v>
      </c>
    </row>
    <row r="3" spans="1:17" s="1" customFormat="1" ht="14.45" x14ac:dyDescent="0.3">
      <c r="B3" s="2" t="s">
        <v>30</v>
      </c>
      <c r="F3" s="13"/>
      <c r="H3" s="14"/>
      <c r="M3" s="11"/>
    </row>
    <row r="4" spans="1:17" s="2" customFormat="1" ht="15.6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5" t="s">
        <v>27</v>
      </c>
      <c r="I4" s="6" t="s">
        <v>8</v>
      </c>
      <c r="M4" s="10" t="s">
        <v>10</v>
      </c>
      <c r="N4" s="2" t="s">
        <v>11</v>
      </c>
    </row>
    <row r="5" spans="1:17" s="1" customFormat="1" ht="15.6" x14ac:dyDescent="0.3">
      <c r="A5" s="1">
        <f>'Annual Energy Comps'!A7</f>
        <v>359</v>
      </c>
      <c r="B5" s="1" t="s">
        <v>30</v>
      </c>
      <c r="C5" s="1">
        <v>170</v>
      </c>
      <c r="D5" s="41">
        <f>'Annual Energy Comps'!E3</f>
        <v>8760</v>
      </c>
      <c r="E5" s="1">
        <f>((C5*A5)*D5)/1000</f>
        <v>534622.80000000005</v>
      </c>
      <c r="F5" s="43">
        <f>'Annual Energy Comps'!E4</f>
        <v>6.2E-2</v>
      </c>
      <c r="G5" s="8">
        <f>E5*F5</f>
        <v>33146.613600000004</v>
      </c>
      <c r="H5" s="5">
        <v>99000</v>
      </c>
      <c r="I5" s="9">
        <f>((A5*C5)*99000)/1000*F5</f>
        <v>374602.14</v>
      </c>
      <c r="J5" s="11"/>
      <c r="L5" s="7" t="s">
        <v>28</v>
      </c>
      <c r="M5" s="11">
        <v>420</v>
      </c>
      <c r="N5" s="11">
        <f>M5*A5</f>
        <v>150780</v>
      </c>
    </row>
    <row r="6" spans="1:17" s="1" customFormat="1" ht="14.45" x14ac:dyDescent="0.3">
      <c r="F6" s="13"/>
      <c r="H6" s="14"/>
      <c r="K6" s="7"/>
      <c r="L6" s="7" t="s">
        <v>58</v>
      </c>
      <c r="M6" s="11"/>
      <c r="N6" s="11"/>
    </row>
    <row r="7" spans="1:17" s="1" customFormat="1" ht="14.45" x14ac:dyDescent="0.3">
      <c r="F7" s="13"/>
      <c r="H7" s="14"/>
      <c r="K7" s="7" t="s">
        <v>13</v>
      </c>
      <c r="L7" s="7">
        <v>359</v>
      </c>
      <c r="M7" s="11">
        <v>55.4</v>
      </c>
      <c r="N7" s="11">
        <f>L7*M7</f>
        <v>19888.599999999999</v>
      </c>
    </row>
    <row r="8" spans="1:17" s="1" customFormat="1" ht="14.45" x14ac:dyDescent="0.3">
      <c r="F8" s="13"/>
      <c r="H8" s="14"/>
      <c r="K8" s="7" t="s">
        <v>14</v>
      </c>
      <c r="L8" s="7">
        <v>359</v>
      </c>
      <c r="M8" s="11">
        <v>10.15</v>
      </c>
      <c r="N8" s="11">
        <f>L8*M8</f>
        <v>3643.85</v>
      </c>
    </row>
    <row r="9" spans="1:17" s="1" customFormat="1" ht="14.45" x14ac:dyDescent="0.3">
      <c r="F9" s="13"/>
      <c r="H9" s="14"/>
      <c r="M9" s="11"/>
      <c r="N9" s="11">
        <f>SUM(N5:N8)</f>
        <v>174312.45</v>
      </c>
    </row>
    <row r="10" spans="1:17" s="1" customFormat="1" ht="14.45" x14ac:dyDescent="0.3">
      <c r="F10" s="13"/>
      <c r="H10" s="14"/>
      <c r="M10" s="11" t="s">
        <v>29</v>
      </c>
      <c r="N10" s="11">
        <f>N9*6%</f>
        <v>10458.747000000001</v>
      </c>
    </row>
    <row r="11" spans="1:17" ht="18" x14ac:dyDescent="0.35">
      <c r="F11" s="18"/>
      <c r="H11" s="19"/>
      <c r="M11" s="12" t="s">
        <v>17</v>
      </c>
      <c r="N11" s="12">
        <f>SUM(N9:N10)</f>
        <v>184771.19700000001</v>
      </c>
      <c r="Q11" s="15"/>
    </row>
    <row r="12" spans="1:17" s="1" customFormat="1" ht="18" x14ac:dyDescent="0.35">
      <c r="A12"/>
      <c r="B12"/>
      <c r="C12"/>
      <c r="D12"/>
      <c r="E12"/>
      <c r="F12" s="18"/>
      <c r="G12"/>
      <c r="H12" s="19"/>
      <c r="I12"/>
      <c r="J12"/>
      <c r="M12" s="12" t="s">
        <v>18</v>
      </c>
      <c r="N12" s="17">
        <f>A5*167</f>
        <v>59953</v>
      </c>
    </row>
    <row r="13" spans="1:17" ht="18" x14ac:dyDescent="0.35">
      <c r="K13" s="1"/>
      <c r="L13" s="1"/>
      <c r="M13" s="12" t="s">
        <v>19</v>
      </c>
      <c r="N13" s="12">
        <f>N11-N12</f>
        <v>124818.19700000001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ROIs</vt:lpstr>
      <vt:lpstr>Annual Energy Comps</vt:lpstr>
      <vt:lpstr>Existing Lighting</vt:lpstr>
      <vt:lpstr>Philips AllStart</vt:lpstr>
      <vt:lpstr>6L T8 Solutions</vt:lpstr>
      <vt:lpstr>4L T5HO Solutions</vt:lpstr>
      <vt:lpstr>ILP 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Ammon</dc:creator>
  <cp:lastModifiedBy>Al Schoneman</cp:lastModifiedBy>
  <dcterms:created xsi:type="dcterms:W3CDTF">2014-07-18T15:41:21Z</dcterms:created>
  <dcterms:modified xsi:type="dcterms:W3CDTF">2015-09-18T14:51:15Z</dcterms:modified>
</cp:coreProperties>
</file>