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oksana.fan\Desktop\"/>
    </mc:Choice>
  </mc:AlternateContent>
  <bookViews>
    <workbookView xWindow="0" yWindow="0" windowWidth="20412" windowHeight="3432" tabRatio="634" firstSheet="17" activeTab="28"/>
  </bookViews>
  <sheets>
    <sheet name="工作表1" sheetId="1" r:id="rId1"/>
    <sheet name="WK43" sheetId="2" r:id="rId2"/>
    <sheet name="WK44" sheetId="3" r:id="rId3"/>
    <sheet name="WK45" sheetId="4" r:id="rId4"/>
    <sheet name="WK46" sheetId="5" r:id="rId5"/>
    <sheet name="WK47" sheetId="6" r:id="rId6"/>
    <sheet name="WK47加單" sheetId="7" r:id="rId7"/>
    <sheet name="WK48" sheetId="8" r:id="rId8"/>
    <sheet name="WK49" sheetId="9" r:id="rId9"/>
    <sheet name="工作表3" sheetId="14" r:id="rId10"/>
    <sheet name="WK50" sheetId="11" r:id="rId11"/>
    <sheet name="WK51" sheetId="12" r:id="rId12"/>
    <sheet name="WK52" sheetId="13" r:id="rId13"/>
    <sheet name="WK01" sheetId="15" r:id="rId14"/>
    <sheet name="WK02" sheetId="16" r:id="rId15"/>
    <sheet name="WK03" sheetId="17" r:id="rId16"/>
    <sheet name="WK04" sheetId="18" r:id="rId17"/>
    <sheet name="WK05" sheetId="19" r:id="rId18"/>
    <sheet name="WK06" sheetId="20" r:id="rId19"/>
    <sheet name="WK07" sheetId="21" r:id="rId20"/>
    <sheet name="WK09" sheetId="22" r:id="rId21"/>
    <sheet name="WK10" sheetId="23" r:id="rId22"/>
    <sheet name="WK11" sheetId="25" r:id="rId23"/>
    <sheet name="WK12" sheetId="26" r:id="rId24"/>
    <sheet name="WK13" sheetId="27" r:id="rId25"/>
    <sheet name="WK14" sheetId="29" r:id="rId26"/>
    <sheet name="WK15" sheetId="30" r:id="rId27"/>
    <sheet name="WK16" sheetId="31" r:id="rId28"/>
    <sheet name="WK17" sheetId="32" r:id="rId29"/>
    <sheet name="Channel" sheetId="24" r:id="rId30"/>
    <sheet name="MSRP" sheetId="28" r:id="rId31"/>
  </sheets>
  <definedNames>
    <definedName name="_xlnm._FilterDatabase" localSheetId="20" hidden="1">'WK09'!$A$6:$FV$90</definedName>
    <definedName name="_xlnm._FilterDatabase" localSheetId="21" hidden="1">'WK10'!$A$6:$FQ$109</definedName>
    <definedName name="_xlnm._FilterDatabase" localSheetId="22" hidden="1">'WK11'!$A$6:$FN$109</definedName>
    <definedName name="_xlnm._FilterDatabase" localSheetId="23" hidden="1">'WK12'!$A$6:$FM$111</definedName>
    <definedName name="_xlnm._FilterDatabase" localSheetId="24" hidden="1">'WK13'!$A$6:$FW$97</definedName>
    <definedName name="_xlnm._FilterDatabase" localSheetId="25" hidden="1">'WK14'!$A$6:$FR$100</definedName>
    <definedName name="_xlnm._FilterDatabase" localSheetId="26" hidden="1">'WK15'!$A$6:$FS$89</definedName>
    <definedName name="_xlnm._FilterDatabase" localSheetId="27" hidden="1">'WK16'!$A$6:$FT$103</definedName>
    <definedName name="_xlnm._FilterDatabase" localSheetId="28" hidden="1">'WK17'!$A$6:$FV$120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L102" i="32" l="1"/>
  <c r="DY102" i="32"/>
  <c r="DV102" i="32"/>
  <c r="DU102" i="32"/>
  <c r="DH102" i="32"/>
  <c r="AR102" i="32"/>
  <c r="AM102" i="32"/>
  <c r="AL102" i="32"/>
  <c r="AJ102" i="32"/>
  <c r="AG102" i="32"/>
  <c r="AF102" i="32"/>
  <c r="AE102" i="32"/>
  <c r="AD102" i="32"/>
  <c r="AB102" i="32"/>
  <c r="AA102" i="32"/>
  <c r="EG101" i="32"/>
  <c r="EF101" i="32"/>
  <c r="DI101" i="32"/>
  <c r="AT101" i="32"/>
  <c r="FU101" i="32" l="1"/>
  <c r="FU102" i="32"/>
  <c r="EY127" i="32"/>
  <c r="EX127" i="32"/>
  <c r="EW127" i="32"/>
  <c r="ES127" i="32"/>
  <c r="ER127" i="32"/>
  <c r="EQ127" i="32"/>
  <c r="EM127" i="32"/>
  <c r="EL127" i="32"/>
  <c r="EK127" i="32"/>
  <c r="EJ127" i="32"/>
  <c r="EB127" i="32"/>
  <c r="DX127" i="32"/>
  <c r="DW127" i="32"/>
  <c r="DU127" i="32"/>
  <c r="DM127" i="32"/>
  <c r="DL127" i="32"/>
  <c r="DI127" i="32"/>
  <c r="DE127" i="32"/>
  <c r="DD127" i="32"/>
  <c r="DC127" i="32"/>
  <c r="DB127" i="32"/>
  <c r="DA127" i="32"/>
  <c r="CX127" i="32"/>
  <c r="CW127" i="32"/>
  <c r="CS127" i="32"/>
  <c r="CQ127" i="32"/>
  <c r="CP127" i="32"/>
  <c r="CO127" i="32"/>
  <c r="CN127" i="32"/>
  <c r="CM127" i="32"/>
  <c r="CL127" i="32"/>
  <c r="CI127" i="32"/>
  <c r="CH127" i="32"/>
  <c r="CG127" i="32"/>
  <c r="CF127" i="32"/>
  <c r="CE127" i="32"/>
  <c r="CD127" i="32"/>
  <c r="CC127" i="32"/>
  <c r="BQ127" i="32"/>
  <c r="BD127" i="32"/>
  <c r="AU127" i="32"/>
  <c r="AP127" i="32" l="1"/>
  <c r="AC127" i="32"/>
  <c r="W127" i="32"/>
  <c r="V127" i="32"/>
  <c r="U127" i="32"/>
  <c r="FU126" i="32"/>
  <c r="FU125" i="32"/>
  <c r="FU124" i="32"/>
  <c r="FU123" i="32"/>
  <c r="FU122" i="32"/>
  <c r="FO120" i="32"/>
  <c r="FN120" i="32"/>
  <c r="FM120" i="32"/>
  <c r="FF120" i="32"/>
  <c r="EP120" i="32"/>
  <c r="DO120" i="32"/>
  <c r="DF120" i="32"/>
  <c r="CB120" i="32"/>
  <c r="CA120" i="32"/>
  <c r="BZ120" i="32"/>
  <c r="BY120" i="32"/>
  <c r="BX120" i="32"/>
  <c r="BW120" i="32"/>
  <c r="BJ120" i="32"/>
  <c r="AZ120" i="32"/>
  <c r="AY120" i="32"/>
  <c r="AX120" i="32"/>
  <c r="AW120" i="32"/>
  <c r="AV120" i="32"/>
  <c r="AS120" i="32"/>
  <c r="AQ120" i="32"/>
  <c r="AO120" i="32"/>
  <c r="Z120" i="32"/>
  <c r="Y120" i="32"/>
  <c r="X120" i="32"/>
  <c r="FU119" i="32"/>
  <c r="FU118" i="32"/>
  <c r="FU117" i="32"/>
  <c r="EB116" i="32"/>
  <c r="DU116" i="32"/>
  <c r="FU116" i="32" s="1"/>
  <c r="DI115" i="32"/>
  <c r="FU115" i="32" s="1"/>
  <c r="DZ114" i="32"/>
  <c r="FU114" i="32" s="1"/>
  <c r="EM113" i="32"/>
  <c r="DU113" i="32"/>
  <c r="EF112" i="32"/>
  <c r="FU112" i="32" s="1"/>
  <c r="EL111" i="32"/>
  <c r="DU111" i="32"/>
  <c r="DL111" i="32"/>
  <c r="FU111" i="32" s="1"/>
  <c r="EJ110" i="32"/>
  <c r="DX110" i="32"/>
  <c r="DI110" i="32"/>
  <c r="DU109" i="32"/>
  <c r="AE109" i="32"/>
  <c r="AD109" i="32"/>
  <c r="FU109" i="32" s="1"/>
  <c r="DP108" i="32"/>
  <c r="DI108" i="32"/>
  <c r="FU108" i="32" s="1"/>
  <c r="FG107" i="32"/>
  <c r="FC107" i="32"/>
  <c r="EM107" i="32"/>
  <c r="EE107" i="32"/>
  <c r="EB107" i="32"/>
  <c r="DU107" i="32"/>
  <c r="DL107" i="32"/>
  <c r="FU107" i="32" s="1"/>
  <c r="FK106" i="32"/>
  <c r="FA106" i="32"/>
  <c r="EX106" i="32"/>
  <c r="EJ106" i="32"/>
  <c r="DX106" i="32"/>
  <c r="DI106" i="32"/>
  <c r="EI105" i="32"/>
  <c r="EH105" i="32"/>
  <c r="EF104" i="32"/>
  <c r="DT104" i="32"/>
  <c r="FU104" i="32" s="1"/>
  <c r="AT120" i="32"/>
  <c r="DU100" i="32"/>
  <c r="DS100" i="32"/>
  <c r="AR100" i="32"/>
  <c r="AP100" i="32"/>
  <c r="AJ100" i="32"/>
  <c r="AG100" i="32"/>
  <c r="AE100" i="32"/>
  <c r="AD100" i="32"/>
  <c r="AC100" i="32"/>
  <c r="AB100" i="32"/>
  <c r="AA100" i="32"/>
  <c r="FU100" i="32" s="1"/>
  <c r="FU99" i="32"/>
  <c r="DW99" i="32"/>
  <c r="DT99" i="32"/>
  <c r="DI99" i="32"/>
  <c r="EL98" i="32"/>
  <c r="DU98" i="32"/>
  <c r="DL98" i="32"/>
  <c r="EJ97" i="32"/>
  <c r="DX97" i="32"/>
  <c r="DI97" i="32"/>
  <c r="FU97" i="32" s="1"/>
  <c r="EK96" i="32"/>
  <c r="DU96" i="32"/>
  <c r="FU96" i="32" s="1"/>
  <c r="EG95" i="32"/>
  <c r="EF95" i="32"/>
  <c r="DW95" i="32"/>
  <c r="DT95" i="32"/>
  <c r="FU95" i="32" s="1"/>
  <c r="EY94" i="32"/>
  <c r="EW94" i="32"/>
  <c r="ER94" i="32"/>
  <c r="EQ94" i="32"/>
  <c r="EO94" i="32"/>
  <c r="EN94" i="32"/>
  <c r="EL94" i="32"/>
  <c r="EK94" i="32"/>
  <c r="EH94" i="32"/>
  <c r="EE94" i="32"/>
  <c r="EB94" i="32"/>
  <c r="DU94" i="32"/>
  <c r="DL94" i="32"/>
  <c r="AR94" i="32"/>
  <c r="AP94" i="32"/>
  <c r="AE94" i="32"/>
  <c r="AD94" i="32"/>
  <c r="AC94" i="32"/>
  <c r="AB94" i="32"/>
  <c r="AA94" i="32"/>
  <c r="EX93" i="32"/>
  <c r="EG93" i="32"/>
  <c r="EF93" i="32"/>
  <c r="DW93" i="32"/>
  <c r="DT93" i="32"/>
  <c r="DI93" i="32"/>
  <c r="FU93" i="32" s="1"/>
  <c r="Q92" i="32"/>
  <c r="FU92" i="32" s="1"/>
  <c r="M92" i="32"/>
  <c r="I92" i="32"/>
  <c r="EY91" i="32"/>
  <c r="ES91" i="32"/>
  <c r="EQ91" i="32"/>
  <c r="EO91" i="32"/>
  <c r="EN91" i="32"/>
  <c r="EM91" i="32"/>
  <c r="EL91" i="32"/>
  <c r="EI91" i="32"/>
  <c r="EH91" i="32"/>
  <c r="EE91" i="32"/>
  <c r="EB91" i="32"/>
  <c r="DU91" i="32"/>
  <c r="DL91" i="32"/>
  <c r="DE91" i="32"/>
  <c r="DD91" i="32"/>
  <c r="DC91" i="32"/>
  <c r="CZ91" i="32"/>
  <c r="CW91" i="32"/>
  <c r="CV91" i="32"/>
  <c r="CU91" i="32"/>
  <c r="CT91" i="32"/>
  <c r="CR91" i="32"/>
  <c r="CQ91" i="32"/>
  <c r="CP91" i="32"/>
  <c r="CO91" i="32"/>
  <c r="CK91" i="32"/>
  <c r="CJ91" i="32"/>
  <c r="CI91" i="32"/>
  <c r="CF91" i="32"/>
  <c r="BH91" i="32"/>
  <c r="BG91" i="32"/>
  <c r="BF91" i="32"/>
  <c r="BE91" i="32"/>
  <c r="BD91" i="32"/>
  <c r="AN91" i="32"/>
  <c r="AM91" i="32"/>
  <c r="AK91" i="32"/>
  <c r="AJ91" i="32"/>
  <c r="AE91" i="32"/>
  <c r="AD91" i="32"/>
  <c r="AC91" i="32"/>
  <c r="AB91" i="32"/>
  <c r="AA91" i="32"/>
  <c r="S91" i="32"/>
  <c r="R91" i="32"/>
  <c r="P91" i="32"/>
  <c r="O91" i="32"/>
  <c r="N91" i="32"/>
  <c r="L91" i="32"/>
  <c r="K91" i="32"/>
  <c r="EX90" i="32"/>
  <c r="EV90" i="32"/>
  <c r="EU90" i="32"/>
  <c r="EG90" i="32"/>
  <c r="EF90" i="32"/>
  <c r="DI90" i="32"/>
  <c r="T89" i="32"/>
  <c r="Q89" i="32"/>
  <c r="M89" i="32"/>
  <c r="I89" i="32"/>
  <c r="ET88" i="32"/>
  <c r="ES88" i="32"/>
  <c r="EQ88" i="32"/>
  <c r="EO88" i="32"/>
  <c r="EN88" i="32"/>
  <c r="EM88" i="32"/>
  <c r="EH88" i="32"/>
  <c r="EE88" i="32"/>
  <c r="ED88" i="32"/>
  <c r="EB88" i="32"/>
  <c r="DU88" i="32"/>
  <c r="DL88" i="32"/>
  <c r="DE88" i="32"/>
  <c r="DD88" i="32"/>
  <c r="DC88" i="32"/>
  <c r="DA88" i="32"/>
  <c r="CZ88" i="32"/>
  <c r="CX88" i="32"/>
  <c r="CW88" i="32"/>
  <c r="CV88" i="32"/>
  <c r="CU88" i="32"/>
  <c r="CT88" i="32"/>
  <c r="CS88" i="32"/>
  <c r="CR88" i="32"/>
  <c r="CQ88" i="32"/>
  <c r="CP88" i="32"/>
  <c r="CL88" i="32"/>
  <c r="CK88" i="32"/>
  <c r="CJ88" i="32"/>
  <c r="CF88" i="32"/>
  <c r="BV88" i="32"/>
  <c r="BU88" i="32"/>
  <c r="BT88" i="32"/>
  <c r="BS88" i="32"/>
  <c r="BR88" i="32"/>
  <c r="BQ88" i="32"/>
  <c r="BP88" i="32"/>
  <c r="BO88" i="32"/>
  <c r="BN88" i="32"/>
  <c r="BM88" i="32"/>
  <c r="BL88" i="32"/>
  <c r="BL120" i="32" s="1"/>
  <c r="BK88" i="32"/>
  <c r="BK120" i="32" s="1"/>
  <c r="BH88" i="32"/>
  <c r="BG88" i="32"/>
  <c r="BF88" i="32"/>
  <c r="BE88" i="32"/>
  <c r="BC88" i="32"/>
  <c r="BB88" i="32"/>
  <c r="BA88" i="32"/>
  <c r="AR88" i="32"/>
  <c r="AP88" i="32"/>
  <c r="AN88" i="32"/>
  <c r="AM88" i="32"/>
  <c r="AK88" i="32"/>
  <c r="AJ88" i="32"/>
  <c r="AH88" i="32"/>
  <c r="AG88" i="32"/>
  <c r="AF88" i="32"/>
  <c r="AC88" i="32"/>
  <c r="AB88" i="32"/>
  <c r="AA88" i="32"/>
  <c r="W88" i="32"/>
  <c r="S88" i="32"/>
  <c r="R88" i="32"/>
  <c r="P88" i="32"/>
  <c r="O88" i="32"/>
  <c r="N88" i="32"/>
  <c r="L88" i="32"/>
  <c r="K88" i="32"/>
  <c r="J88" i="32"/>
  <c r="FD87" i="32"/>
  <c r="EV87" i="32"/>
  <c r="EU87" i="32"/>
  <c r="EG87" i="32"/>
  <c r="EF87" i="32"/>
  <c r="DI87" i="32"/>
  <c r="FU87" i="32" s="1"/>
  <c r="FB86" i="32"/>
  <c r="FU86" i="32" s="1"/>
  <c r="FG85" i="32"/>
  <c r="FC85" i="32"/>
  <c r="EZ85" i="32"/>
  <c r="EW85" i="32"/>
  <c r="ER85" i="32"/>
  <c r="EQ85" i="32"/>
  <c r="EO85" i="32"/>
  <c r="EN85" i="32"/>
  <c r="EK85" i="32"/>
  <c r="EH85" i="32"/>
  <c r="EE85" i="32"/>
  <c r="EB85" i="32"/>
  <c r="DU85" i="32"/>
  <c r="DL85" i="32"/>
  <c r="FK84" i="32"/>
  <c r="FA84" i="32"/>
  <c r="EZ84" i="32"/>
  <c r="EX84" i="32"/>
  <c r="EU84" i="32"/>
  <c r="EJ84" i="32"/>
  <c r="EG84" i="32"/>
  <c r="EF84" i="32"/>
  <c r="DX84" i="32"/>
  <c r="DT84" i="32"/>
  <c r="DI84" i="32"/>
  <c r="EL83" i="32"/>
  <c r="DU83" i="32"/>
  <c r="DL83" i="32"/>
  <c r="FU83" i="32" s="1"/>
  <c r="EJ82" i="32"/>
  <c r="DX82" i="32"/>
  <c r="DI82" i="32"/>
  <c r="EL81" i="32"/>
  <c r="DU81" i="32"/>
  <c r="DL81" i="32"/>
  <c r="EJ80" i="32"/>
  <c r="DX80" i="32"/>
  <c r="DI80" i="32"/>
  <c r="FB79" i="32"/>
  <c r="FU79" i="32" s="1"/>
  <c r="FG78" i="32"/>
  <c r="FC78" i="32"/>
  <c r="EZ78" i="32"/>
  <c r="EW78" i="32"/>
  <c r="ER78" i="32"/>
  <c r="EQ78" i="32"/>
  <c r="EO78" i="32"/>
  <c r="EN78" i="32"/>
  <c r="EK78" i="32"/>
  <c r="EH78" i="32"/>
  <c r="EE78" i="32"/>
  <c r="EB78" i="32"/>
  <c r="DU78" i="32"/>
  <c r="DL78" i="32"/>
  <c r="FK77" i="32"/>
  <c r="FA77" i="32"/>
  <c r="EZ77" i="32"/>
  <c r="EX77" i="32"/>
  <c r="EU77" i="32"/>
  <c r="EJ77" i="32"/>
  <c r="EG77" i="32"/>
  <c r="EF77" i="32"/>
  <c r="DX77" i="32"/>
  <c r="DT77" i="32"/>
  <c r="DI77" i="32"/>
  <c r="FB76" i="32"/>
  <c r="FU76" i="32" s="1"/>
  <c r="FG75" i="32"/>
  <c r="FC75" i="32"/>
  <c r="ES75" i="32"/>
  <c r="EQ75" i="32"/>
  <c r="EL75" i="32"/>
  <c r="EK75" i="32"/>
  <c r="EI75" i="32"/>
  <c r="EE75" i="32"/>
  <c r="DU75" i="32"/>
  <c r="DH75" i="32"/>
  <c r="AM75" i="32"/>
  <c r="AJ75" i="32"/>
  <c r="AG75" i="32"/>
  <c r="AF75" i="32"/>
  <c r="AD75" i="32"/>
  <c r="AB75" i="32"/>
  <c r="AA75" i="32"/>
  <c r="FJ74" i="32"/>
  <c r="FD74" i="32"/>
  <c r="FA74" i="32"/>
  <c r="EZ74" i="32"/>
  <c r="EX74" i="32"/>
  <c r="EU74" i="32"/>
  <c r="EJ74" i="32"/>
  <c r="EG74" i="32"/>
  <c r="EF74" i="32"/>
  <c r="DX74" i="32"/>
  <c r="DT74" i="32"/>
  <c r="DI74" i="32"/>
  <c r="FB73" i="32"/>
  <c r="FU73" i="32" s="1"/>
  <c r="FG72" i="32"/>
  <c r="FC72" i="32"/>
  <c r="EZ72" i="32"/>
  <c r="ES72" i="32"/>
  <c r="EQ72" i="32"/>
  <c r="EL72" i="32"/>
  <c r="EK72" i="32"/>
  <c r="EI72" i="32"/>
  <c r="EE72" i="32"/>
  <c r="DU72" i="32"/>
  <c r="DL72" i="32"/>
  <c r="DH72" i="32"/>
  <c r="AM72" i="32"/>
  <c r="AL72" i="32"/>
  <c r="AJ72" i="32"/>
  <c r="AI72" i="32"/>
  <c r="AG72" i="32"/>
  <c r="AF72" i="32"/>
  <c r="AD72" i="32"/>
  <c r="AB72" i="32"/>
  <c r="AA72" i="32"/>
  <c r="FJ71" i="32"/>
  <c r="FD71" i="32"/>
  <c r="FA71" i="32"/>
  <c r="EZ71" i="32"/>
  <c r="EX71" i="32"/>
  <c r="EU71" i="32"/>
  <c r="EJ71" i="32"/>
  <c r="EG71" i="32"/>
  <c r="EF71" i="32"/>
  <c r="DX71" i="32"/>
  <c r="DT71" i="32"/>
  <c r="DI71" i="32"/>
  <c r="EY70" i="32"/>
  <c r="EW70" i="32"/>
  <c r="ES70" i="32"/>
  <c r="EQ70" i="32"/>
  <c r="EO70" i="32"/>
  <c r="EN70" i="32"/>
  <c r="EL70" i="32"/>
  <c r="EK70" i="32"/>
  <c r="EE70" i="32"/>
  <c r="EB70" i="32"/>
  <c r="EA70" i="32"/>
  <c r="DU70" i="32"/>
  <c r="DL70" i="32"/>
  <c r="EX69" i="32"/>
  <c r="EG69" i="32"/>
  <c r="EF69" i="32"/>
  <c r="DX69" i="32"/>
  <c r="DW69" i="32"/>
  <c r="DT69" i="32"/>
  <c r="DI69" i="32"/>
  <c r="EW68" i="32"/>
  <c r="EO68" i="32"/>
  <c r="EL68" i="32"/>
  <c r="EB68" i="32"/>
  <c r="DU68" i="32"/>
  <c r="EX67" i="32"/>
  <c r="EF67" i="32"/>
  <c r="DX67" i="32"/>
  <c r="DI67" i="32"/>
  <c r="FB66" i="32"/>
  <c r="FU66" i="32" s="1"/>
  <c r="EZ65" i="32"/>
  <c r="EQ65" i="32"/>
  <c r="EL65" i="32"/>
  <c r="EB65" i="32"/>
  <c r="DU65" i="32"/>
  <c r="DL65" i="32"/>
  <c r="DK65" i="32"/>
  <c r="DG65" i="32"/>
  <c r="AR65" i="32"/>
  <c r="AP65" i="32"/>
  <c r="AM65" i="32"/>
  <c r="AJ65" i="32"/>
  <c r="AI65" i="32"/>
  <c r="AG65" i="32"/>
  <c r="AF65" i="32"/>
  <c r="AB65" i="32"/>
  <c r="AA65" i="32"/>
  <c r="H65" i="32"/>
  <c r="FE64" i="32"/>
  <c r="FA64" i="32"/>
  <c r="EZ64" i="32"/>
  <c r="EG64" i="32"/>
  <c r="EF64" i="32"/>
  <c r="DT64" i="32"/>
  <c r="DI64" i="32"/>
  <c r="EY63" i="32"/>
  <c r="EW63" i="32"/>
  <c r="EL63" i="32"/>
  <c r="EK63" i="32"/>
  <c r="EB63" i="32"/>
  <c r="EA63" i="32"/>
  <c r="DU63" i="32"/>
  <c r="DL63" i="32"/>
  <c r="AM63" i="32"/>
  <c r="AJ63" i="32"/>
  <c r="AG63" i="32"/>
  <c r="AB63" i="32"/>
  <c r="AA63" i="32"/>
  <c r="EX62" i="32"/>
  <c r="EG62" i="32"/>
  <c r="DI62" i="32"/>
  <c r="T61" i="32"/>
  <c r="Q61" i="32"/>
  <c r="M61" i="32"/>
  <c r="I61" i="32"/>
  <c r="EZ60" i="32"/>
  <c r="ET60" i="32"/>
  <c r="ET120" i="32" s="1"/>
  <c r="ER60" i="32"/>
  <c r="EQ60" i="32"/>
  <c r="EO60" i="32"/>
  <c r="EN60" i="32"/>
  <c r="EM60" i="32"/>
  <c r="EH60" i="32"/>
  <c r="EE60" i="32"/>
  <c r="ED60" i="32"/>
  <c r="EC60" i="32"/>
  <c r="EB60" i="32"/>
  <c r="DY60" i="32"/>
  <c r="DV60" i="32"/>
  <c r="DU60" i="32"/>
  <c r="DR60" i="32"/>
  <c r="DR120" i="32" s="1"/>
  <c r="DL60" i="32"/>
  <c r="DK60" i="32"/>
  <c r="DE60" i="32"/>
  <c r="DD60" i="32"/>
  <c r="DC60" i="32"/>
  <c r="CZ60" i="32"/>
  <c r="CX60" i="32"/>
  <c r="CW60" i="32"/>
  <c r="CV60" i="32"/>
  <c r="CU60" i="32"/>
  <c r="CT60" i="32"/>
  <c r="CS60" i="32"/>
  <c r="CR60" i="32"/>
  <c r="CQ60" i="32"/>
  <c r="CP60" i="32"/>
  <c r="CL60" i="32"/>
  <c r="CK60" i="32"/>
  <c r="CJ60" i="32"/>
  <c r="CI60" i="32"/>
  <c r="CF60" i="32"/>
  <c r="CD60" i="32"/>
  <c r="BV60" i="32"/>
  <c r="BT60" i="32"/>
  <c r="BH60" i="32"/>
  <c r="BG60" i="32"/>
  <c r="BF60" i="32"/>
  <c r="BE60" i="32"/>
  <c r="BD60" i="32"/>
  <c r="BC60" i="32"/>
  <c r="BB60" i="32"/>
  <c r="BA60" i="32"/>
  <c r="AU60" i="32"/>
  <c r="AR60" i="32"/>
  <c r="AP60" i="32"/>
  <c r="AN60" i="32"/>
  <c r="AM60" i="32"/>
  <c r="AK60" i="32"/>
  <c r="AJ60" i="32"/>
  <c r="AH60" i="32"/>
  <c r="AH120" i="32" s="1"/>
  <c r="AG60" i="32"/>
  <c r="AF60" i="32"/>
  <c r="AB60" i="32"/>
  <c r="AA60" i="32"/>
  <c r="W60" i="32"/>
  <c r="V60" i="32"/>
  <c r="U60" i="32"/>
  <c r="S60" i="32"/>
  <c r="R60" i="32"/>
  <c r="P60" i="32"/>
  <c r="O60" i="32"/>
  <c r="N60" i="32"/>
  <c r="L60" i="32"/>
  <c r="K60" i="32"/>
  <c r="J60" i="32"/>
  <c r="FA59" i="32"/>
  <c r="EZ59" i="32"/>
  <c r="EV59" i="32"/>
  <c r="EV120" i="32" s="1"/>
  <c r="EU59" i="32"/>
  <c r="EG59" i="32"/>
  <c r="EF59" i="32"/>
  <c r="DX59" i="32"/>
  <c r="DP59" i="32"/>
  <c r="DI59" i="32"/>
  <c r="EW58" i="32"/>
  <c r="DV58" i="32"/>
  <c r="DU58" i="32"/>
  <c r="EG57" i="32"/>
  <c r="EF57" i="32"/>
  <c r="FU57" i="32" s="1"/>
  <c r="EY56" i="32"/>
  <c r="EW56" i="32"/>
  <c r="EO56" i="32"/>
  <c r="EN56" i="32"/>
  <c r="EL56" i="32"/>
  <c r="EK56" i="32"/>
  <c r="EH56" i="32"/>
  <c r="DU56" i="32"/>
  <c r="DL56" i="32"/>
  <c r="AG56" i="32"/>
  <c r="AE56" i="32"/>
  <c r="AD56" i="32"/>
  <c r="AC56" i="32"/>
  <c r="FU56" i="32" s="1"/>
  <c r="AB56" i="32"/>
  <c r="AA56" i="32"/>
  <c r="EX55" i="32"/>
  <c r="EG55" i="32"/>
  <c r="EF55" i="32"/>
  <c r="DX55" i="32"/>
  <c r="DI55" i="32"/>
  <c r="EL54" i="32"/>
  <c r="DU54" i="32"/>
  <c r="DL54" i="32"/>
  <c r="FU54" i="32" s="1"/>
  <c r="EJ53" i="32"/>
  <c r="DX53" i="32"/>
  <c r="FU53" i="32" s="1"/>
  <c r="DI53" i="32"/>
  <c r="EN52" i="32"/>
  <c r="EL52" i="32"/>
  <c r="EK52" i="32"/>
  <c r="EH52" i="32"/>
  <c r="EE52" i="32"/>
  <c r="EB52" i="32"/>
  <c r="DU52" i="32"/>
  <c r="DK52" i="32"/>
  <c r="AP52" i="32"/>
  <c r="AN52" i="32"/>
  <c r="AM52" i="32"/>
  <c r="AK52" i="32"/>
  <c r="AJ52" i="32"/>
  <c r="AG52" i="32"/>
  <c r="AE52" i="32"/>
  <c r="AD52" i="32"/>
  <c r="AC52" i="32"/>
  <c r="AB52" i="32"/>
  <c r="AA52" i="32"/>
  <c r="EG51" i="32"/>
  <c r="EF51" i="32"/>
  <c r="DX51" i="32"/>
  <c r="DW51" i="32"/>
  <c r="FU51" i="32" s="1"/>
  <c r="DT51" i="32"/>
  <c r="DU50" i="32"/>
  <c r="DB50" i="32"/>
  <c r="CU50" i="32"/>
  <c r="CP50" i="32"/>
  <c r="CI50" i="32"/>
  <c r="BG50" i="32"/>
  <c r="DT49" i="32"/>
  <c r="FU49" i="32" s="1"/>
  <c r="FC48" i="32"/>
  <c r="EY48" i="32"/>
  <c r="EW48" i="32"/>
  <c r="EL48" i="32"/>
  <c r="EK48" i="32"/>
  <c r="EB48" i="32"/>
  <c r="EA48" i="32"/>
  <c r="DU48" i="32"/>
  <c r="DL48" i="32"/>
  <c r="AM48" i="32"/>
  <c r="AJ48" i="32"/>
  <c r="AG48" i="32"/>
  <c r="AB48" i="32"/>
  <c r="AA48" i="32"/>
  <c r="EX47" i="32"/>
  <c r="EG47" i="32"/>
  <c r="DI47" i="32"/>
  <c r="AR46" i="32"/>
  <c r="FU46" i="32" s="1"/>
  <c r="AP46" i="32"/>
  <c r="EX45" i="32"/>
  <c r="FU45" i="32" s="1"/>
  <c r="EY44" i="32"/>
  <c r="EW44" i="32"/>
  <c r="ER44" i="32"/>
  <c r="EQ44" i="32"/>
  <c r="EM44" i="32"/>
  <c r="EL44" i="32"/>
  <c r="EK44" i="32"/>
  <c r="EB44" i="32"/>
  <c r="DU44" i="32"/>
  <c r="DM44" i="32"/>
  <c r="DL44" i="32"/>
  <c r="CH44" i="32"/>
  <c r="FA43" i="32"/>
  <c r="EX43" i="32"/>
  <c r="EW43" i="32"/>
  <c r="ES43" i="32"/>
  <c r="EJ43" i="32"/>
  <c r="DI43" i="32"/>
  <c r="FU43" i="32" s="1"/>
  <c r="EW42" i="32"/>
  <c r="EI42" i="32"/>
  <c r="EH42" i="32"/>
  <c r="DU42" i="32"/>
  <c r="AG42" i="32"/>
  <c r="AF42" i="32"/>
  <c r="AB42" i="32"/>
  <c r="AA42" i="32"/>
  <c r="W42" i="32"/>
  <c r="V42" i="32"/>
  <c r="U42" i="32"/>
  <c r="S42" i="32"/>
  <c r="R42" i="32"/>
  <c r="P42" i="32"/>
  <c r="O42" i="32"/>
  <c r="N42" i="32"/>
  <c r="L42" i="32"/>
  <c r="K42" i="32"/>
  <c r="EJ41" i="32"/>
  <c r="EG41" i="32"/>
  <c r="EF41" i="32"/>
  <c r="DX41" i="32"/>
  <c r="EK40" i="32"/>
  <c r="EB40" i="32"/>
  <c r="FU40" i="32" s="1"/>
  <c r="DU40" i="32"/>
  <c r="EJ39" i="32"/>
  <c r="EF39" i="32"/>
  <c r="DI39" i="32"/>
  <c r="EN38" i="32"/>
  <c r="EL38" i="32"/>
  <c r="DU38" i="32"/>
  <c r="FU37" i="32"/>
  <c r="FB37" i="32"/>
  <c r="EZ36" i="32"/>
  <c r="EY36" i="32"/>
  <c r="EW36" i="32"/>
  <c r="ES36" i="32"/>
  <c r="ER36" i="32"/>
  <c r="EQ36" i="32"/>
  <c r="EN36" i="32"/>
  <c r="EM36" i="32"/>
  <c r="EL36" i="32"/>
  <c r="EK36" i="32"/>
  <c r="EI36" i="32"/>
  <c r="EH36" i="32"/>
  <c r="EE36" i="32"/>
  <c r="EB36" i="32"/>
  <c r="DU36" i="32"/>
  <c r="AR36" i="32"/>
  <c r="AP36" i="32"/>
  <c r="AG36" i="32"/>
  <c r="AE36" i="32"/>
  <c r="AD36" i="32"/>
  <c r="AC36" i="32"/>
  <c r="AB36" i="32"/>
  <c r="AA36" i="32"/>
  <c r="FA35" i="32"/>
  <c r="EZ35" i="32"/>
  <c r="EX35" i="32"/>
  <c r="EG35" i="32"/>
  <c r="EF35" i="32"/>
  <c r="DX35" i="32"/>
  <c r="DI35" i="32"/>
  <c r="EK34" i="32"/>
  <c r="EB34" i="32"/>
  <c r="FU34" i="32" s="1"/>
  <c r="DU34" i="32"/>
  <c r="EJ33" i="32"/>
  <c r="EF33" i="32"/>
  <c r="DI33" i="32"/>
  <c r="FC32" i="32"/>
  <c r="EW32" i="32"/>
  <c r="EK32" i="32"/>
  <c r="EI32" i="32"/>
  <c r="EB32" i="32"/>
  <c r="AP32" i="32"/>
  <c r="AL32" i="32"/>
  <c r="AL120" i="32" s="1"/>
  <c r="AJ32" i="32"/>
  <c r="AI32" i="32"/>
  <c r="AI120" i="32" s="1"/>
  <c r="AG32" i="32"/>
  <c r="AF32" i="32"/>
  <c r="AB32" i="32"/>
  <c r="AA32" i="32"/>
  <c r="EF31" i="32"/>
  <c r="DW31" i="32"/>
  <c r="DT31" i="32"/>
  <c r="FU30" i="32"/>
  <c r="EB30" i="32"/>
  <c r="DU30" i="32"/>
  <c r="DI29" i="32"/>
  <c r="FU29" i="32" s="1"/>
  <c r="FC28" i="32"/>
  <c r="FU28" i="32" s="1"/>
  <c r="EK27" i="32"/>
  <c r="EB27" i="32"/>
  <c r="DU27" i="32"/>
  <c r="FU27" i="32" s="1"/>
  <c r="EJ26" i="32"/>
  <c r="FU26" i="32" s="1"/>
  <c r="EF26" i="32"/>
  <c r="DI26" i="32"/>
  <c r="EK25" i="32"/>
  <c r="EB25" i="32"/>
  <c r="FU25" i="32" s="1"/>
  <c r="DU25" i="32"/>
  <c r="EJ24" i="32"/>
  <c r="EF24" i="32"/>
  <c r="DI24" i="32"/>
  <c r="Q23" i="32"/>
  <c r="M23" i="32"/>
  <c r="I23" i="32"/>
  <c r="ES22" i="32"/>
  <c r="ER22" i="32"/>
  <c r="EQ22" i="32"/>
  <c r="EN22" i="32"/>
  <c r="EM22" i="32"/>
  <c r="EL22" i="32"/>
  <c r="EK22" i="32"/>
  <c r="EI22" i="32"/>
  <c r="EH22" i="32"/>
  <c r="EE22" i="32"/>
  <c r="EB22" i="32"/>
  <c r="DX22" i="32"/>
  <c r="DU22" i="32"/>
  <c r="DM22" i="32"/>
  <c r="DL22" i="32"/>
  <c r="DK22" i="32"/>
  <c r="DH22" i="32"/>
  <c r="AG22" i="32"/>
  <c r="AE22" i="32"/>
  <c r="AD22" i="32"/>
  <c r="AC22" i="32"/>
  <c r="AB22" i="32"/>
  <c r="AA22" i="32"/>
  <c r="W22" i="32"/>
  <c r="V22" i="32"/>
  <c r="S22" i="32"/>
  <c r="R22" i="32"/>
  <c r="P22" i="32"/>
  <c r="O22" i="32"/>
  <c r="N22" i="32"/>
  <c r="L22" i="32"/>
  <c r="K22" i="32"/>
  <c r="ES21" i="32"/>
  <c r="EJ21" i="32"/>
  <c r="EG21" i="32"/>
  <c r="EF21" i="32"/>
  <c r="DX21" i="32"/>
  <c r="DT21" i="32"/>
  <c r="DI21" i="32"/>
  <c r="FU21" i="32" s="1"/>
  <c r="EJ20" i="32"/>
  <c r="FU20" i="32" s="1"/>
  <c r="CL19" i="32"/>
  <c r="FU19" i="32" s="1"/>
  <c r="ER18" i="32"/>
  <c r="EQ18" i="32"/>
  <c r="EK18" i="32"/>
  <c r="EB18" i="32"/>
  <c r="DX18" i="32"/>
  <c r="DW18" i="32"/>
  <c r="DU18" i="32"/>
  <c r="FU18" i="32" s="1"/>
  <c r="EJ17" i="32"/>
  <c r="EF17" i="32"/>
  <c r="DI17" i="32"/>
  <c r="EW16" i="32"/>
  <c r="EQ16" i="32"/>
  <c r="DU16" i="32"/>
  <c r="W16" i="32"/>
  <c r="V16" i="32"/>
  <c r="S16" i="32"/>
  <c r="R16" i="32"/>
  <c r="P16" i="32"/>
  <c r="O16" i="32"/>
  <c r="N16" i="32"/>
  <c r="FU16" i="32" s="1"/>
  <c r="EW15" i="32"/>
  <c r="FU15" i="32" s="1"/>
  <c r="EG15" i="32"/>
  <c r="FU14" i="32"/>
  <c r="FU13" i="32"/>
  <c r="FB13" i="32"/>
  <c r="FG12" i="32"/>
  <c r="FC12" i="32"/>
  <c r="FC120" i="32" s="1"/>
  <c r="EZ12" i="32"/>
  <c r="EZ120" i="32" s="1"/>
  <c r="EY12" i="32"/>
  <c r="EB12" i="32"/>
  <c r="AR12" i="32"/>
  <c r="AP12" i="32"/>
  <c r="FK11" i="32"/>
  <c r="FK120" i="32" s="1"/>
  <c r="FJ11" i="32"/>
  <c r="FI11" i="32"/>
  <c r="FI120" i="32" s="1"/>
  <c r="FH11" i="32"/>
  <c r="FH120" i="32" s="1"/>
  <c r="FE11" i="32"/>
  <c r="FE120" i="32" s="1"/>
  <c r="FD11" i="32"/>
  <c r="FA11" i="32"/>
  <c r="FA120" i="32" s="1"/>
  <c r="EX11" i="32"/>
  <c r="EX120" i="32" s="1"/>
  <c r="EW11" i="32"/>
  <c r="DZ10" i="32"/>
  <c r="FU10" i="32" s="1"/>
  <c r="CP9" i="32"/>
  <c r="CP120" i="32" s="1"/>
  <c r="CE9" i="32"/>
  <c r="CE120" i="32" s="1"/>
  <c r="T9" i="32"/>
  <c r="T120" i="32" s="1"/>
  <c r="Q9" i="32"/>
  <c r="Q120" i="32" s="1"/>
  <c r="M9" i="32"/>
  <c r="M120" i="32" s="1"/>
  <c r="I9" i="32"/>
  <c r="FL8" i="32"/>
  <c r="FL120" i="32" s="1"/>
  <c r="ER8" i="32"/>
  <c r="ER120" i="32" s="1"/>
  <c r="EQ8" i="32"/>
  <c r="EN8" i="32"/>
  <c r="EN120" i="32" s="1"/>
  <c r="EM8" i="32"/>
  <c r="EM120" i="32" s="1"/>
  <c r="EL8" i="32"/>
  <c r="EK8" i="32"/>
  <c r="EI8" i="32"/>
  <c r="EE8" i="32"/>
  <c r="ED8" i="32"/>
  <c r="ED120" i="32" s="1"/>
  <c r="EC8" i="32"/>
  <c r="EB8" i="32"/>
  <c r="EA8" i="32"/>
  <c r="DY8" i="32"/>
  <c r="DX8" i="32"/>
  <c r="DW8" i="32"/>
  <c r="DW120" i="32" s="1"/>
  <c r="DV8" i="32"/>
  <c r="DV120" i="32" s="1"/>
  <c r="DU8" i="32"/>
  <c r="DS8" i="32"/>
  <c r="DS120" i="32" s="1"/>
  <c r="DN8" i="32"/>
  <c r="DN120" i="32" s="1"/>
  <c r="DM8" i="32"/>
  <c r="DM120" i="32" s="1"/>
  <c r="DL8" i="32"/>
  <c r="DK8" i="32"/>
  <c r="DK120" i="32" s="1"/>
  <c r="DJ8" i="32"/>
  <c r="DJ120" i="32" s="1"/>
  <c r="DH8" i="32"/>
  <c r="DG8" i="32"/>
  <c r="DG120" i="32" s="1"/>
  <c r="DE8" i="32"/>
  <c r="DE120" i="32" s="1"/>
  <c r="DD8" i="32"/>
  <c r="DD120" i="32" s="1"/>
  <c r="DC8" i="32"/>
  <c r="DC120" i="32" s="1"/>
  <c r="DB8" i="32"/>
  <c r="DB120" i="32" s="1"/>
  <c r="DA8" i="32"/>
  <c r="DA120" i="32" s="1"/>
  <c r="CZ8" i="32"/>
  <c r="CY8" i="32"/>
  <c r="CY120" i="32" s="1"/>
  <c r="CX8" i="32"/>
  <c r="CW8" i="32"/>
  <c r="CV8" i="32"/>
  <c r="CU8" i="32"/>
  <c r="CT8" i="32"/>
  <c r="CT120" i="32" s="1"/>
  <c r="CS8" i="32"/>
  <c r="CS120" i="32" s="1"/>
  <c r="CR8" i="32"/>
  <c r="CR120" i="32" s="1"/>
  <c r="CQ8" i="32"/>
  <c r="CQ120" i="32" s="1"/>
  <c r="CO8" i="32"/>
  <c r="CO120" i="32" s="1"/>
  <c r="CN8" i="32"/>
  <c r="CN120" i="32" s="1"/>
  <c r="CM8" i="32"/>
  <c r="CM120" i="32" s="1"/>
  <c r="CL8" i="32"/>
  <c r="CL120" i="32" s="1"/>
  <c r="CK8" i="32"/>
  <c r="CK120" i="32" s="1"/>
  <c r="CJ8" i="32"/>
  <c r="CI8" i="32"/>
  <c r="CH8" i="32"/>
  <c r="CG8" i="32"/>
  <c r="CG120" i="32" s="1"/>
  <c r="CF8" i="32"/>
  <c r="CF120" i="32" s="1"/>
  <c r="CD8" i="32"/>
  <c r="CD120" i="32" s="1"/>
  <c r="CC8" i="32"/>
  <c r="CC120" i="32" s="1"/>
  <c r="BV8" i="32"/>
  <c r="BV120" i="32" s="1"/>
  <c r="BU8" i="32"/>
  <c r="BU120" i="32" s="1"/>
  <c r="BT8" i="32"/>
  <c r="BT120" i="32" s="1"/>
  <c r="BS8" i="32"/>
  <c r="BS120" i="32" s="1"/>
  <c r="BR8" i="32"/>
  <c r="BR120" i="32" s="1"/>
  <c r="BQ8" i="32"/>
  <c r="BQ120" i="32" s="1"/>
  <c r="BP8" i="32"/>
  <c r="BP120" i="32" s="1"/>
  <c r="BO8" i="32"/>
  <c r="BO120" i="32" s="1"/>
  <c r="BN8" i="32"/>
  <c r="BN120" i="32" s="1"/>
  <c r="BM8" i="32"/>
  <c r="BM120" i="32" s="1"/>
  <c r="BI8" i="32"/>
  <c r="BI120" i="32" s="1"/>
  <c r="BH8" i="32"/>
  <c r="BH120" i="32" s="1"/>
  <c r="BG8" i="32"/>
  <c r="BG120" i="32" s="1"/>
  <c r="BF8" i="32"/>
  <c r="BF120" i="32" s="1"/>
  <c r="BE8" i="32"/>
  <c r="BE120" i="32" s="1"/>
  <c r="BD8" i="32"/>
  <c r="BD120" i="32" s="1"/>
  <c r="BC8" i="32"/>
  <c r="BC120" i="32" s="1"/>
  <c r="BB8" i="32"/>
  <c r="BB120" i="32" s="1"/>
  <c r="BA8" i="32"/>
  <c r="AU8" i="32"/>
  <c r="AR8" i="32"/>
  <c r="AP8" i="32"/>
  <c r="AN8" i="32"/>
  <c r="AN120" i="32" s="1"/>
  <c r="AM8" i="32"/>
  <c r="AK8" i="32"/>
  <c r="AK120" i="32" s="1"/>
  <c r="AJ8" i="32"/>
  <c r="AJ120" i="32" s="1"/>
  <c r="AG8" i="32"/>
  <c r="AG120" i="32" s="1"/>
  <c r="AE8" i="32"/>
  <c r="AE120" i="32" s="1"/>
  <c r="AD8" i="32"/>
  <c r="AC8" i="32"/>
  <c r="AB8" i="32"/>
  <c r="AB120" i="32" s="1"/>
  <c r="AA8" i="32"/>
  <c r="W8" i="32"/>
  <c r="V8" i="32"/>
  <c r="U8" i="32"/>
  <c r="U120" i="32" s="1"/>
  <c r="S8" i="32"/>
  <c r="R8" i="32"/>
  <c r="P8" i="32"/>
  <c r="O8" i="32"/>
  <c r="N8" i="32"/>
  <c r="N120" i="32" s="1"/>
  <c r="L8" i="32"/>
  <c r="L120" i="32" s="1"/>
  <c r="K8" i="32"/>
  <c r="K120" i="32" s="1"/>
  <c r="J8" i="32"/>
  <c r="ES7" i="32"/>
  <c r="EJ7" i="32"/>
  <c r="EG7" i="32"/>
  <c r="EF7" i="32"/>
  <c r="EF120" i="32" s="1"/>
  <c r="DT7" i="32"/>
  <c r="DT120" i="32" s="1"/>
  <c r="DQ7" i="32"/>
  <c r="DQ120" i="32" s="1"/>
  <c r="DP7" i="32"/>
  <c r="DP120" i="32" s="1"/>
  <c r="DI7" i="32"/>
  <c r="R120" i="32" l="1"/>
  <c r="DU120" i="32"/>
  <c r="EL120" i="32"/>
  <c r="EO120" i="32"/>
  <c r="FU80" i="32"/>
  <c r="FU84" i="32"/>
  <c r="FU85" i="32"/>
  <c r="FU98" i="32"/>
  <c r="V120" i="32"/>
  <c r="S120" i="32"/>
  <c r="AM120" i="32"/>
  <c r="FU11" i="32"/>
  <c r="EY120" i="32"/>
  <c r="FU31" i="32"/>
  <c r="FU47" i="32"/>
  <c r="EU120" i="32"/>
  <c r="FU67" i="32"/>
  <c r="CX120" i="32"/>
  <c r="FU110" i="32"/>
  <c r="FU105" i="32"/>
  <c r="FU81" i="32"/>
  <c r="FU32" i="32"/>
  <c r="FU48" i="32"/>
  <c r="FU61" i="32"/>
  <c r="ES120" i="32"/>
  <c r="AA120" i="32"/>
  <c r="AU120" i="32"/>
  <c r="CH120" i="32"/>
  <c r="CU120" i="32"/>
  <c r="DH120" i="32"/>
  <c r="EA120" i="32"/>
  <c r="FB120" i="32"/>
  <c r="FU23" i="32"/>
  <c r="FU33" i="32"/>
  <c r="FU58" i="32"/>
  <c r="CZ120" i="32"/>
  <c r="FU68" i="32"/>
  <c r="FU70" i="32"/>
  <c r="FU75" i="32"/>
  <c r="FU91" i="32"/>
  <c r="FU106" i="32"/>
  <c r="DX120" i="32"/>
  <c r="FU42" i="32"/>
  <c r="W120" i="32"/>
  <c r="FD120" i="32"/>
  <c r="FU8" i="32"/>
  <c r="BA120" i="32"/>
  <c r="CI120" i="32"/>
  <c r="CV120" i="32"/>
  <c r="EB120" i="32"/>
  <c r="FU9" i="32"/>
  <c r="EH120" i="32"/>
  <c r="FU24" i="32"/>
  <c r="AF120" i="32"/>
  <c r="FU36" i="32"/>
  <c r="FU41" i="32"/>
  <c r="FU52" i="32"/>
  <c r="FU60" i="32"/>
  <c r="FU65" i="32"/>
  <c r="FU71" i="32"/>
  <c r="FU74" i="32"/>
  <c r="FU82" i="32"/>
  <c r="H120" i="32"/>
  <c r="AP120" i="32"/>
  <c r="DY120" i="32"/>
  <c r="FG120" i="32"/>
  <c r="AC120" i="32"/>
  <c r="CJ120" i="32"/>
  <c r="CW120" i="32"/>
  <c r="EC120" i="32"/>
  <c r="FU22" i="32"/>
  <c r="AD120" i="32"/>
  <c r="FU38" i="32"/>
  <c r="FU89" i="32"/>
  <c r="FU94" i="32"/>
  <c r="EQ120" i="32"/>
  <c r="EJ120" i="32"/>
  <c r="AR120" i="32"/>
  <c r="FJ120" i="32"/>
  <c r="FU50" i="32"/>
  <c r="FU55" i="32"/>
  <c r="FU59" i="32"/>
  <c r="FU62" i="32"/>
  <c r="FU72" i="32"/>
  <c r="FU113" i="32"/>
  <c r="EG120" i="32"/>
  <c r="EE120" i="32"/>
  <c r="FU17" i="32"/>
  <c r="FU78" i="32"/>
  <c r="FU88" i="32"/>
  <c r="DI120" i="32"/>
  <c r="EI120" i="32"/>
  <c r="FU12" i="32"/>
  <c r="FU39" i="32"/>
  <c r="FU44" i="32"/>
  <c r="FU77" i="32"/>
  <c r="P120" i="32"/>
  <c r="EK120" i="32"/>
  <c r="O120" i="32"/>
  <c r="FU35" i="32"/>
  <c r="DL120" i="32"/>
  <c r="FU63" i="32"/>
  <c r="FU64" i="32"/>
  <c r="FU69" i="32"/>
  <c r="FU90" i="32"/>
  <c r="FU103" i="32"/>
  <c r="FU127" i="32"/>
  <c r="I120" i="32"/>
  <c r="EW120" i="32"/>
  <c r="J120" i="32"/>
  <c r="DZ120" i="32"/>
  <c r="FU7" i="32"/>
  <c r="FU120" i="32" l="1"/>
  <c r="FQ120" i="32"/>
  <c r="FS110" i="31" l="1"/>
  <c r="FS109" i="31"/>
  <c r="FS108" i="31"/>
  <c r="FS107" i="31"/>
  <c r="FS106" i="31"/>
  <c r="ET111" i="31"/>
  <c r="ER111" i="31"/>
  <c r="EK111" i="31"/>
  <c r="DN111" i="31"/>
  <c r="DL111" i="31"/>
  <c r="DF111" i="31"/>
  <c r="CT111" i="31"/>
  <c r="CZ111" i="31"/>
  <c r="CY111" i="31"/>
  <c r="CU111" i="31"/>
  <c r="CI111" i="31"/>
  <c r="CG111" i="31"/>
  <c r="CE111" i="31"/>
  <c r="CD111" i="31"/>
  <c r="CA111" i="31"/>
  <c r="BZ111" i="31"/>
  <c r="BY111" i="31"/>
  <c r="BX111" i="31"/>
  <c r="BW111" i="31"/>
  <c r="BV111" i="31"/>
  <c r="BU111" i="31"/>
  <c r="BT111" i="31"/>
  <c r="BS111" i="31"/>
  <c r="BR111" i="31"/>
  <c r="BP111" i="31"/>
  <c r="BN111" i="31"/>
  <c r="BL111" i="31"/>
  <c r="BK111" i="31"/>
  <c r="BJ111" i="31"/>
  <c r="BI111" i="31"/>
  <c r="BH111" i="31"/>
  <c r="FD103" i="31"/>
  <c r="FC103" i="31"/>
  <c r="FB103" i="31"/>
  <c r="FA103" i="31"/>
  <c r="EZ103" i="31"/>
  <c r="EY103" i="31"/>
  <c r="EX103" i="31"/>
  <c r="EW103" i="31"/>
  <c r="EV103" i="31"/>
  <c r="EU103" i="31"/>
  <c r="ET103" i="31"/>
  <c r="ES103" i="31"/>
  <c r="ER103" i="31"/>
  <c r="EQ103" i="31"/>
  <c r="EP103" i="31"/>
  <c r="EO103" i="31"/>
  <c r="EN103" i="31"/>
  <c r="EM103" i="31"/>
  <c r="EL103" i="31"/>
  <c r="EK103" i="31"/>
  <c r="EJ103" i="31"/>
  <c r="EI103" i="31"/>
  <c r="EH103" i="31"/>
  <c r="EG103" i="31"/>
  <c r="EF103" i="31"/>
  <c r="EE103" i="31"/>
  <c r="ED103" i="31"/>
  <c r="EC103" i="31"/>
  <c r="EB103" i="31"/>
  <c r="EA103" i="31"/>
  <c r="DZ103" i="31"/>
  <c r="DY103" i="31"/>
  <c r="DX103" i="31"/>
  <c r="DW103" i="31"/>
  <c r="DV103" i="31"/>
  <c r="DU103" i="31"/>
  <c r="DT103" i="31"/>
  <c r="DS103" i="31"/>
  <c r="DR103" i="31"/>
  <c r="DQ103" i="31"/>
  <c r="DP103" i="31"/>
  <c r="DO103" i="31"/>
  <c r="DN103" i="31"/>
  <c r="DM103" i="31"/>
  <c r="DL103" i="31"/>
  <c r="DK103" i="31"/>
  <c r="DJ103" i="31"/>
  <c r="DI103" i="31"/>
  <c r="DH103" i="31"/>
  <c r="DG103" i="31"/>
  <c r="DF103" i="31"/>
  <c r="DE103" i="31"/>
  <c r="DD103" i="31"/>
  <c r="DC103" i="31"/>
  <c r="DB103" i="31"/>
  <c r="DA103" i="31"/>
  <c r="CZ103" i="31"/>
  <c r="CY103" i="31"/>
  <c r="CX103" i="31"/>
  <c r="CW103" i="31"/>
  <c r="CV103" i="31"/>
  <c r="CU103" i="31"/>
  <c r="CT103" i="31"/>
  <c r="CS103" i="31"/>
  <c r="CR103" i="31"/>
  <c r="CQ103" i="31"/>
  <c r="CP103" i="31"/>
  <c r="CO103" i="31"/>
  <c r="CN103" i="31"/>
  <c r="CM103" i="31"/>
  <c r="CL103" i="31"/>
  <c r="CK103" i="31"/>
  <c r="CJ103" i="31"/>
  <c r="CI103" i="31"/>
  <c r="CH103" i="31"/>
  <c r="CG103" i="31"/>
  <c r="CF103" i="31"/>
  <c r="CE103" i="31"/>
  <c r="CD103" i="31"/>
  <c r="CC103" i="31"/>
  <c r="CB103" i="31"/>
  <c r="CA103" i="31"/>
  <c r="BZ103" i="31"/>
  <c r="BY103" i="31"/>
  <c r="BX103" i="31"/>
  <c r="BW103" i="31"/>
  <c r="BV103" i="31"/>
  <c r="BU103" i="31"/>
  <c r="BT103" i="31"/>
  <c r="BS103" i="31"/>
  <c r="BR103" i="31"/>
  <c r="BQ103" i="31"/>
  <c r="BP103" i="31"/>
  <c r="BO103" i="31"/>
  <c r="BN103" i="31"/>
  <c r="BM103" i="31"/>
  <c r="BL103" i="31"/>
  <c r="BK103" i="31"/>
  <c r="BJ103" i="31"/>
  <c r="BI103" i="31"/>
  <c r="BH103" i="31"/>
  <c r="BG103" i="31"/>
  <c r="BF103" i="31"/>
  <c r="BE103" i="31"/>
  <c r="BD103" i="31"/>
  <c r="BC103" i="31"/>
  <c r="BB103" i="31"/>
  <c r="BA103" i="31"/>
  <c r="AZ103" i="31"/>
  <c r="AY103" i="31"/>
  <c r="AX103" i="31"/>
  <c r="AW103" i="31"/>
  <c r="AV103" i="31"/>
  <c r="AU103" i="31"/>
  <c r="AT103" i="31"/>
  <c r="AS103" i="31"/>
  <c r="AR103" i="31"/>
  <c r="AQ103" i="31"/>
  <c r="AP103" i="31"/>
  <c r="AO103" i="31"/>
  <c r="AN103" i="31"/>
  <c r="AM103" i="31"/>
  <c r="AL103" i="31"/>
  <c r="AK103" i="31"/>
  <c r="AJ103" i="31"/>
  <c r="AI103" i="31"/>
  <c r="AH103" i="31"/>
  <c r="AG103" i="31"/>
  <c r="AF103" i="31"/>
  <c r="AE103" i="31"/>
  <c r="AD103" i="31"/>
  <c r="AC103" i="31"/>
  <c r="AB103" i="31"/>
  <c r="AA103" i="31"/>
  <c r="Z103" i="31"/>
  <c r="Y103" i="31"/>
  <c r="X103" i="31"/>
  <c r="W103" i="31"/>
  <c r="V103" i="31"/>
  <c r="U103" i="31"/>
  <c r="T103" i="31"/>
  <c r="S103" i="31"/>
  <c r="R103" i="31"/>
  <c r="Q103" i="31"/>
  <c r="P103" i="31"/>
  <c r="O103" i="31"/>
  <c r="N103" i="31"/>
  <c r="M103" i="31"/>
  <c r="L103" i="31"/>
  <c r="K103" i="31"/>
  <c r="J103" i="31"/>
  <c r="I103" i="31"/>
  <c r="H103" i="31"/>
  <c r="FR103" i="31"/>
  <c r="FQ103" i="31"/>
  <c r="FP103" i="31"/>
  <c r="FO103" i="31"/>
  <c r="FN103" i="31"/>
  <c r="FM103" i="31"/>
  <c r="FL103" i="31"/>
  <c r="FK103" i="31"/>
  <c r="FJ103" i="31"/>
  <c r="FI103" i="31"/>
  <c r="FH103" i="31"/>
  <c r="FG103" i="31"/>
  <c r="FF103" i="31"/>
  <c r="FE103" i="31"/>
  <c r="FS102" i="31"/>
  <c r="FS101" i="31"/>
  <c r="FS100" i="31"/>
  <c r="FS99" i="31"/>
  <c r="AS99" i="31"/>
  <c r="DG98" i="31"/>
  <c r="FS98" i="31" s="1"/>
  <c r="FS97" i="31"/>
  <c r="AS97" i="31"/>
  <c r="AG97" i="31"/>
  <c r="AC97" i="31"/>
  <c r="FS96" i="31"/>
  <c r="AG96" i="31"/>
  <c r="FS95" i="31"/>
  <c r="AX95" i="31"/>
  <c r="AS95" i="31"/>
  <c r="AB95" i="31"/>
  <c r="BB94" i="31"/>
  <c r="AN94" i="31"/>
  <c r="FS94" i="31" s="1"/>
  <c r="AD94" i="31"/>
  <c r="FS93" i="31"/>
  <c r="DT93" i="31"/>
  <c r="FS92" i="31"/>
  <c r="AS92" i="31"/>
  <c r="AL92" i="31"/>
  <c r="AE92" i="31"/>
  <c r="AB92" i="31"/>
  <c r="AA92" i="31"/>
  <c r="U92" i="31"/>
  <c r="T92" i="31"/>
  <c r="N92" i="31"/>
  <c r="DS91" i="31"/>
  <c r="BB91" i="31"/>
  <c r="AL91" i="31"/>
  <c r="AF91" i="31"/>
  <c r="AD91" i="31"/>
  <c r="L91" i="31"/>
  <c r="K91" i="31"/>
  <c r="FS91" i="31" s="1"/>
  <c r="I91" i="31"/>
  <c r="FH90" i="31"/>
  <c r="FG90" i="31"/>
  <c r="EL90" i="31"/>
  <c r="EJ90" i="31"/>
  <c r="EI90" i="31"/>
  <c r="EH90" i="31"/>
  <c r="EG90" i="31"/>
  <c r="EE90" i="31"/>
  <c r="ED90" i="31"/>
  <c r="EC90" i="31"/>
  <c r="EB90" i="31"/>
  <c r="BD90" i="31"/>
  <c r="AS90" i="31"/>
  <c r="AR90" i="31"/>
  <c r="AQ90" i="31"/>
  <c r="AB90" i="31"/>
  <c r="AA90" i="31"/>
  <c r="O90" i="31"/>
  <c r="FS90" i="31" s="1"/>
  <c r="N90" i="31"/>
  <c r="FS89" i="31"/>
  <c r="FE89" i="31"/>
  <c r="BB89" i="31"/>
  <c r="AN89" i="31"/>
  <c r="AG89" i="31"/>
  <c r="AF89" i="31"/>
  <c r="AD89" i="31"/>
  <c r="FH88" i="31"/>
  <c r="FG88" i="31"/>
  <c r="EL88" i="31"/>
  <c r="EK88" i="31"/>
  <c r="EJ88" i="31"/>
  <c r="EI88" i="31"/>
  <c r="EH88" i="31"/>
  <c r="EG88" i="31"/>
  <c r="ED88" i="31"/>
  <c r="EC88" i="31"/>
  <c r="DY88" i="31"/>
  <c r="AS88" i="31"/>
  <c r="AM88" i="31"/>
  <c r="FS88" i="31" s="1"/>
  <c r="BB87" i="31"/>
  <c r="AP87" i="31"/>
  <c r="AO87" i="31"/>
  <c r="FS87" i="31" s="1"/>
  <c r="AX86" i="31"/>
  <c r="AS86" i="31"/>
  <c r="AB86" i="31"/>
  <c r="FS86" i="31" s="1"/>
  <c r="BB85" i="31"/>
  <c r="AN85" i="31"/>
  <c r="AD85" i="31"/>
  <c r="FS85" i="31" s="1"/>
  <c r="AS84" i="31"/>
  <c r="FS84" i="31" s="1"/>
  <c r="AA84" i="31"/>
  <c r="FS83" i="31"/>
  <c r="AO83" i="31"/>
  <c r="AG83" i="31"/>
  <c r="AF83" i="31"/>
  <c r="T82" i="31"/>
  <c r="N82" i="31"/>
  <c r="FS82" i="31" s="1"/>
  <c r="BB81" i="31"/>
  <c r="AP81" i="31"/>
  <c r="AO81" i="31"/>
  <c r="AG81" i="31"/>
  <c r="AF81" i="31"/>
  <c r="FS81" i="31" s="1"/>
  <c r="AD81" i="31"/>
  <c r="EL80" i="31"/>
  <c r="EJ80" i="31"/>
  <c r="DT80" i="31"/>
  <c r="AX80" i="31"/>
  <c r="AS80" i="31"/>
  <c r="AL80" i="31"/>
  <c r="AE80" i="31"/>
  <c r="AA80" i="31"/>
  <c r="Y80" i="31"/>
  <c r="W80" i="31"/>
  <c r="T80" i="31"/>
  <c r="N80" i="31"/>
  <c r="FS80" i="31" s="1"/>
  <c r="BB79" i="31"/>
  <c r="AN79" i="31"/>
  <c r="AG79" i="31"/>
  <c r="AF79" i="31"/>
  <c r="AD79" i="31"/>
  <c r="M79" i="31"/>
  <c r="K79" i="31"/>
  <c r="FS79" i="31" s="1"/>
  <c r="I79" i="31"/>
  <c r="FS78" i="31"/>
  <c r="FC78" i="31"/>
  <c r="EY78" i="31"/>
  <c r="EU78" i="31"/>
  <c r="FD77" i="31"/>
  <c r="FA77" i="31"/>
  <c r="EZ77" i="31"/>
  <c r="EX77" i="31"/>
  <c r="EW77" i="31"/>
  <c r="EV77" i="31"/>
  <c r="ET77" i="31"/>
  <c r="ES77" i="31"/>
  <c r="EL77" i="31"/>
  <c r="EK77" i="31"/>
  <c r="EJ77" i="31"/>
  <c r="EI77" i="31"/>
  <c r="EH77" i="31"/>
  <c r="ED77" i="31"/>
  <c r="EC77" i="31"/>
  <c r="DZ77" i="31"/>
  <c r="DY77" i="31"/>
  <c r="DF77" i="31"/>
  <c r="CY77" i="31"/>
  <c r="CX77" i="31"/>
  <c r="CW77" i="31"/>
  <c r="CS77" i="31"/>
  <c r="CP77" i="31"/>
  <c r="CG77" i="31"/>
  <c r="CF77" i="31"/>
  <c r="CE77" i="31"/>
  <c r="CD77" i="31"/>
  <c r="CA77" i="31"/>
  <c r="BZ77" i="31"/>
  <c r="BY77" i="31"/>
  <c r="BX77" i="31"/>
  <c r="BW77" i="31"/>
  <c r="BV77" i="31"/>
  <c r="BU77" i="31"/>
  <c r="BS77" i="31"/>
  <c r="BR77" i="31"/>
  <c r="BP77" i="31"/>
  <c r="BO77" i="31"/>
  <c r="BN77" i="31"/>
  <c r="BL77" i="31"/>
  <c r="BK77" i="31"/>
  <c r="BJ77" i="31"/>
  <c r="BI77" i="31"/>
  <c r="AX77" i="31"/>
  <c r="AS77" i="31"/>
  <c r="AL77" i="31"/>
  <c r="AH77" i="31"/>
  <c r="AE77" i="31"/>
  <c r="AC77" i="31"/>
  <c r="AB77" i="31"/>
  <c r="AA77" i="31"/>
  <c r="Z77" i="31"/>
  <c r="Y77" i="31"/>
  <c r="W77" i="31"/>
  <c r="U77" i="31"/>
  <c r="T77" i="31"/>
  <c r="R77" i="31"/>
  <c r="O77" i="31"/>
  <c r="FS77" i="31" s="1"/>
  <c r="N77" i="31"/>
  <c r="BB76" i="31"/>
  <c r="AN76" i="31"/>
  <c r="AL76" i="31"/>
  <c r="AG76" i="31"/>
  <c r="AF76" i="31"/>
  <c r="AD76" i="31"/>
  <c r="S76" i="31"/>
  <c r="P76" i="31"/>
  <c r="M76" i="31"/>
  <c r="FS76" i="31" s="1"/>
  <c r="FC75" i="31"/>
  <c r="EY75" i="31"/>
  <c r="EU75" i="31"/>
  <c r="EQ75" i="31"/>
  <c r="FS75" i="31" s="1"/>
  <c r="J75" i="31"/>
  <c r="FH74" i="31"/>
  <c r="FG74" i="31"/>
  <c r="FD74" i="31"/>
  <c r="FB74" i="31"/>
  <c r="FA74" i="31"/>
  <c r="EZ74" i="31"/>
  <c r="EX74" i="31"/>
  <c r="EW74" i="31"/>
  <c r="EV74" i="31"/>
  <c r="ET74" i="31"/>
  <c r="ES74" i="31"/>
  <c r="ER74" i="31"/>
  <c r="EP74" i="31"/>
  <c r="EL74" i="31"/>
  <c r="EK74" i="31"/>
  <c r="EJ74" i="31"/>
  <c r="EG74" i="31"/>
  <c r="EF74" i="31"/>
  <c r="EE74" i="31"/>
  <c r="ED74" i="31"/>
  <c r="EC74" i="31"/>
  <c r="DZ74" i="31"/>
  <c r="DY74" i="31"/>
  <c r="DT74" i="31"/>
  <c r="DF74" i="31"/>
  <c r="CZ74" i="31"/>
  <c r="CY74" i="31"/>
  <c r="CX74" i="31"/>
  <c r="CW74" i="31"/>
  <c r="CV74" i="31"/>
  <c r="CU74" i="31"/>
  <c r="CT74" i="31"/>
  <c r="CS74" i="31"/>
  <c r="CP74" i="31"/>
  <c r="CO74" i="31"/>
  <c r="CI74" i="31"/>
  <c r="CH74" i="31"/>
  <c r="CG74" i="31"/>
  <c r="CF74" i="31"/>
  <c r="CE74" i="31"/>
  <c r="CD74" i="31"/>
  <c r="CC74" i="31"/>
  <c r="CB74" i="31"/>
  <c r="CA74" i="31"/>
  <c r="BZ74" i="31"/>
  <c r="BY74" i="31"/>
  <c r="BX74" i="31"/>
  <c r="BW74" i="31"/>
  <c r="BV74" i="31"/>
  <c r="BU74" i="31"/>
  <c r="BT74" i="31"/>
  <c r="BS74" i="31"/>
  <c r="BR74" i="31"/>
  <c r="BP74" i="31"/>
  <c r="BO74" i="31"/>
  <c r="BN74" i="31"/>
  <c r="BM74" i="31"/>
  <c r="BL74" i="31"/>
  <c r="BK74" i="31"/>
  <c r="BJ74" i="31"/>
  <c r="BI74" i="31"/>
  <c r="BH74" i="31"/>
  <c r="AX74" i="31"/>
  <c r="AS74" i="31"/>
  <c r="AL74" i="31"/>
  <c r="AI74" i="31"/>
  <c r="AH74" i="31"/>
  <c r="AE74" i="31"/>
  <c r="AC74" i="31"/>
  <c r="AB74" i="31"/>
  <c r="AA74" i="31"/>
  <c r="Y74" i="31"/>
  <c r="W74" i="31"/>
  <c r="V74" i="31"/>
  <c r="U74" i="31"/>
  <c r="T74" i="31"/>
  <c r="R74" i="31"/>
  <c r="N74" i="31"/>
  <c r="FS74" i="31" s="1"/>
  <c r="DW73" i="31"/>
  <c r="DV73" i="31"/>
  <c r="BB73" i="31"/>
  <c r="AN73" i="31"/>
  <c r="AG73" i="31"/>
  <c r="AF73" i="31"/>
  <c r="AD73" i="31"/>
  <c r="S73" i="31"/>
  <c r="P73" i="31"/>
  <c r="M73" i="31"/>
  <c r="K73" i="31"/>
  <c r="I73" i="31"/>
  <c r="FS73" i="31" s="1"/>
  <c r="AS72" i="31"/>
  <c r="W72" i="31"/>
  <c r="T72" i="31"/>
  <c r="N72" i="31"/>
  <c r="FS72" i="31" s="1"/>
  <c r="DS71" i="31"/>
  <c r="DQ71" i="31"/>
  <c r="BB71" i="31"/>
  <c r="AN71" i="31"/>
  <c r="AD71" i="31"/>
  <c r="FS71" i="31" s="1"/>
  <c r="P71" i="31"/>
  <c r="AX70" i="31"/>
  <c r="AS70" i="31"/>
  <c r="AB70" i="31"/>
  <c r="FS70" i="31" s="1"/>
  <c r="BB69" i="31"/>
  <c r="AN69" i="31"/>
  <c r="FS69" i="31" s="1"/>
  <c r="AD69" i="31"/>
  <c r="FS68" i="31"/>
  <c r="AX68" i="31"/>
  <c r="AS68" i="31"/>
  <c r="AB68" i="31"/>
  <c r="BB67" i="31"/>
  <c r="AN67" i="31"/>
  <c r="FS67" i="31" s="1"/>
  <c r="AD67" i="31"/>
  <c r="FS66" i="31"/>
  <c r="J66" i="31"/>
  <c r="EL65" i="31"/>
  <c r="EJ65" i="31"/>
  <c r="EI65" i="31"/>
  <c r="EG65" i="31"/>
  <c r="EE65" i="31"/>
  <c r="ED65" i="31"/>
  <c r="EC65" i="31"/>
  <c r="DT65" i="31"/>
  <c r="BD65" i="31"/>
  <c r="AS65" i="31"/>
  <c r="AH65" i="31"/>
  <c r="AB65" i="31"/>
  <c r="FS65" i="31" s="1"/>
  <c r="AA65" i="31"/>
  <c r="Z65" i="31"/>
  <c r="T65" i="31"/>
  <c r="R65" i="31"/>
  <c r="DW64" i="31"/>
  <c r="DV64" i="31"/>
  <c r="DS64" i="31"/>
  <c r="BB64" i="31"/>
  <c r="AP64" i="31"/>
  <c r="AN64" i="31"/>
  <c r="AG64" i="31"/>
  <c r="AF64" i="31"/>
  <c r="AD64" i="31"/>
  <c r="P64" i="31"/>
  <c r="M64" i="31"/>
  <c r="L64" i="31"/>
  <c r="K64" i="31"/>
  <c r="I64" i="31"/>
  <c r="FS64" i="31" s="1"/>
  <c r="FS63" i="31"/>
  <c r="J63" i="31"/>
  <c r="EL62" i="31"/>
  <c r="EJ62" i="31"/>
  <c r="EI62" i="31"/>
  <c r="EG62" i="31"/>
  <c r="EE62" i="31"/>
  <c r="ED62" i="31"/>
  <c r="EC62" i="31"/>
  <c r="EB62" i="31"/>
  <c r="EA62" i="31"/>
  <c r="DT62" i="31"/>
  <c r="BD62" i="31"/>
  <c r="AX62" i="31"/>
  <c r="AS62" i="31"/>
  <c r="AH62" i="31"/>
  <c r="AA62" i="31"/>
  <c r="Z62" i="31"/>
  <c r="FS62" i="31" s="1"/>
  <c r="T62" i="31"/>
  <c r="R62" i="31"/>
  <c r="DV61" i="31"/>
  <c r="DS61" i="31"/>
  <c r="BB61" i="31"/>
  <c r="AP61" i="31"/>
  <c r="AN61" i="31"/>
  <c r="AG61" i="31"/>
  <c r="AF61" i="31"/>
  <c r="AD61" i="31"/>
  <c r="P61" i="31"/>
  <c r="L61" i="31"/>
  <c r="K61" i="31"/>
  <c r="I61" i="31"/>
  <c r="FS61" i="31" s="1"/>
  <c r="FH60" i="31"/>
  <c r="FG60" i="31"/>
  <c r="EL60" i="31"/>
  <c r="EK60" i="31"/>
  <c r="EJ60" i="31"/>
  <c r="EI60" i="31"/>
  <c r="EH60" i="31"/>
  <c r="EG60" i="31"/>
  <c r="ED60" i="31"/>
  <c r="EC60" i="31"/>
  <c r="DZ60" i="31"/>
  <c r="DY60" i="31"/>
  <c r="BD60" i="31"/>
  <c r="BC60" i="31"/>
  <c r="AX60" i="31"/>
  <c r="AU60" i="31"/>
  <c r="AS60" i="31"/>
  <c r="AO60" i="31"/>
  <c r="AL60" i="31"/>
  <c r="AI60" i="31"/>
  <c r="AH60" i="31"/>
  <c r="AE60" i="31"/>
  <c r="AB60" i="31"/>
  <c r="AA60" i="31"/>
  <c r="Z60" i="31"/>
  <c r="Y60" i="31"/>
  <c r="W60" i="31"/>
  <c r="U60" i="31"/>
  <c r="T60" i="31"/>
  <c r="R60" i="31"/>
  <c r="FS60" i="31" s="1"/>
  <c r="BB59" i="31"/>
  <c r="AO59" i="31"/>
  <c r="AN59" i="31"/>
  <c r="AG59" i="31"/>
  <c r="AF59" i="31"/>
  <c r="FS59" i="31" s="1"/>
  <c r="J58" i="31"/>
  <c r="FS58" i="31" s="1"/>
  <c r="FH57" i="31"/>
  <c r="FG57" i="31"/>
  <c r="EL57" i="31"/>
  <c r="EJ57" i="31"/>
  <c r="EG57" i="31"/>
  <c r="EE57" i="31"/>
  <c r="ED57" i="31"/>
  <c r="EC57" i="31"/>
  <c r="EA57" i="31"/>
  <c r="BG57" i="31"/>
  <c r="BF57" i="31"/>
  <c r="BE57" i="31"/>
  <c r="BC57" i="31"/>
  <c r="AY57" i="31"/>
  <c r="AX57" i="31"/>
  <c r="AS57" i="31"/>
  <c r="AL57" i="31"/>
  <c r="AB57" i="31"/>
  <c r="AA57" i="31"/>
  <c r="Z57" i="31"/>
  <c r="T57" i="31"/>
  <c r="FS57" i="31" s="1"/>
  <c r="BB56" i="31"/>
  <c r="AP56" i="31"/>
  <c r="AG56" i="31"/>
  <c r="AF56" i="31"/>
  <c r="AD56" i="31"/>
  <c r="K56" i="31"/>
  <c r="I56" i="31"/>
  <c r="FS56" i="31" s="1"/>
  <c r="EL55" i="31"/>
  <c r="EJ55" i="31"/>
  <c r="EG55" i="31"/>
  <c r="ED55" i="31"/>
  <c r="EC55" i="31"/>
  <c r="AX55" i="31"/>
  <c r="AS55" i="31"/>
  <c r="AL55" i="31"/>
  <c r="AJ55" i="31"/>
  <c r="AB55" i="31"/>
  <c r="AA55" i="31"/>
  <c r="O55" i="31"/>
  <c r="N55" i="31"/>
  <c r="FS55" i="31" s="1"/>
  <c r="BB54" i="31"/>
  <c r="AG54" i="31"/>
  <c r="AF54" i="31"/>
  <c r="AD54" i="31"/>
  <c r="M54" i="31"/>
  <c r="K54" i="31"/>
  <c r="I54" i="31"/>
  <c r="FS54" i="31" s="1"/>
  <c r="FC53" i="31"/>
  <c r="EY53" i="31"/>
  <c r="EU53" i="31"/>
  <c r="FS53" i="31" s="1"/>
  <c r="EQ53" i="31"/>
  <c r="FH52" i="31"/>
  <c r="FG52" i="31"/>
  <c r="FD52" i="31"/>
  <c r="FB52" i="31"/>
  <c r="FA52" i="31"/>
  <c r="EZ52" i="31"/>
  <c r="EX52" i="31"/>
  <c r="EW52" i="31"/>
  <c r="EV52" i="31"/>
  <c r="ET52" i="31"/>
  <c r="ES52" i="31"/>
  <c r="ER52" i="31"/>
  <c r="EP52" i="31"/>
  <c r="EL52" i="31"/>
  <c r="EK52" i="31"/>
  <c r="EJ52" i="31"/>
  <c r="EG52" i="31"/>
  <c r="EF52" i="31"/>
  <c r="EE52" i="31"/>
  <c r="ED52" i="31"/>
  <c r="EC52" i="31"/>
  <c r="DZ52" i="31"/>
  <c r="DY52" i="31"/>
  <c r="DF52" i="31"/>
  <c r="CZ52" i="31"/>
  <c r="CY52" i="31"/>
  <c r="CX52" i="31"/>
  <c r="CW52" i="31"/>
  <c r="CV52" i="31"/>
  <c r="CU52" i="31"/>
  <c r="CT52" i="31"/>
  <c r="CS52" i="31"/>
  <c r="CP52" i="31"/>
  <c r="CO52" i="31"/>
  <c r="CI52" i="31"/>
  <c r="CH52" i="31"/>
  <c r="CG52" i="31"/>
  <c r="CF52" i="31"/>
  <c r="CE52" i="31"/>
  <c r="CD52" i="31"/>
  <c r="CC52" i="31"/>
  <c r="CB52" i="31"/>
  <c r="CA52" i="31"/>
  <c r="BZ52" i="31"/>
  <c r="BY52" i="31"/>
  <c r="BX52" i="31"/>
  <c r="BW52" i="31"/>
  <c r="BV52" i="31"/>
  <c r="BU52" i="31"/>
  <c r="BT52" i="31"/>
  <c r="BS52" i="31"/>
  <c r="BR52" i="31"/>
  <c r="BP52" i="31"/>
  <c r="BO52" i="31"/>
  <c r="BN52" i="31"/>
  <c r="BM52" i="31"/>
  <c r="BL52" i="31"/>
  <c r="BK52" i="31"/>
  <c r="BJ52" i="31"/>
  <c r="BI52" i="31"/>
  <c r="BH52" i="31"/>
  <c r="BC52" i="31"/>
  <c r="AX52" i="31"/>
  <c r="AU52" i="31"/>
  <c r="AS52" i="31"/>
  <c r="AR52" i="31"/>
  <c r="AQ52" i="31"/>
  <c r="AL52" i="31"/>
  <c r="AK52" i="31"/>
  <c r="AI52" i="31"/>
  <c r="AH52" i="31"/>
  <c r="AE52" i="31"/>
  <c r="AC52" i="31"/>
  <c r="AB52" i="31"/>
  <c r="AA52" i="31"/>
  <c r="Y52" i="31"/>
  <c r="W52" i="31"/>
  <c r="V52" i="31"/>
  <c r="U52" i="31"/>
  <c r="T52" i="31"/>
  <c r="R52" i="31"/>
  <c r="O52" i="31"/>
  <c r="FS52" i="31" s="1"/>
  <c r="N52" i="31"/>
  <c r="BB51" i="31"/>
  <c r="AV51" i="31"/>
  <c r="AO51" i="31"/>
  <c r="AN51" i="31"/>
  <c r="AG51" i="31"/>
  <c r="AF51" i="31"/>
  <c r="AD51" i="31"/>
  <c r="S51" i="31"/>
  <c r="P51" i="31"/>
  <c r="M51" i="31"/>
  <c r="K51" i="31"/>
  <c r="I51" i="31"/>
  <c r="FS51" i="31" s="1"/>
  <c r="FH50" i="31"/>
  <c r="EL50" i="31"/>
  <c r="AS50" i="31"/>
  <c r="N50" i="31"/>
  <c r="FS50" i="31" s="1"/>
  <c r="FS49" i="31"/>
  <c r="BB49" i="31"/>
  <c r="AG49" i="31"/>
  <c r="AF49" i="31"/>
  <c r="L49" i="31"/>
  <c r="AX48" i="31"/>
  <c r="AS48" i="31"/>
  <c r="AB48" i="31"/>
  <c r="FS48" i="31" s="1"/>
  <c r="BB47" i="31"/>
  <c r="AN47" i="31"/>
  <c r="AD47" i="31"/>
  <c r="FS47" i="31" s="1"/>
  <c r="FH46" i="31"/>
  <c r="FS46" i="31" s="1"/>
  <c r="BB45" i="31"/>
  <c r="AN45" i="31"/>
  <c r="AF45" i="31"/>
  <c r="M45" i="31"/>
  <c r="FS45" i="31" s="1"/>
  <c r="EL44" i="31"/>
  <c r="EJ44" i="31"/>
  <c r="EG44" i="31"/>
  <c r="ED44" i="31"/>
  <c r="EC44" i="31"/>
  <c r="AS44" i="31"/>
  <c r="FS44" i="31" s="1"/>
  <c r="AL44" i="31"/>
  <c r="AJ44" i="31"/>
  <c r="AB44" i="31"/>
  <c r="AA44" i="31"/>
  <c r="O44" i="31"/>
  <c r="N44" i="31"/>
  <c r="BB43" i="31"/>
  <c r="AF43" i="31"/>
  <c r="M43" i="31"/>
  <c r="FS43" i="31" s="1"/>
  <c r="L43" i="31"/>
  <c r="FS42" i="31"/>
  <c r="FH42" i="31"/>
  <c r="FG42" i="31"/>
  <c r="M41" i="31"/>
  <c r="FS41" i="31" s="1"/>
  <c r="ER40" i="31"/>
  <c r="AS40" i="31"/>
  <c r="AL40" i="31"/>
  <c r="AA40" i="31"/>
  <c r="O40" i="31"/>
  <c r="FS40" i="31" s="1"/>
  <c r="N40" i="31"/>
  <c r="FS39" i="31"/>
  <c r="BB39" i="31"/>
  <c r="M39" i="31"/>
  <c r="I39" i="31"/>
  <c r="FD38" i="31"/>
  <c r="FA38" i="31"/>
  <c r="EZ38" i="31"/>
  <c r="EX38" i="31"/>
  <c r="EW38" i="31"/>
  <c r="EV38" i="31"/>
  <c r="ET38" i="31"/>
  <c r="ES38" i="31"/>
  <c r="ER38" i="31"/>
  <c r="EP38" i="31"/>
  <c r="EL38" i="31"/>
  <c r="EJ38" i="31"/>
  <c r="EG38" i="31"/>
  <c r="EE38" i="31"/>
  <c r="AS38" i="31"/>
  <c r="AE38" i="31"/>
  <c r="Z38" i="31"/>
  <c r="N38" i="31"/>
  <c r="FS38" i="31" s="1"/>
  <c r="AN37" i="31"/>
  <c r="AG37" i="31"/>
  <c r="AF37" i="31"/>
  <c r="FS37" i="31" s="1"/>
  <c r="AD37" i="31"/>
  <c r="BD36" i="31"/>
  <c r="AS36" i="31"/>
  <c r="FS36" i="31" s="1"/>
  <c r="AA36" i="31"/>
  <c r="BB35" i="31"/>
  <c r="AG35" i="31"/>
  <c r="FS35" i="31" s="1"/>
  <c r="AD35" i="31"/>
  <c r="FS34" i="31"/>
  <c r="FC34" i="31"/>
  <c r="EY34" i="31"/>
  <c r="EU34" i="31"/>
  <c r="J34" i="31"/>
  <c r="FH33" i="31"/>
  <c r="FG33" i="31"/>
  <c r="FD33" i="31"/>
  <c r="FA33" i="31"/>
  <c r="EZ33" i="31"/>
  <c r="EV33" i="31"/>
  <c r="ET33" i="31"/>
  <c r="ES33" i="31"/>
  <c r="ER33" i="31"/>
  <c r="EP33" i="31"/>
  <c r="EL33" i="31"/>
  <c r="EK33" i="31"/>
  <c r="EJ33" i="31"/>
  <c r="EI33" i="31"/>
  <c r="EH33" i="31"/>
  <c r="EG33" i="31"/>
  <c r="DT33" i="31"/>
  <c r="DR33" i="31"/>
  <c r="AS33" i="31"/>
  <c r="AL33" i="31"/>
  <c r="AH33" i="31"/>
  <c r="AE33" i="31"/>
  <c r="AC33" i="31"/>
  <c r="AB33" i="31"/>
  <c r="AA33" i="31"/>
  <c r="Z33" i="31"/>
  <c r="Y33" i="31"/>
  <c r="U33" i="31"/>
  <c r="T33" i="31"/>
  <c r="R33" i="31"/>
  <c r="O33" i="31"/>
  <c r="FS33" i="31" s="1"/>
  <c r="N33" i="31"/>
  <c r="DX32" i="31"/>
  <c r="DW32" i="31"/>
  <c r="DR32" i="31"/>
  <c r="DQ32" i="31"/>
  <c r="BB32" i="31"/>
  <c r="AN32" i="31"/>
  <c r="AG32" i="31"/>
  <c r="AF32" i="31"/>
  <c r="M32" i="31"/>
  <c r="L32" i="31"/>
  <c r="K32" i="31"/>
  <c r="I32" i="31"/>
  <c r="FS32" i="31" s="1"/>
  <c r="BD31" i="31"/>
  <c r="AS31" i="31"/>
  <c r="AL31" i="31"/>
  <c r="FS31" i="31" s="1"/>
  <c r="AA31" i="31"/>
  <c r="BB30" i="31"/>
  <c r="AG30" i="31"/>
  <c r="FS30" i="31" s="1"/>
  <c r="AD30" i="31"/>
  <c r="FH29" i="31"/>
  <c r="EL29" i="31"/>
  <c r="EJ29" i="31"/>
  <c r="EG29" i="31"/>
  <c r="EE29" i="31"/>
  <c r="EC29" i="31"/>
  <c r="EB29" i="31"/>
  <c r="EA29" i="31"/>
  <c r="AL29" i="31"/>
  <c r="AA29" i="31"/>
  <c r="Z29" i="31"/>
  <c r="N29" i="31"/>
  <c r="FS29" i="31" s="1"/>
  <c r="AP28" i="31"/>
  <c r="AO28" i="31"/>
  <c r="AG28" i="31"/>
  <c r="FS28" i="31" s="1"/>
  <c r="BD27" i="31"/>
  <c r="AS27" i="31"/>
  <c r="AL27" i="31"/>
  <c r="AA27" i="31"/>
  <c r="FS27" i="31" s="1"/>
  <c r="FS26" i="31"/>
  <c r="BB26" i="31"/>
  <c r="AG26" i="31"/>
  <c r="AD26" i="31"/>
  <c r="BD25" i="31"/>
  <c r="AS25" i="31"/>
  <c r="AL25" i="31"/>
  <c r="AA25" i="31"/>
  <c r="FS25" i="31" s="1"/>
  <c r="BB24" i="31"/>
  <c r="AG24" i="31"/>
  <c r="AD24" i="31"/>
  <c r="FS24" i="31" s="1"/>
  <c r="FC23" i="31"/>
  <c r="EY23" i="31"/>
  <c r="EU23" i="31"/>
  <c r="FS23" i="31" s="1"/>
  <c r="FD22" i="31"/>
  <c r="FA22" i="31"/>
  <c r="EZ22" i="31"/>
  <c r="EX22" i="31"/>
  <c r="EW22" i="31"/>
  <c r="EV22" i="31"/>
  <c r="ET22" i="31"/>
  <c r="ES22" i="31"/>
  <c r="ER22" i="31"/>
  <c r="EL22" i="31"/>
  <c r="EK22" i="31"/>
  <c r="EJ22" i="31"/>
  <c r="EI22" i="31"/>
  <c r="EH22" i="31"/>
  <c r="EG22" i="31"/>
  <c r="BD22" i="31"/>
  <c r="BC22" i="31"/>
  <c r="AX22" i="31"/>
  <c r="AS22" i="31"/>
  <c r="AL22" i="31"/>
  <c r="AH22" i="31"/>
  <c r="AE22" i="31"/>
  <c r="AC22" i="31"/>
  <c r="AB22" i="31"/>
  <c r="AA22" i="31"/>
  <c r="Z22" i="31"/>
  <c r="Y22" i="31"/>
  <c r="U22" i="31"/>
  <c r="T22" i="31"/>
  <c r="R22" i="31"/>
  <c r="FS22" i="31" s="1"/>
  <c r="FS21" i="31"/>
  <c r="BB21" i="31"/>
  <c r="AP21" i="31"/>
  <c r="AN21" i="31"/>
  <c r="AG21" i="31"/>
  <c r="AF21" i="31"/>
  <c r="AD20" i="31"/>
  <c r="FS20" i="31" s="1"/>
  <c r="BD19" i="31"/>
  <c r="AS19" i="31"/>
  <c r="AG19" i="31"/>
  <c r="AA19" i="31"/>
  <c r="FS19" i="31" s="1"/>
  <c r="BB18" i="31"/>
  <c r="AG18" i="31"/>
  <c r="AD18" i="31"/>
  <c r="FS18" i="31" s="1"/>
  <c r="EZ17" i="31"/>
  <c r="EX17" i="31"/>
  <c r="EW17" i="31"/>
  <c r="EV17" i="31"/>
  <c r="ET17" i="31"/>
  <c r="ES17" i="31"/>
  <c r="ER17" i="31"/>
  <c r="AS17" i="31"/>
  <c r="T17" i="31"/>
  <c r="N17" i="31"/>
  <c r="FS17" i="31" s="1"/>
  <c r="FS16" i="31"/>
  <c r="AF16" i="31"/>
  <c r="FS15" i="31"/>
  <c r="L14" i="31"/>
  <c r="FS14" i="31" s="1"/>
  <c r="J13" i="31"/>
  <c r="FS13" i="31" s="1"/>
  <c r="FH12" i="31"/>
  <c r="FG12" i="31"/>
  <c r="DT12" i="31"/>
  <c r="DR12" i="31"/>
  <c r="O12" i="31"/>
  <c r="FS12" i="31" s="1"/>
  <c r="N12" i="31"/>
  <c r="DX11" i="31"/>
  <c r="DW11" i="31"/>
  <c r="DV11" i="31"/>
  <c r="DS11" i="31"/>
  <c r="DQ11" i="31"/>
  <c r="M11" i="31"/>
  <c r="L11" i="31"/>
  <c r="K11" i="31"/>
  <c r="FS11" i="31" s="1"/>
  <c r="I11" i="31"/>
  <c r="FS10" i="31"/>
  <c r="DG10" i="31"/>
  <c r="FC9" i="31"/>
  <c r="EY9" i="31"/>
  <c r="EU9" i="31"/>
  <c r="EQ9" i="31"/>
  <c r="CZ9" i="31"/>
  <c r="FS9" i="31" s="1"/>
  <c r="FH8" i="31"/>
  <c r="FG8" i="31"/>
  <c r="FD8" i="31"/>
  <c r="FB8" i="31"/>
  <c r="FA8" i="31"/>
  <c r="EZ8" i="31"/>
  <c r="EX8" i="31"/>
  <c r="EW8" i="31"/>
  <c r="EV8" i="31"/>
  <c r="ET8" i="31"/>
  <c r="ES8" i="31"/>
  <c r="ER8" i="31"/>
  <c r="EP8" i="31"/>
  <c r="EL8" i="31"/>
  <c r="EK8" i="31"/>
  <c r="EJ8" i="31"/>
  <c r="EI8" i="31"/>
  <c r="EH8" i="31"/>
  <c r="EG8" i="31"/>
  <c r="ED8" i="31"/>
  <c r="EC8" i="31"/>
  <c r="DZ8" i="31"/>
  <c r="DY8" i="31"/>
  <c r="DP8" i="31"/>
  <c r="DO8" i="31"/>
  <c r="DN8" i="31"/>
  <c r="DM8" i="31"/>
  <c r="DL8" i="31"/>
  <c r="DK8" i="31"/>
  <c r="DJ8" i="31"/>
  <c r="DI8" i="31"/>
  <c r="DH8" i="31"/>
  <c r="DF8" i="31"/>
  <c r="DD8" i="31"/>
  <c r="CY8" i="31"/>
  <c r="CX8" i="31"/>
  <c r="CW8" i="31"/>
  <c r="CV8" i="31"/>
  <c r="CS8" i="31"/>
  <c r="CP8" i="31"/>
  <c r="CO8" i="31"/>
  <c r="CI8" i="31"/>
  <c r="CH8" i="31"/>
  <c r="CG8" i="31"/>
  <c r="CF8" i="31"/>
  <c r="CE8" i="31"/>
  <c r="CD8" i="31"/>
  <c r="CC8" i="31"/>
  <c r="CB8" i="31"/>
  <c r="CA8" i="31"/>
  <c r="BZ8" i="31"/>
  <c r="BY8" i="31"/>
  <c r="BX8" i="31"/>
  <c r="BW8" i="31"/>
  <c r="BV8" i="31"/>
  <c r="BU8" i="31"/>
  <c r="BT8" i="31"/>
  <c r="BS8" i="31"/>
  <c r="BR8" i="31"/>
  <c r="BQ8" i="31"/>
  <c r="BP8" i="31"/>
  <c r="BO8" i="31"/>
  <c r="BN8" i="31"/>
  <c r="BM8" i="31"/>
  <c r="BL8" i="31"/>
  <c r="BK8" i="31"/>
  <c r="BJ8" i="31"/>
  <c r="BI8" i="31"/>
  <c r="BH8" i="31"/>
  <c r="BD8" i="31"/>
  <c r="BC8" i="31"/>
  <c r="BA8" i="31"/>
  <c r="AZ8" i="31"/>
  <c r="AY8" i="31"/>
  <c r="AX8" i="31"/>
  <c r="AS8" i="31"/>
  <c r="AR8" i="31"/>
  <c r="AQ8" i="31"/>
  <c r="AO8" i="31"/>
  <c r="AM8" i="31"/>
  <c r="AK8" i="31"/>
  <c r="AJ8" i="31"/>
  <c r="AI8" i="31"/>
  <c r="AH8" i="31"/>
  <c r="AG8" i="31"/>
  <c r="AE8" i="31"/>
  <c r="AC8" i="31"/>
  <c r="AB8" i="31"/>
  <c r="AA8" i="31"/>
  <c r="Z8" i="31"/>
  <c r="Y8" i="31"/>
  <c r="W8" i="31"/>
  <c r="U8" i="31"/>
  <c r="T8" i="31"/>
  <c r="FS8" i="31" s="1"/>
  <c r="R8" i="31"/>
  <c r="H8" i="31"/>
  <c r="BB7" i="31"/>
  <c r="AW7" i="31"/>
  <c r="AV7" i="31"/>
  <c r="AP7" i="31"/>
  <c r="AN7" i="31"/>
  <c r="AL7" i="31"/>
  <c r="AF7" i="31"/>
  <c r="AD7" i="31"/>
  <c r="FS7" i="31" s="1"/>
  <c r="FS111" i="31" l="1"/>
  <c r="FS103" i="31"/>
  <c r="FR96" i="30"/>
  <c r="FR95" i="30"/>
  <c r="FR94" i="30"/>
  <c r="FR93" i="30"/>
  <c r="FR92" i="30"/>
  <c r="FR91" i="30"/>
  <c r="FF96" i="30"/>
  <c r="EX96" i="30"/>
  <c r="ET96" i="30"/>
  <c r="EQ96" i="30"/>
  <c r="EO96" i="30"/>
  <c r="DJ96" i="30"/>
  <c r="DD96" i="30"/>
  <c r="DC96" i="30"/>
  <c r="CY96" i="30"/>
  <c r="CX96" i="30"/>
  <c r="CW96" i="30"/>
  <c r="CS96" i="30"/>
  <c r="CL96" i="30"/>
  <c r="CH96" i="30"/>
  <c r="CF96" i="30"/>
  <c r="CE96" i="30"/>
  <c r="CD96" i="30"/>
  <c r="CC96" i="30"/>
  <c r="CB96" i="30"/>
  <c r="BZ96" i="30"/>
  <c r="BY96" i="30"/>
  <c r="BU96" i="30"/>
  <c r="BR96" i="30"/>
  <c r="BQ96" i="30"/>
  <c r="BP96" i="30"/>
  <c r="BN96" i="30"/>
  <c r="BM96" i="30"/>
  <c r="BK96" i="30"/>
  <c r="BC96" i="30"/>
  <c r="AY96" i="30"/>
  <c r="AS96" i="30"/>
  <c r="AP96" i="30"/>
  <c r="AM96" i="30"/>
  <c r="AK96" i="30"/>
  <c r="AB96" i="30"/>
  <c r="U96" i="30"/>
  <c r="T96" i="30"/>
  <c r="O96" i="30"/>
  <c r="N96" i="30"/>
  <c r="M96" i="30"/>
  <c r="FQ89" i="30"/>
  <c r="FP89" i="30"/>
  <c r="FO89" i="30"/>
  <c r="FN89" i="30"/>
  <c r="FL89" i="30"/>
  <c r="FK89" i="30"/>
  <c r="FJ89" i="30"/>
  <c r="FI89" i="30"/>
  <c r="FH89" i="30"/>
  <c r="FG89" i="30"/>
  <c r="FF89" i="30"/>
  <c r="FE89" i="30"/>
  <c r="FD89" i="30"/>
  <c r="FC89" i="30"/>
  <c r="FB89" i="30"/>
  <c r="FA89" i="30"/>
  <c r="EZ89" i="30"/>
  <c r="EY89" i="30"/>
  <c r="EX89" i="30"/>
  <c r="EW89" i="30"/>
  <c r="EV89" i="30"/>
  <c r="EU89" i="30"/>
  <c r="ET89" i="30"/>
  <c r="ES89" i="30"/>
  <c r="ER89" i="30"/>
  <c r="EQ89" i="30"/>
  <c r="EP89" i="30"/>
  <c r="EO89" i="30"/>
  <c r="EN89" i="30"/>
  <c r="EM89" i="30"/>
  <c r="EL89" i="30"/>
  <c r="EK89" i="30"/>
  <c r="EJ89" i="30"/>
  <c r="EI89" i="30"/>
  <c r="EH89" i="30"/>
  <c r="EG89" i="30"/>
  <c r="EF89" i="30"/>
  <c r="EE89" i="30"/>
  <c r="ED89" i="30"/>
  <c r="EC89" i="30"/>
  <c r="EB89" i="30"/>
  <c r="EA89" i="30"/>
  <c r="DZ89" i="30"/>
  <c r="DY89" i="30"/>
  <c r="DX89" i="30"/>
  <c r="DW89" i="30"/>
  <c r="DV89" i="30"/>
  <c r="DU89" i="30"/>
  <c r="DT89" i="30"/>
  <c r="DS89" i="30"/>
  <c r="DR89" i="30"/>
  <c r="DQ89" i="30"/>
  <c r="DP89" i="30"/>
  <c r="DO89" i="30"/>
  <c r="DN89" i="30"/>
  <c r="DM89" i="30"/>
  <c r="DL89" i="30"/>
  <c r="DK89" i="30"/>
  <c r="DJ89" i="30"/>
  <c r="DI89" i="30"/>
  <c r="DH89" i="30"/>
  <c r="DG89" i="30"/>
  <c r="DF89" i="30"/>
  <c r="DE89" i="30"/>
  <c r="DD89" i="30"/>
  <c r="DC89" i="30"/>
  <c r="DB89" i="30"/>
  <c r="DA89" i="30"/>
  <c r="CZ89" i="30"/>
  <c r="CY89" i="30"/>
  <c r="CX89" i="30"/>
  <c r="CW89" i="30"/>
  <c r="CV89" i="30"/>
  <c r="CU89" i="30"/>
  <c r="CT89" i="30"/>
  <c r="CS89" i="30"/>
  <c r="CR89" i="30"/>
  <c r="CQ89" i="30"/>
  <c r="CP89" i="30"/>
  <c r="CO89" i="30"/>
  <c r="CN89" i="30"/>
  <c r="CM89" i="30"/>
  <c r="CL89" i="30"/>
  <c r="CK89" i="30"/>
  <c r="CJ89" i="30"/>
  <c r="CI89" i="30"/>
  <c r="CH89" i="30"/>
  <c r="CG89" i="30"/>
  <c r="CF89" i="30"/>
  <c r="CE89" i="30"/>
  <c r="CD89" i="30"/>
  <c r="CC89" i="30"/>
  <c r="CB89" i="30"/>
  <c r="CA89" i="30"/>
  <c r="BZ89" i="30"/>
  <c r="BY89" i="30"/>
  <c r="BX89" i="30"/>
  <c r="BW89" i="30"/>
  <c r="BV89" i="30"/>
  <c r="BU89" i="30"/>
  <c r="BT89" i="30"/>
  <c r="BS89" i="30"/>
  <c r="BR89" i="30"/>
  <c r="BQ89" i="30"/>
  <c r="BP89" i="30"/>
  <c r="BO89" i="30"/>
  <c r="BN89" i="30"/>
  <c r="BM89" i="30"/>
  <c r="BL89" i="30"/>
  <c r="BK89" i="30"/>
  <c r="BJ89" i="30"/>
  <c r="BI89" i="30"/>
  <c r="BH89" i="30"/>
  <c r="BG89" i="30"/>
  <c r="BF89" i="30"/>
  <c r="BE89" i="30"/>
  <c r="BD89" i="30"/>
  <c r="BC89" i="30"/>
  <c r="BB89" i="30"/>
  <c r="BA89" i="30"/>
  <c r="AZ89" i="30"/>
  <c r="AY89" i="30"/>
  <c r="AX89" i="30"/>
  <c r="AW89" i="30"/>
  <c r="AV89" i="30"/>
  <c r="AU89" i="30"/>
  <c r="AT89" i="30"/>
  <c r="AS89" i="30"/>
  <c r="AR89" i="30"/>
  <c r="AQ89" i="30"/>
  <c r="AP89" i="30"/>
  <c r="AO89" i="30"/>
  <c r="AN89" i="30"/>
  <c r="AM89" i="30"/>
  <c r="AL89" i="30"/>
  <c r="AK89" i="30"/>
  <c r="AJ89" i="30"/>
  <c r="AI89" i="30"/>
  <c r="AH89" i="30"/>
  <c r="AG89" i="30"/>
  <c r="AF89" i="30"/>
  <c r="AE89" i="30"/>
  <c r="AD89" i="30"/>
  <c r="AC89" i="30"/>
  <c r="AB89" i="30"/>
  <c r="AA89" i="30"/>
  <c r="Z89" i="30"/>
  <c r="Y89" i="30"/>
  <c r="X89" i="30"/>
  <c r="W89" i="30"/>
  <c r="V89" i="30"/>
  <c r="U89" i="30"/>
  <c r="T89" i="30"/>
  <c r="S89" i="30"/>
  <c r="R89" i="30"/>
  <c r="Q89" i="30"/>
  <c r="P89" i="30"/>
  <c r="O89" i="30"/>
  <c r="N89" i="30"/>
  <c r="M89" i="30"/>
  <c r="L89" i="30"/>
  <c r="K89" i="30"/>
  <c r="J89" i="30"/>
  <c r="I89" i="30"/>
  <c r="H89" i="30"/>
  <c r="G89" i="30"/>
  <c r="FR88" i="30"/>
  <c r="FR87" i="30"/>
  <c r="FR86" i="30"/>
  <c r="FR85" i="30"/>
  <c r="CB85" i="30"/>
  <c r="BN85" i="30"/>
  <c r="AS85" i="30"/>
  <c r="AS84" i="30"/>
  <c r="FR84" i="30" s="1"/>
  <c r="AF83" i="30"/>
  <c r="AC83" i="30"/>
  <c r="FR83" i="30" s="1"/>
  <c r="DZ81" i="30"/>
  <c r="FR81" i="30" s="1"/>
  <c r="Z80" i="30"/>
  <c r="FR80" i="30" s="1"/>
  <c r="BC79" i="30"/>
  <c r="AK79" i="30"/>
  <c r="FR79" i="30" s="1"/>
  <c r="FJ78" i="30"/>
  <c r="FI78" i="30"/>
  <c r="EQ78" i="30"/>
  <c r="EO78" i="30"/>
  <c r="EN78" i="30"/>
  <c r="EM78" i="30"/>
  <c r="EL78" i="30"/>
  <c r="EJ78" i="30"/>
  <c r="EI78" i="30"/>
  <c r="EH78" i="30"/>
  <c r="EG78" i="30"/>
  <c r="BE78" i="30"/>
  <c r="AS78" i="30"/>
  <c r="AR78" i="30"/>
  <c r="AQ78" i="30"/>
  <c r="AM78" i="30"/>
  <c r="AA78" i="30"/>
  <c r="Z78" i="30"/>
  <c r="O78" i="30"/>
  <c r="FR78" i="30" s="1"/>
  <c r="FR77" i="30"/>
  <c r="FG77" i="30"/>
  <c r="BC77" i="30"/>
  <c r="AF77" i="30"/>
  <c r="AE77" i="30"/>
  <c r="AC77" i="30"/>
  <c r="N77" i="30"/>
  <c r="AY76" i="30"/>
  <c r="AS76" i="30"/>
  <c r="AM76" i="30"/>
  <c r="AA76" i="30"/>
  <c r="FR76" i="30" s="1"/>
  <c r="FR75" i="30"/>
  <c r="BC75" i="30"/>
  <c r="AC75" i="30"/>
  <c r="AS74" i="30"/>
  <c r="AP74" i="30"/>
  <c r="FR74" i="30" s="1"/>
  <c r="Z74" i="30"/>
  <c r="AO73" i="30"/>
  <c r="AF73" i="30"/>
  <c r="AE73" i="30"/>
  <c r="FR73" i="30" s="1"/>
  <c r="AS72" i="30"/>
  <c r="FR72" i="30" s="1"/>
  <c r="T72" i="30"/>
  <c r="K72" i="30"/>
  <c r="AC71" i="30"/>
  <c r="FR71" i="30" s="1"/>
  <c r="DZ70" i="30"/>
  <c r="AY70" i="30"/>
  <c r="AS70" i="30"/>
  <c r="AM70" i="30"/>
  <c r="AD70" i="30"/>
  <c r="Z70" i="30"/>
  <c r="X70" i="30"/>
  <c r="FR70" i="30" s="1"/>
  <c r="W70" i="30"/>
  <c r="T70" i="30"/>
  <c r="BC69" i="30"/>
  <c r="AK69" i="30"/>
  <c r="AF69" i="30"/>
  <c r="AE69" i="30"/>
  <c r="AC69" i="30"/>
  <c r="N69" i="30"/>
  <c r="M69" i="30"/>
  <c r="J69" i="30"/>
  <c r="H69" i="30"/>
  <c r="FR69" i="30" s="1"/>
  <c r="FE68" i="30"/>
  <c r="FA68" i="30"/>
  <c r="EW68" i="30"/>
  <c r="FR68" i="30" s="1"/>
  <c r="FF67" i="30"/>
  <c r="FC67" i="30"/>
  <c r="FB67" i="30"/>
  <c r="EZ67" i="30"/>
  <c r="EY67" i="30"/>
  <c r="EX67" i="30"/>
  <c r="EV67" i="30"/>
  <c r="EU67" i="30"/>
  <c r="EQ67" i="30"/>
  <c r="EP67" i="30"/>
  <c r="EO67" i="30"/>
  <c r="EN67" i="30"/>
  <c r="EM67" i="30"/>
  <c r="EI67" i="30"/>
  <c r="EH67" i="30"/>
  <c r="EE67" i="30"/>
  <c r="ED67" i="30"/>
  <c r="DL67" i="30"/>
  <c r="DC67" i="30"/>
  <c r="DB67" i="30"/>
  <c r="DA67" i="30"/>
  <c r="CW67" i="30"/>
  <c r="CT67" i="30"/>
  <c r="CJ67" i="30"/>
  <c r="CI67" i="30"/>
  <c r="CH67" i="30"/>
  <c r="CG67" i="30"/>
  <c r="CD67" i="30"/>
  <c r="CC67" i="30"/>
  <c r="CB67" i="30"/>
  <c r="CA67" i="30"/>
  <c r="BZ67" i="30"/>
  <c r="BY67" i="30"/>
  <c r="BX67" i="30"/>
  <c r="BV67" i="30"/>
  <c r="BU67" i="30"/>
  <c r="BS67" i="30"/>
  <c r="BR67" i="30"/>
  <c r="BQ67" i="30"/>
  <c r="BO67" i="30"/>
  <c r="BN67" i="30"/>
  <c r="BM67" i="30"/>
  <c r="BL67" i="30"/>
  <c r="AY67" i="30"/>
  <c r="AS67" i="30"/>
  <c r="AM67" i="30"/>
  <c r="AG67" i="30"/>
  <c r="AD67" i="30"/>
  <c r="AA67" i="30"/>
  <c r="Z67" i="30"/>
  <c r="Y67" i="30"/>
  <c r="X67" i="30"/>
  <c r="W67" i="30"/>
  <c r="U67" i="30"/>
  <c r="T67" i="30"/>
  <c r="FR67" i="30" s="1"/>
  <c r="R67" i="30"/>
  <c r="O67" i="30"/>
  <c r="BC66" i="30"/>
  <c r="AK66" i="30"/>
  <c r="AF66" i="30"/>
  <c r="AE66" i="30"/>
  <c r="AC66" i="30"/>
  <c r="AB66" i="30"/>
  <c r="S66" i="30"/>
  <c r="P66" i="30"/>
  <c r="N66" i="30"/>
  <c r="FR66" i="30" s="1"/>
  <c r="M66" i="30"/>
  <c r="FE65" i="30"/>
  <c r="FA65" i="30"/>
  <c r="EW65" i="30"/>
  <c r="ES65" i="30"/>
  <c r="DD65" i="30"/>
  <c r="CL65" i="30"/>
  <c r="CF65" i="30"/>
  <c r="CE65" i="30"/>
  <c r="I65" i="30"/>
  <c r="FR65" i="30" s="1"/>
  <c r="FJ64" i="30"/>
  <c r="FI64" i="30"/>
  <c r="FF64" i="30"/>
  <c r="FD64" i="30"/>
  <c r="FC64" i="30"/>
  <c r="FB64" i="30"/>
  <c r="EZ64" i="30"/>
  <c r="EY64" i="30"/>
  <c r="EX64" i="30"/>
  <c r="EV64" i="30"/>
  <c r="EU64" i="30"/>
  <c r="ET64" i="30"/>
  <c r="ER64" i="30"/>
  <c r="EQ64" i="30"/>
  <c r="EP64" i="30"/>
  <c r="EO64" i="30"/>
  <c r="EL64" i="30"/>
  <c r="EK64" i="30"/>
  <c r="EJ64" i="30"/>
  <c r="EI64" i="30"/>
  <c r="EH64" i="30"/>
  <c r="EE64" i="30"/>
  <c r="ED64" i="30"/>
  <c r="DZ64" i="30"/>
  <c r="DL64" i="30"/>
  <c r="DC64" i="30"/>
  <c r="DB64" i="30"/>
  <c r="DA64" i="30"/>
  <c r="CZ64" i="30"/>
  <c r="CY64" i="30"/>
  <c r="CX64" i="30"/>
  <c r="CW64" i="30"/>
  <c r="CT64" i="30"/>
  <c r="CS64" i="30"/>
  <c r="CK64" i="30"/>
  <c r="CJ64" i="30"/>
  <c r="CI64" i="30"/>
  <c r="CH64" i="30"/>
  <c r="CG64" i="30"/>
  <c r="CD64" i="30"/>
  <c r="CC64" i="30"/>
  <c r="CB64" i="30"/>
  <c r="CA64" i="30"/>
  <c r="BZ64" i="30"/>
  <c r="BY64" i="30"/>
  <c r="BX64" i="30"/>
  <c r="BW64" i="30"/>
  <c r="BV64" i="30"/>
  <c r="BU64" i="30"/>
  <c r="BS64" i="30"/>
  <c r="BR64" i="30"/>
  <c r="BQ64" i="30"/>
  <c r="BP64" i="30"/>
  <c r="BO64" i="30"/>
  <c r="BN64" i="30"/>
  <c r="BM64" i="30"/>
  <c r="BL64" i="30"/>
  <c r="BK64" i="30"/>
  <c r="AY64" i="30"/>
  <c r="AS64" i="30"/>
  <c r="AM64" i="30"/>
  <c r="AH64" i="30"/>
  <c r="AG64" i="30"/>
  <c r="AD64" i="30"/>
  <c r="AA64" i="30"/>
  <c r="Z64" i="30"/>
  <c r="X64" i="30"/>
  <c r="W64" i="30"/>
  <c r="V64" i="30"/>
  <c r="U64" i="30"/>
  <c r="T64" i="30"/>
  <c r="R64" i="30"/>
  <c r="FR64" i="30" s="1"/>
  <c r="K64" i="30"/>
  <c r="EB63" i="30"/>
  <c r="EA63" i="30"/>
  <c r="DY63" i="30"/>
  <c r="BC63" i="30"/>
  <c r="AK63" i="30"/>
  <c r="AF63" i="30"/>
  <c r="AE63" i="30"/>
  <c r="AC63" i="30"/>
  <c r="AB63" i="30"/>
  <c r="S63" i="30"/>
  <c r="P63" i="30"/>
  <c r="N63" i="30"/>
  <c r="M63" i="30"/>
  <c r="J63" i="30"/>
  <c r="H63" i="30"/>
  <c r="FR63" i="30" s="1"/>
  <c r="DZ62" i="30"/>
  <c r="AY62" i="30"/>
  <c r="AS62" i="30"/>
  <c r="AM62" i="30"/>
  <c r="AD62" i="30"/>
  <c r="Z62" i="30"/>
  <c r="X62" i="30"/>
  <c r="W62" i="30"/>
  <c r="T62" i="30"/>
  <c r="FR62" i="30" s="1"/>
  <c r="BC61" i="30"/>
  <c r="AK61" i="30"/>
  <c r="AF61" i="30"/>
  <c r="AE61" i="30"/>
  <c r="AC61" i="30"/>
  <c r="N61" i="30"/>
  <c r="M61" i="30"/>
  <c r="J61" i="30"/>
  <c r="FR61" i="30" s="1"/>
  <c r="H61" i="30"/>
  <c r="AY60" i="30"/>
  <c r="AS60" i="30"/>
  <c r="W60" i="30"/>
  <c r="FR60" i="30" s="1"/>
  <c r="T60" i="30"/>
  <c r="EC59" i="30"/>
  <c r="DW59" i="30"/>
  <c r="BC59" i="30"/>
  <c r="AC59" i="30"/>
  <c r="P59" i="30"/>
  <c r="FR59" i="30" s="1"/>
  <c r="N59" i="30"/>
  <c r="AY58" i="30"/>
  <c r="AS58" i="30"/>
  <c r="AM58" i="30"/>
  <c r="FR58" i="30" s="1"/>
  <c r="AA58" i="30"/>
  <c r="BC57" i="30"/>
  <c r="AC57" i="30"/>
  <c r="FR57" i="30" s="1"/>
  <c r="AY56" i="30"/>
  <c r="AS56" i="30"/>
  <c r="FR56" i="30" s="1"/>
  <c r="AM56" i="30"/>
  <c r="AA56" i="30"/>
  <c r="BC55" i="30"/>
  <c r="AC55" i="30"/>
  <c r="FR55" i="30" s="1"/>
  <c r="I54" i="30"/>
  <c r="FR54" i="30" s="1"/>
  <c r="EQ53" i="30"/>
  <c r="EO53" i="30"/>
  <c r="EN53" i="30"/>
  <c r="EL53" i="30"/>
  <c r="EJ53" i="30"/>
  <c r="EI53" i="30"/>
  <c r="EH53" i="30"/>
  <c r="DZ53" i="30"/>
  <c r="BE53" i="30"/>
  <c r="AS53" i="30"/>
  <c r="AP53" i="30"/>
  <c r="AM53" i="30"/>
  <c r="AG53" i="30"/>
  <c r="AA53" i="30"/>
  <c r="Z53" i="30"/>
  <c r="Y53" i="30"/>
  <c r="T53" i="30"/>
  <c r="R53" i="30"/>
  <c r="FR53" i="30" s="1"/>
  <c r="EC52" i="30"/>
  <c r="EA52" i="30"/>
  <c r="DY52" i="30"/>
  <c r="BC52" i="30"/>
  <c r="AF52" i="30"/>
  <c r="AE52" i="30"/>
  <c r="AC52" i="30"/>
  <c r="P52" i="30"/>
  <c r="M52" i="30"/>
  <c r="FR52" i="30" s="1"/>
  <c r="J52" i="30"/>
  <c r="H52" i="30"/>
  <c r="I51" i="30"/>
  <c r="FR51" i="30" s="1"/>
  <c r="EQ50" i="30"/>
  <c r="EO50" i="30"/>
  <c r="EN50" i="30"/>
  <c r="EL50" i="30"/>
  <c r="EJ50" i="30"/>
  <c r="EI50" i="30"/>
  <c r="EH50" i="30"/>
  <c r="EG50" i="30"/>
  <c r="EF50" i="30"/>
  <c r="DZ50" i="30"/>
  <c r="BE50" i="30"/>
  <c r="AY50" i="30"/>
  <c r="AS50" i="30"/>
  <c r="AP50" i="30"/>
  <c r="AM50" i="30"/>
  <c r="AG50" i="30"/>
  <c r="Z50" i="30"/>
  <c r="Y50" i="30"/>
  <c r="T50" i="30"/>
  <c r="FR50" i="30" s="1"/>
  <c r="R50" i="30"/>
  <c r="K50" i="30"/>
  <c r="EA49" i="30"/>
  <c r="DY49" i="30"/>
  <c r="BC49" i="30"/>
  <c r="AF49" i="30"/>
  <c r="AE49" i="30"/>
  <c r="AC49" i="30"/>
  <c r="P49" i="30"/>
  <c r="J49" i="30"/>
  <c r="H49" i="30"/>
  <c r="FR49" i="30" s="1"/>
  <c r="I48" i="30"/>
  <c r="FR48" i="30" s="1"/>
  <c r="FJ47" i="30"/>
  <c r="FI47" i="30"/>
  <c r="EQ47" i="30"/>
  <c r="EO47" i="30"/>
  <c r="EL47" i="30"/>
  <c r="EJ47" i="30"/>
  <c r="EI47" i="30"/>
  <c r="EH47" i="30"/>
  <c r="EF47" i="30"/>
  <c r="BJ47" i="30"/>
  <c r="BH47" i="30"/>
  <c r="BF47" i="30"/>
  <c r="BD47" i="30"/>
  <c r="AZ47" i="30"/>
  <c r="AS47" i="30"/>
  <c r="AA47" i="30"/>
  <c r="Z47" i="30"/>
  <c r="Y47" i="30"/>
  <c r="T47" i="30"/>
  <c r="O47" i="30"/>
  <c r="FR47" i="30" s="1"/>
  <c r="EC46" i="30"/>
  <c r="EB46" i="30"/>
  <c r="DY46" i="30"/>
  <c r="DX46" i="30"/>
  <c r="BC46" i="30"/>
  <c r="AK46" i="30"/>
  <c r="AF46" i="30"/>
  <c r="AE46" i="30"/>
  <c r="AC46" i="30"/>
  <c r="N46" i="30"/>
  <c r="M46" i="30"/>
  <c r="J46" i="30"/>
  <c r="FR46" i="30" s="1"/>
  <c r="H46" i="30"/>
  <c r="EQ45" i="30"/>
  <c r="EO45" i="30"/>
  <c r="EL45" i="30"/>
  <c r="EI45" i="30"/>
  <c r="EH45" i="30"/>
  <c r="AY45" i="30"/>
  <c r="AS45" i="30"/>
  <c r="AI45" i="30"/>
  <c r="AA45" i="30"/>
  <c r="Z45" i="30"/>
  <c r="FR45" i="30" s="1"/>
  <c r="O45" i="30"/>
  <c r="BC44" i="30"/>
  <c r="AK44" i="30"/>
  <c r="AF44" i="30"/>
  <c r="AE44" i="30"/>
  <c r="AC44" i="30"/>
  <c r="N44" i="30"/>
  <c r="M44" i="30"/>
  <c r="J44" i="30"/>
  <c r="H44" i="30"/>
  <c r="FR44" i="30" s="1"/>
  <c r="FR43" i="30"/>
  <c r="FE43" i="30"/>
  <c r="FA43" i="30"/>
  <c r="EW43" i="30"/>
  <c r="ES43" i="30"/>
  <c r="DD43" i="30"/>
  <c r="CL43" i="30"/>
  <c r="CF43" i="30"/>
  <c r="CE43" i="30"/>
  <c r="FJ42" i="30"/>
  <c r="FI42" i="30"/>
  <c r="FF42" i="30"/>
  <c r="FD42" i="30"/>
  <c r="FC42" i="30"/>
  <c r="FB42" i="30"/>
  <c r="EZ42" i="30"/>
  <c r="EY42" i="30"/>
  <c r="EX42" i="30"/>
  <c r="EV42" i="30"/>
  <c r="EU42" i="30"/>
  <c r="ET42" i="30"/>
  <c r="ER42" i="30"/>
  <c r="EQ42" i="30"/>
  <c r="EP42" i="30"/>
  <c r="EO42" i="30"/>
  <c r="EL42" i="30"/>
  <c r="EK42" i="30"/>
  <c r="EJ42" i="30"/>
  <c r="EI42" i="30"/>
  <c r="EH42" i="30"/>
  <c r="EE42" i="30"/>
  <c r="ED42" i="30"/>
  <c r="DL42" i="30"/>
  <c r="DC42" i="30"/>
  <c r="DB42" i="30"/>
  <c r="DA42" i="30"/>
  <c r="CZ42" i="30"/>
  <c r="CY42" i="30"/>
  <c r="CX42" i="30"/>
  <c r="CW42" i="30"/>
  <c r="CT42" i="30"/>
  <c r="CS42" i="30"/>
  <c r="CK42" i="30"/>
  <c r="CJ42" i="30"/>
  <c r="CI42" i="30"/>
  <c r="CH42" i="30"/>
  <c r="CG42" i="30"/>
  <c r="CD42" i="30"/>
  <c r="CC42" i="30"/>
  <c r="CB42" i="30"/>
  <c r="CA42" i="30"/>
  <c r="BZ42" i="30"/>
  <c r="BY42" i="30"/>
  <c r="BX42" i="30"/>
  <c r="BW42" i="30"/>
  <c r="BV42" i="30"/>
  <c r="BU42" i="30"/>
  <c r="BS42" i="30"/>
  <c r="BR42" i="30"/>
  <c r="BQ42" i="30"/>
  <c r="BP42" i="30"/>
  <c r="BO42" i="30"/>
  <c r="BN42" i="30"/>
  <c r="BM42" i="30"/>
  <c r="BL42" i="30"/>
  <c r="BK42" i="30"/>
  <c r="BD42" i="30"/>
  <c r="AY42" i="30"/>
  <c r="AV42" i="30"/>
  <c r="AS42" i="30"/>
  <c r="AR42" i="30"/>
  <c r="AQ42" i="30"/>
  <c r="AM42" i="30"/>
  <c r="AJ42" i="30"/>
  <c r="AH42" i="30"/>
  <c r="AG42" i="30"/>
  <c r="AD42" i="30"/>
  <c r="AA42" i="30"/>
  <c r="Z42" i="30"/>
  <c r="X42" i="30"/>
  <c r="W42" i="30"/>
  <c r="V42" i="30"/>
  <c r="U42" i="30"/>
  <c r="T42" i="30"/>
  <c r="FR42" i="30" s="1"/>
  <c r="R42" i="30"/>
  <c r="O42" i="30"/>
  <c r="BC41" i="30"/>
  <c r="AW41" i="30"/>
  <c r="AO41" i="30"/>
  <c r="AK41" i="30"/>
  <c r="AF41" i="30"/>
  <c r="AE41" i="30"/>
  <c r="AC41" i="30"/>
  <c r="AB41" i="30"/>
  <c r="S41" i="30"/>
  <c r="P41" i="30"/>
  <c r="N41" i="30"/>
  <c r="M41" i="30"/>
  <c r="J41" i="30"/>
  <c r="H41" i="30"/>
  <c r="FR41" i="30" s="1"/>
  <c r="AY40" i="30"/>
  <c r="AS40" i="30"/>
  <c r="AM40" i="30"/>
  <c r="AA40" i="30"/>
  <c r="FR40" i="30" s="1"/>
  <c r="BC39" i="30"/>
  <c r="FR39" i="30" s="1"/>
  <c r="AC39" i="30"/>
  <c r="FF38" i="30"/>
  <c r="FC38" i="30"/>
  <c r="FB38" i="30"/>
  <c r="EZ38" i="30"/>
  <c r="EX38" i="30"/>
  <c r="EV38" i="30"/>
  <c r="EU38" i="30"/>
  <c r="ER38" i="30"/>
  <c r="AY38" i="30"/>
  <c r="AS38" i="30"/>
  <c r="AM38" i="30"/>
  <c r="AD38" i="30"/>
  <c r="Z38" i="30"/>
  <c r="FR38" i="30" s="1"/>
  <c r="BC37" i="30"/>
  <c r="FR37" i="30" s="1"/>
  <c r="AK37" i="30"/>
  <c r="AF37" i="30"/>
  <c r="AE37" i="30"/>
  <c r="AC37" i="30"/>
  <c r="FJ36" i="30"/>
  <c r="AM36" i="30"/>
  <c r="FR36" i="30" s="1"/>
  <c r="BC35" i="30"/>
  <c r="AE35" i="30"/>
  <c r="M35" i="30"/>
  <c r="FR35" i="30" s="1"/>
  <c r="FJ34" i="30"/>
  <c r="EQ34" i="30"/>
  <c r="EP34" i="30"/>
  <c r="EO34" i="30"/>
  <c r="EN34" i="30"/>
  <c r="EM34" i="30"/>
  <c r="EL34" i="30"/>
  <c r="EI34" i="30"/>
  <c r="EH34" i="30"/>
  <c r="EE34" i="30"/>
  <c r="ED34" i="30"/>
  <c r="BD34" i="30"/>
  <c r="AS34" i="30"/>
  <c r="AP34" i="30"/>
  <c r="AM34" i="30"/>
  <c r="AG34" i="30"/>
  <c r="AD34" i="30"/>
  <c r="AA34" i="30"/>
  <c r="Z34" i="30"/>
  <c r="FR34" i="30" s="1"/>
  <c r="X34" i="30"/>
  <c r="W34" i="30"/>
  <c r="AO33" i="30"/>
  <c r="AK33" i="30"/>
  <c r="FR33" i="30" s="1"/>
  <c r="AF33" i="30"/>
  <c r="AE33" i="30"/>
  <c r="EQ32" i="30"/>
  <c r="EO32" i="30"/>
  <c r="EL32" i="30"/>
  <c r="EI32" i="30"/>
  <c r="EH32" i="30"/>
  <c r="AS32" i="30"/>
  <c r="AI32" i="30"/>
  <c r="AA32" i="30"/>
  <c r="Z32" i="30"/>
  <c r="O32" i="30"/>
  <c r="K32" i="30"/>
  <c r="FR32" i="30" s="1"/>
  <c r="BC31" i="30"/>
  <c r="AK31" i="30"/>
  <c r="AE31" i="30"/>
  <c r="N31" i="30"/>
  <c r="FR31" i="30" s="1"/>
  <c r="M31" i="30"/>
  <c r="FJ30" i="30"/>
  <c r="FI30" i="30"/>
  <c r="FR30" i="30" s="1"/>
  <c r="FR29" i="30"/>
  <c r="M29" i="30"/>
  <c r="BC28" i="30"/>
  <c r="AS28" i="30"/>
  <c r="Z28" i="30"/>
  <c r="O28" i="30"/>
  <c r="FR28" i="30" s="1"/>
  <c r="FR27" i="30"/>
  <c r="BC27" i="30"/>
  <c r="AK27" i="30"/>
  <c r="N27" i="30"/>
  <c r="M27" i="30"/>
  <c r="H27" i="30"/>
  <c r="FF26" i="30"/>
  <c r="FC26" i="30"/>
  <c r="FB26" i="30"/>
  <c r="EZ26" i="30"/>
  <c r="EY26" i="30"/>
  <c r="EX26" i="30"/>
  <c r="EV26" i="30"/>
  <c r="EU26" i="30"/>
  <c r="ET26" i="30"/>
  <c r="ER26" i="30"/>
  <c r="EQ26" i="30"/>
  <c r="EO26" i="30"/>
  <c r="EL26" i="30"/>
  <c r="EJ26" i="30"/>
  <c r="AS26" i="30"/>
  <c r="AM26" i="30"/>
  <c r="AD26" i="30"/>
  <c r="Y26" i="30"/>
  <c r="FR26" i="30" s="1"/>
  <c r="AF25" i="30"/>
  <c r="AE25" i="30"/>
  <c r="AC25" i="30"/>
  <c r="N25" i="30"/>
  <c r="FR25" i="30" s="1"/>
  <c r="FE24" i="30"/>
  <c r="FA24" i="30"/>
  <c r="EW24" i="30"/>
  <c r="I24" i="30"/>
  <c r="FR24" i="30" s="1"/>
  <c r="FJ23" i="30"/>
  <c r="FI23" i="30"/>
  <c r="FF23" i="30"/>
  <c r="FC23" i="30"/>
  <c r="FB23" i="30"/>
  <c r="EX23" i="30"/>
  <c r="EV23" i="30"/>
  <c r="EU23" i="30"/>
  <c r="ET23" i="30"/>
  <c r="ER23" i="30"/>
  <c r="EQ23" i="30"/>
  <c r="EP23" i="30"/>
  <c r="EO23" i="30"/>
  <c r="EN23" i="30"/>
  <c r="EM23" i="30"/>
  <c r="EL23" i="30"/>
  <c r="DZ23" i="30"/>
  <c r="DX23" i="30"/>
  <c r="BC23" i="30"/>
  <c r="AS23" i="30"/>
  <c r="AM23" i="30"/>
  <c r="AG23" i="30"/>
  <c r="AD23" i="30"/>
  <c r="AA23" i="30"/>
  <c r="Z23" i="30"/>
  <c r="Y23" i="30"/>
  <c r="X23" i="30"/>
  <c r="U23" i="30"/>
  <c r="T23" i="30"/>
  <c r="R23" i="30"/>
  <c r="FR23" i="30" s="1"/>
  <c r="O23" i="30"/>
  <c r="K23" i="30"/>
  <c r="EC22" i="30"/>
  <c r="EB22" i="30"/>
  <c r="DX22" i="30"/>
  <c r="DW22" i="30"/>
  <c r="BC22" i="30"/>
  <c r="AK22" i="30"/>
  <c r="AF22" i="30"/>
  <c r="AE22" i="30"/>
  <c r="AC22" i="30"/>
  <c r="AB22" i="30"/>
  <c r="N22" i="30"/>
  <c r="M22" i="30"/>
  <c r="J22" i="30"/>
  <c r="H22" i="30"/>
  <c r="FR22" i="30" s="1"/>
  <c r="FJ21" i="30"/>
  <c r="FR21" i="30" s="1"/>
  <c r="EQ21" i="30"/>
  <c r="EO21" i="30"/>
  <c r="EL21" i="30"/>
  <c r="EJ21" i="30"/>
  <c r="EH21" i="30"/>
  <c r="EG21" i="30"/>
  <c r="EF21" i="30"/>
  <c r="AP21" i="30"/>
  <c r="Z21" i="30"/>
  <c r="Y21" i="30"/>
  <c r="AO20" i="30"/>
  <c r="FR20" i="30" s="1"/>
  <c r="AK20" i="30"/>
  <c r="AF20" i="30"/>
  <c r="N20" i="30"/>
  <c r="FE19" i="30"/>
  <c r="FR19" i="30" s="1"/>
  <c r="FA19" i="30"/>
  <c r="EW19" i="30"/>
  <c r="FF18" i="30"/>
  <c r="FC18" i="30"/>
  <c r="FB18" i="30"/>
  <c r="EZ18" i="30"/>
  <c r="EY18" i="30"/>
  <c r="EX18" i="30"/>
  <c r="EV18" i="30"/>
  <c r="EU18" i="30"/>
  <c r="ET18" i="30"/>
  <c r="EQ18" i="30"/>
  <c r="EP18" i="30"/>
  <c r="EO18" i="30"/>
  <c r="EN18" i="30"/>
  <c r="EM18" i="30"/>
  <c r="EL18" i="30"/>
  <c r="BE18" i="30"/>
  <c r="BD18" i="30"/>
  <c r="AY18" i="30"/>
  <c r="AS18" i="30"/>
  <c r="AP18" i="30"/>
  <c r="AM18" i="30"/>
  <c r="AG18" i="30"/>
  <c r="AD18" i="30"/>
  <c r="AA18" i="30"/>
  <c r="Z18" i="30"/>
  <c r="Y18" i="30"/>
  <c r="X18" i="30"/>
  <c r="U18" i="30"/>
  <c r="T18" i="30"/>
  <c r="R18" i="30"/>
  <c r="FR18" i="30" s="1"/>
  <c r="BC17" i="30"/>
  <c r="AK17" i="30"/>
  <c r="FR17" i="30" s="1"/>
  <c r="AF17" i="30"/>
  <c r="AE17" i="30"/>
  <c r="AC17" i="30"/>
  <c r="AB17" i="30"/>
  <c r="AC16" i="30"/>
  <c r="FR16" i="30" s="1"/>
  <c r="FR15" i="30"/>
  <c r="CS15" i="30"/>
  <c r="FB14" i="30"/>
  <c r="EZ14" i="30"/>
  <c r="EY14" i="30"/>
  <c r="EX14" i="30"/>
  <c r="EV14" i="30"/>
  <c r="EU14" i="30"/>
  <c r="ET14" i="30"/>
  <c r="AS14" i="30"/>
  <c r="FR14" i="30" s="1"/>
  <c r="AE13" i="30"/>
  <c r="FR13" i="30" s="1"/>
  <c r="N13" i="30"/>
  <c r="I12" i="30"/>
  <c r="FR12" i="30" s="1"/>
  <c r="FJ11" i="30"/>
  <c r="FI11" i="30"/>
  <c r="DZ11" i="30"/>
  <c r="DX11" i="30"/>
  <c r="O11" i="30"/>
  <c r="K11" i="30"/>
  <c r="FR11" i="30" s="1"/>
  <c r="EC10" i="30"/>
  <c r="EB10" i="30"/>
  <c r="EA10" i="30"/>
  <c r="DY10" i="30"/>
  <c r="DX10" i="30"/>
  <c r="DW10" i="30"/>
  <c r="FR10" i="30" s="1"/>
  <c r="N10" i="30"/>
  <c r="M10" i="30"/>
  <c r="J10" i="30"/>
  <c r="H10" i="30"/>
  <c r="FE9" i="30"/>
  <c r="FA9" i="30"/>
  <c r="EW9" i="30"/>
  <c r="ES9" i="30"/>
  <c r="DD9" i="30"/>
  <c r="CL9" i="30"/>
  <c r="CF9" i="30"/>
  <c r="FR9" i="30" s="1"/>
  <c r="CE9" i="30"/>
  <c r="BO9" i="30"/>
  <c r="FJ8" i="30"/>
  <c r="FI8" i="30"/>
  <c r="FF8" i="30"/>
  <c r="FD8" i="30"/>
  <c r="FC8" i="30"/>
  <c r="FB8" i="30"/>
  <c r="EZ8" i="30"/>
  <c r="EY8" i="30"/>
  <c r="EX8" i="30"/>
  <c r="EV8" i="30"/>
  <c r="EU8" i="30"/>
  <c r="ET8" i="30"/>
  <c r="ER8" i="30"/>
  <c r="EQ8" i="30"/>
  <c r="EP8" i="30"/>
  <c r="EO8" i="30"/>
  <c r="EN8" i="30"/>
  <c r="EM8" i="30"/>
  <c r="EL8" i="30"/>
  <c r="EI8" i="30"/>
  <c r="EH8" i="30"/>
  <c r="EE8" i="30"/>
  <c r="ED8" i="30"/>
  <c r="DT8" i="30"/>
  <c r="DL8" i="30"/>
  <c r="DJ8" i="30"/>
  <c r="DC8" i="30"/>
  <c r="DB8" i="30"/>
  <c r="DA8" i="30"/>
  <c r="CZ8" i="30"/>
  <c r="CY8" i="30"/>
  <c r="CX8" i="30"/>
  <c r="CW8" i="30"/>
  <c r="CT8" i="30"/>
  <c r="CS8" i="30"/>
  <c r="CK8" i="30"/>
  <c r="CJ8" i="30"/>
  <c r="CI8" i="30"/>
  <c r="CH8" i="30"/>
  <c r="CG8" i="30"/>
  <c r="CD8" i="30"/>
  <c r="CC8" i="30"/>
  <c r="CB8" i="30"/>
  <c r="CA8" i="30"/>
  <c r="BZ8" i="30"/>
  <c r="BY8" i="30"/>
  <c r="BX8" i="30"/>
  <c r="BW8" i="30"/>
  <c r="BV8" i="30"/>
  <c r="BU8" i="30"/>
  <c r="BS8" i="30"/>
  <c r="BR8" i="30"/>
  <c r="BQ8" i="30"/>
  <c r="BP8" i="30"/>
  <c r="BN8" i="30"/>
  <c r="BM8" i="30"/>
  <c r="BL8" i="30"/>
  <c r="BK8" i="30"/>
  <c r="BH8" i="30"/>
  <c r="BG8" i="30"/>
  <c r="BE8" i="30"/>
  <c r="BD8" i="30"/>
  <c r="BC8" i="30"/>
  <c r="BB8" i="30"/>
  <c r="BA8" i="30"/>
  <c r="AZ8" i="30"/>
  <c r="AY8" i="30"/>
  <c r="AS8" i="30"/>
  <c r="AR8" i="30"/>
  <c r="AQ8" i="30"/>
  <c r="AP8" i="30"/>
  <c r="AM8" i="30"/>
  <c r="AL8" i="30"/>
  <c r="AJ8" i="30"/>
  <c r="AI8" i="30"/>
  <c r="AH8" i="30"/>
  <c r="AG8" i="30"/>
  <c r="AA8" i="30"/>
  <c r="Z8" i="30"/>
  <c r="Y8" i="30"/>
  <c r="X8" i="30"/>
  <c r="U8" i="30"/>
  <c r="T8" i="30"/>
  <c r="R8" i="30"/>
  <c r="FR8" i="30" s="1"/>
  <c r="DM7" i="30"/>
  <c r="BC7" i="30"/>
  <c r="AX7" i="30"/>
  <c r="AW7" i="30"/>
  <c r="AO7" i="30"/>
  <c r="AK7" i="30"/>
  <c r="AF7" i="30"/>
  <c r="AE7" i="30"/>
  <c r="FR7" i="30" s="1"/>
  <c r="FR89" i="30" s="1"/>
  <c r="AC7" i="30"/>
  <c r="AB7" i="30"/>
  <c r="FQ108" i="29" l="1"/>
  <c r="FQ107" i="29"/>
  <c r="FQ106" i="29"/>
  <c r="FQ105" i="29"/>
  <c r="FQ104" i="29"/>
  <c r="FQ103" i="29"/>
  <c r="DI108" i="29"/>
  <c r="DD108" i="29"/>
  <c r="DC108" i="29"/>
  <c r="CZ108" i="29"/>
  <c r="CX108" i="29"/>
  <c r="CS108" i="29"/>
  <c r="CL108" i="29"/>
  <c r="CC108" i="29"/>
  <c r="CB108" i="29"/>
  <c r="BY108" i="29"/>
  <c r="BM108" i="29"/>
  <c r="BC108" i="29"/>
  <c r="AY108" i="29"/>
  <c r="AT108" i="29"/>
  <c r="AL108" i="29"/>
  <c r="AD108" i="29"/>
  <c r="AB108" i="29"/>
  <c r="U108" i="29"/>
  <c r="O108" i="29"/>
  <c r="N108" i="29"/>
  <c r="FP101" i="29"/>
  <c r="FO101" i="29"/>
  <c r="FN101" i="29"/>
  <c r="FM101" i="29"/>
  <c r="FL101" i="29"/>
  <c r="FK101" i="29"/>
  <c r="FJ101" i="29"/>
  <c r="FI101" i="29"/>
  <c r="FH101" i="29"/>
  <c r="FG101" i="29"/>
  <c r="FF101" i="29"/>
  <c r="FE101" i="29"/>
  <c r="FD101" i="29"/>
  <c r="FC101" i="29"/>
  <c r="FB101" i="29"/>
  <c r="FA101" i="29"/>
  <c r="EZ101" i="29"/>
  <c r="EY101" i="29"/>
  <c r="EX101" i="29"/>
  <c r="EW101" i="29"/>
  <c r="EV101" i="29"/>
  <c r="EU101" i="29"/>
  <c r="ET101" i="29"/>
  <c r="ES101" i="29"/>
  <c r="ER101" i="29"/>
  <c r="EQ101" i="29"/>
  <c r="EP101" i="29"/>
  <c r="EO101" i="29"/>
  <c r="EN101" i="29"/>
  <c r="EM101" i="29"/>
  <c r="EL101" i="29"/>
  <c r="EK101" i="29"/>
  <c r="EJ101" i="29"/>
  <c r="EI101" i="29"/>
  <c r="EH101" i="29"/>
  <c r="EG101" i="29"/>
  <c r="EF101" i="29"/>
  <c r="EE101" i="29"/>
  <c r="ED101" i="29"/>
  <c r="EC101" i="29"/>
  <c r="EB101" i="29"/>
  <c r="EA101" i="29"/>
  <c r="DZ101" i="29"/>
  <c r="DY101" i="29"/>
  <c r="DX101" i="29"/>
  <c r="DW101" i="29"/>
  <c r="DV101" i="29"/>
  <c r="DU101" i="29"/>
  <c r="DT101" i="29"/>
  <c r="DS101" i="29"/>
  <c r="DR101" i="29"/>
  <c r="DQ101" i="29"/>
  <c r="DP101" i="29"/>
  <c r="DO101" i="29"/>
  <c r="DN101" i="29"/>
  <c r="DM101" i="29"/>
  <c r="DL101" i="29"/>
  <c r="DK101" i="29"/>
  <c r="DJ101" i="29"/>
  <c r="DI101" i="29"/>
  <c r="DH101" i="29"/>
  <c r="DG101" i="29"/>
  <c r="DF101" i="29"/>
  <c r="DE101" i="29"/>
  <c r="DD101" i="29"/>
  <c r="DC101" i="29"/>
  <c r="DB101" i="29"/>
  <c r="DA101" i="29"/>
  <c r="CZ101" i="29"/>
  <c r="CY101" i="29"/>
  <c r="CX101" i="29"/>
  <c r="CW101" i="29"/>
  <c r="CV101" i="29"/>
  <c r="CU101" i="29"/>
  <c r="CT101" i="29"/>
  <c r="CS101" i="29"/>
  <c r="CR101" i="29"/>
  <c r="CQ101" i="29"/>
  <c r="CP101" i="29"/>
  <c r="CO101" i="29"/>
  <c r="CN101" i="29"/>
  <c r="CM101" i="29"/>
  <c r="CL101" i="29"/>
  <c r="CK101" i="29"/>
  <c r="CJ101" i="29"/>
  <c r="CI101" i="29"/>
  <c r="CH101" i="29"/>
  <c r="CG101" i="29"/>
  <c r="CF101" i="29"/>
  <c r="CE101" i="29"/>
  <c r="CD101" i="29"/>
  <c r="CC101" i="29"/>
  <c r="CB101" i="29"/>
  <c r="CA101" i="29"/>
  <c r="BZ101" i="29"/>
  <c r="BY101" i="29"/>
  <c r="BX101" i="29"/>
  <c r="BW101" i="29"/>
  <c r="BV101" i="29"/>
  <c r="BU101" i="29"/>
  <c r="BT101" i="29"/>
  <c r="BS101" i="29"/>
  <c r="BR101" i="29"/>
  <c r="BQ101" i="29"/>
  <c r="BP101" i="29"/>
  <c r="BO101" i="29"/>
  <c r="BN101" i="29"/>
  <c r="BM101" i="29"/>
  <c r="BL101" i="29"/>
  <c r="BK101" i="29"/>
  <c r="BJ101" i="29"/>
  <c r="BI101" i="29"/>
  <c r="BH101" i="29"/>
  <c r="BG101" i="29"/>
  <c r="BF101" i="29"/>
  <c r="BE101" i="29"/>
  <c r="BD101" i="29"/>
  <c r="BC101" i="29"/>
  <c r="BB101" i="29"/>
  <c r="BA101" i="29"/>
  <c r="AZ101" i="29"/>
  <c r="AY101" i="29"/>
  <c r="AX101" i="29"/>
  <c r="AW101" i="29"/>
  <c r="AV101" i="29"/>
  <c r="AU101" i="29"/>
  <c r="AT101" i="29"/>
  <c r="AS101" i="29"/>
  <c r="AR101" i="29"/>
  <c r="AQ101" i="29"/>
  <c r="AP101" i="29"/>
  <c r="AO101" i="29"/>
  <c r="AN101" i="29"/>
  <c r="AM101" i="29"/>
  <c r="AL101" i="29"/>
  <c r="AK101" i="29"/>
  <c r="AJ101" i="29"/>
  <c r="AI101" i="29"/>
  <c r="AH101" i="29"/>
  <c r="AG101" i="29"/>
  <c r="AF101" i="29"/>
  <c r="AE101" i="29"/>
  <c r="AD101" i="29"/>
  <c r="AC101" i="29"/>
  <c r="AB101" i="29"/>
  <c r="AA101" i="29"/>
  <c r="Z101" i="29"/>
  <c r="Y101" i="29"/>
  <c r="X101" i="29"/>
  <c r="W101" i="29"/>
  <c r="V101" i="29"/>
  <c r="U101" i="29"/>
  <c r="T101" i="29"/>
  <c r="S101" i="29"/>
  <c r="R101" i="29"/>
  <c r="Q101" i="29"/>
  <c r="P101" i="29"/>
  <c r="O101" i="29"/>
  <c r="N101" i="29"/>
  <c r="M101" i="29"/>
  <c r="L101" i="29"/>
  <c r="K101" i="29"/>
  <c r="J101" i="29"/>
  <c r="I101" i="29"/>
  <c r="H101" i="29"/>
  <c r="FQ100" i="29"/>
  <c r="FQ98" i="29"/>
  <c r="FQ101" i="29" s="1"/>
  <c r="FQ99" i="29"/>
  <c r="AA97" i="29"/>
  <c r="X97" i="29"/>
  <c r="FQ97" i="29" s="1"/>
  <c r="FQ96" i="29"/>
  <c r="AD96" i="29"/>
  <c r="FQ95" i="29"/>
  <c r="AT95" i="29"/>
  <c r="AC95" i="29"/>
  <c r="AG94" i="29"/>
  <c r="FQ94" i="29" s="1"/>
  <c r="DY93" i="29"/>
  <c r="FQ93" i="29" s="1"/>
  <c r="FI92" i="29"/>
  <c r="FH92" i="29"/>
  <c r="EP92" i="29"/>
  <c r="EN92" i="29"/>
  <c r="EM92" i="29"/>
  <c r="EL92" i="29"/>
  <c r="EK92" i="29"/>
  <c r="EI92" i="29"/>
  <c r="EH92" i="29"/>
  <c r="EG92" i="29"/>
  <c r="EF92" i="29"/>
  <c r="BE92" i="29"/>
  <c r="AS92" i="29"/>
  <c r="AR92" i="29"/>
  <c r="AB92" i="29"/>
  <c r="AA92" i="29"/>
  <c r="P92" i="29"/>
  <c r="FQ92" i="29" s="1"/>
  <c r="O92" i="29"/>
  <c r="FF91" i="29"/>
  <c r="AN91" i="29"/>
  <c r="AG91" i="29"/>
  <c r="AF91" i="29"/>
  <c r="AD91" i="29"/>
  <c r="K91" i="29"/>
  <c r="I91" i="29"/>
  <c r="FQ91" i="29" s="1"/>
  <c r="AY90" i="29"/>
  <c r="AT90" i="29"/>
  <c r="FQ90" i="29" s="1"/>
  <c r="AB90" i="29"/>
  <c r="BC89" i="29"/>
  <c r="AN89" i="29"/>
  <c r="AD89" i="29"/>
  <c r="FQ89" i="29" s="1"/>
  <c r="FQ88" i="29"/>
  <c r="AT88" i="29"/>
  <c r="AA88" i="29"/>
  <c r="AQ87" i="29"/>
  <c r="AP87" i="29"/>
  <c r="AG87" i="29"/>
  <c r="FQ87" i="29" s="1"/>
  <c r="AF87" i="29"/>
  <c r="AT86" i="29"/>
  <c r="U86" i="29"/>
  <c r="L86" i="29"/>
  <c r="FQ86" i="29" s="1"/>
  <c r="FQ85" i="29"/>
  <c r="AD85" i="29"/>
  <c r="FD84" i="29"/>
  <c r="EZ84" i="29"/>
  <c r="FQ84" i="29" s="1"/>
  <c r="EV84" i="29"/>
  <c r="FE83" i="29"/>
  <c r="FB83" i="29"/>
  <c r="FA83" i="29"/>
  <c r="EY83" i="29"/>
  <c r="EX83" i="29"/>
  <c r="EW83" i="29"/>
  <c r="EU83" i="29"/>
  <c r="ET83" i="29"/>
  <c r="EP83" i="29"/>
  <c r="EO83" i="29"/>
  <c r="EN83" i="29"/>
  <c r="EM83" i="29"/>
  <c r="EL83" i="29"/>
  <c r="EH83" i="29"/>
  <c r="EG83" i="29"/>
  <c r="ED83" i="29"/>
  <c r="EC83" i="29"/>
  <c r="DK83" i="29"/>
  <c r="DC83" i="29"/>
  <c r="DB83" i="29"/>
  <c r="DA83" i="29"/>
  <c r="CW83" i="29"/>
  <c r="CT83" i="29"/>
  <c r="CK83" i="29"/>
  <c r="CJ83" i="29"/>
  <c r="CI83" i="29"/>
  <c r="CH83" i="29"/>
  <c r="CD83" i="29"/>
  <c r="CC83" i="29"/>
  <c r="CB83" i="29"/>
  <c r="CA83" i="29"/>
  <c r="BZ83" i="29"/>
  <c r="BY83" i="29"/>
  <c r="BW83" i="29"/>
  <c r="BU83" i="29"/>
  <c r="BT83" i="29"/>
  <c r="BR83" i="29"/>
  <c r="BQ83" i="29"/>
  <c r="BP83" i="29"/>
  <c r="BN83" i="29"/>
  <c r="BM83" i="29"/>
  <c r="BL83" i="29"/>
  <c r="BK83" i="29"/>
  <c r="AY83" i="29"/>
  <c r="AT83" i="29"/>
  <c r="AH83" i="29"/>
  <c r="AE83" i="29"/>
  <c r="AC83" i="29"/>
  <c r="AB83" i="29"/>
  <c r="AA83" i="29"/>
  <c r="Z83" i="29"/>
  <c r="Y83" i="29"/>
  <c r="X83" i="29"/>
  <c r="V83" i="29"/>
  <c r="FQ83" i="29" s="1"/>
  <c r="U83" i="29"/>
  <c r="S83" i="29"/>
  <c r="P83" i="29"/>
  <c r="O83" i="29"/>
  <c r="N83" i="29"/>
  <c r="BC82" i="29"/>
  <c r="AN82" i="29"/>
  <c r="AL82" i="29"/>
  <c r="AG82" i="29"/>
  <c r="AF82" i="29"/>
  <c r="AD82" i="29"/>
  <c r="FQ82" i="29" s="1"/>
  <c r="T82" i="29"/>
  <c r="Q82" i="29"/>
  <c r="FD81" i="29"/>
  <c r="EZ81" i="29"/>
  <c r="EV81" i="29"/>
  <c r="ER81" i="29"/>
  <c r="DD81" i="29"/>
  <c r="J81" i="29"/>
  <c r="FQ81" i="29" s="1"/>
  <c r="FI80" i="29"/>
  <c r="FH80" i="29"/>
  <c r="FE80" i="29"/>
  <c r="FC80" i="29"/>
  <c r="FB80" i="29"/>
  <c r="FA80" i="29"/>
  <c r="EY80" i="29"/>
  <c r="EX80" i="29"/>
  <c r="EW80" i="29"/>
  <c r="EU80" i="29"/>
  <c r="ET80" i="29"/>
  <c r="ES80" i="29"/>
  <c r="EQ80" i="29"/>
  <c r="EP80" i="29"/>
  <c r="EO80" i="29"/>
  <c r="EN80" i="29"/>
  <c r="EK80" i="29"/>
  <c r="EJ80" i="29"/>
  <c r="EI80" i="29"/>
  <c r="EH80" i="29"/>
  <c r="EG80" i="29"/>
  <c r="ED80" i="29"/>
  <c r="EC80" i="29"/>
  <c r="DY80" i="29"/>
  <c r="DK80" i="29"/>
  <c r="DC80" i="29"/>
  <c r="DB80" i="29"/>
  <c r="DA80" i="29"/>
  <c r="CZ80" i="29"/>
  <c r="CY80" i="29"/>
  <c r="CX80" i="29"/>
  <c r="CW80" i="29"/>
  <c r="CT80" i="29"/>
  <c r="CS80" i="29"/>
  <c r="CM80" i="29"/>
  <c r="CL80" i="29"/>
  <c r="CK80" i="29"/>
  <c r="CJ80" i="29"/>
  <c r="CI80" i="29"/>
  <c r="CH80" i="29"/>
  <c r="CG80" i="29"/>
  <c r="CF80" i="29"/>
  <c r="CD80" i="29"/>
  <c r="CC80" i="29"/>
  <c r="CB80" i="29"/>
  <c r="CA80" i="29"/>
  <c r="BZ80" i="29"/>
  <c r="BY80" i="29"/>
  <c r="BW80" i="29"/>
  <c r="BV80" i="29"/>
  <c r="BU80" i="29"/>
  <c r="BT80" i="29"/>
  <c r="BR80" i="29"/>
  <c r="BQ80" i="29"/>
  <c r="BP80" i="29"/>
  <c r="BO80" i="29"/>
  <c r="BN80" i="29"/>
  <c r="BM80" i="29"/>
  <c r="BL80" i="29"/>
  <c r="BK80" i="29"/>
  <c r="BJ80" i="29"/>
  <c r="AY80" i="29"/>
  <c r="AT80" i="29"/>
  <c r="AI80" i="29"/>
  <c r="AH80" i="29"/>
  <c r="AE80" i="29"/>
  <c r="AC80" i="29"/>
  <c r="AB80" i="29"/>
  <c r="AA80" i="29"/>
  <c r="Y80" i="29"/>
  <c r="X80" i="29"/>
  <c r="W80" i="29"/>
  <c r="V80" i="29"/>
  <c r="U80" i="29"/>
  <c r="FQ80" i="29" s="1"/>
  <c r="S80" i="29"/>
  <c r="O80" i="29"/>
  <c r="N80" i="29"/>
  <c r="L80" i="29"/>
  <c r="EA79" i="29"/>
  <c r="DZ79" i="29"/>
  <c r="DX79" i="29"/>
  <c r="BC79" i="29"/>
  <c r="AN79" i="29"/>
  <c r="AL79" i="29"/>
  <c r="AG79" i="29"/>
  <c r="AF79" i="29"/>
  <c r="AD79" i="29"/>
  <c r="T79" i="29"/>
  <c r="Q79" i="29"/>
  <c r="K79" i="29"/>
  <c r="I79" i="29"/>
  <c r="FQ79" i="29" s="1"/>
  <c r="DY78" i="29"/>
  <c r="AY78" i="29"/>
  <c r="AT78" i="29"/>
  <c r="AE78" i="29"/>
  <c r="AA78" i="29"/>
  <c r="Y78" i="29"/>
  <c r="X78" i="29"/>
  <c r="U78" i="29"/>
  <c r="O78" i="29"/>
  <c r="N78" i="29"/>
  <c r="FQ78" i="29" s="1"/>
  <c r="BC77" i="29"/>
  <c r="AN77" i="29"/>
  <c r="AL77" i="29"/>
  <c r="AG77" i="29"/>
  <c r="AF77" i="29"/>
  <c r="AD77" i="29"/>
  <c r="FQ77" i="29" s="1"/>
  <c r="K77" i="29"/>
  <c r="I77" i="29"/>
  <c r="AY76" i="29"/>
  <c r="AT76" i="29"/>
  <c r="X76" i="29"/>
  <c r="U76" i="29"/>
  <c r="O76" i="29"/>
  <c r="FQ76" i="29" s="1"/>
  <c r="EB75" i="29"/>
  <c r="DV75" i="29"/>
  <c r="BC75" i="29"/>
  <c r="FQ75" i="29" s="1"/>
  <c r="AD75" i="29"/>
  <c r="Q75" i="29"/>
  <c r="AY74" i="29"/>
  <c r="AT74" i="29"/>
  <c r="AB74" i="29"/>
  <c r="FQ74" i="29" s="1"/>
  <c r="BC73" i="29"/>
  <c r="AN73" i="29"/>
  <c r="AD73" i="29"/>
  <c r="FQ73" i="29" s="1"/>
  <c r="FQ72" i="29"/>
  <c r="AY72" i="29"/>
  <c r="AT72" i="29"/>
  <c r="AB72" i="29"/>
  <c r="BC71" i="29"/>
  <c r="AN71" i="29"/>
  <c r="AD71" i="29"/>
  <c r="FQ71" i="29" s="1"/>
  <c r="J70" i="29"/>
  <c r="FQ70" i="29" s="1"/>
  <c r="EP69" i="29"/>
  <c r="EN69" i="29"/>
  <c r="EM69" i="29"/>
  <c r="EK69" i="29"/>
  <c r="EI69" i="29"/>
  <c r="EH69" i="29"/>
  <c r="EG69" i="29"/>
  <c r="DY69" i="29"/>
  <c r="BE69" i="29"/>
  <c r="AT69" i="29"/>
  <c r="AB69" i="29"/>
  <c r="AA69" i="29"/>
  <c r="Z69" i="29"/>
  <c r="U69" i="29"/>
  <c r="S69" i="29"/>
  <c r="FQ69" i="29" s="1"/>
  <c r="N69" i="29"/>
  <c r="BC68" i="29"/>
  <c r="AQ68" i="29"/>
  <c r="AN68" i="29"/>
  <c r="AG68" i="29"/>
  <c r="AF68" i="29"/>
  <c r="AD68" i="29"/>
  <c r="K68" i="29"/>
  <c r="I68" i="29"/>
  <c r="FQ68" i="29" s="1"/>
  <c r="FQ67" i="29"/>
  <c r="J67" i="29"/>
  <c r="EP66" i="29"/>
  <c r="EN66" i="29"/>
  <c r="EM66" i="29"/>
  <c r="EK66" i="29"/>
  <c r="EI66" i="29"/>
  <c r="EH66" i="29"/>
  <c r="EG66" i="29"/>
  <c r="EF66" i="29"/>
  <c r="EE66" i="29"/>
  <c r="DY66" i="29"/>
  <c r="BE66" i="29"/>
  <c r="AT66" i="29"/>
  <c r="AA66" i="29"/>
  <c r="Z66" i="29"/>
  <c r="U66" i="29"/>
  <c r="S66" i="29"/>
  <c r="FQ66" i="29" s="1"/>
  <c r="BC65" i="29"/>
  <c r="AQ65" i="29"/>
  <c r="AN65" i="29"/>
  <c r="AG65" i="29"/>
  <c r="AF65" i="29"/>
  <c r="AD65" i="29"/>
  <c r="FQ65" i="29" s="1"/>
  <c r="K65" i="29"/>
  <c r="I65" i="29"/>
  <c r="FQ64" i="29"/>
  <c r="J64" i="29"/>
  <c r="FI63" i="29"/>
  <c r="FH63" i="29"/>
  <c r="EP63" i="29"/>
  <c r="EN63" i="29"/>
  <c r="EM63" i="29"/>
  <c r="EK63" i="29"/>
  <c r="EI63" i="29"/>
  <c r="EH63" i="29"/>
  <c r="EG63" i="29"/>
  <c r="AT63" i="29"/>
  <c r="AB63" i="29"/>
  <c r="AA63" i="29"/>
  <c r="Z63" i="29"/>
  <c r="U63" i="29"/>
  <c r="S63" i="29"/>
  <c r="P63" i="29"/>
  <c r="O63" i="29"/>
  <c r="N63" i="29"/>
  <c r="FQ63" i="29" s="1"/>
  <c r="EB62" i="29"/>
  <c r="EA62" i="29"/>
  <c r="DX62" i="29"/>
  <c r="DW62" i="29"/>
  <c r="BC62" i="29"/>
  <c r="AW62" i="29"/>
  <c r="AL62" i="29"/>
  <c r="AG62" i="29"/>
  <c r="AF62" i="29"/>
  <c r="AD62" i="29"/>
  <c r="K62" i="29"/>
  <c r="I62" i="29"/>
  <c r="FQ62" i="29" s="1"/>
  <c r="EP61" i="29"/>
  <c r="EN61" i="29"/>
  <c r="EK61" i="29"/>
  <c r="EH61" i="29"/>
  <c r="EG61" i="29"/>
  <c r="AY61" i="29"/>
  <c r="AT61" i="29"/>
  <c r="AJ61" i="29"/>
  <c r="AB61" i="29"/>
  <c r="AA61" i="29"/>
  <c r="P61" i="29"/>
  <c r="O61" i="29"/>
  <c r="N61" i="29"/>
  <c r="L61" i="29"/>
  <c r="FQ61" i="29" s="1"/>
  <c r="BC60" i="29"/>
  <c r="AL60" i="29"/>
  <c r="AG60" i="29"/>
  <c r="AF60" i="29"/>
  <c r="AD60" i="29"/>
  <c r="K60" i="29"/>
  <c r="I60" i="29"/>
  <c r="FQ60" i="29" s="1"/>
  <c r="FQ59" i="29"/>
  <c r="AT59" i="29"/>
  <c r="AJ59" i="29"/>
  <c r="AH59" i="29"/>
  <c r="X59" i="29"/>
  <c r="U59" i="29"/>
  <c r="O59" i="29"/>
  <c r="AQ58" i="29"/>
  <c r="AP58" i="29"/>
  <c r="AN58" i="29"/>
  <c r="AL58" i="29"/>
  <c r="AF58" i="29"/>
  <c r="FQ58" i="29" s="1"/>
  <c r="FD57" i="29"/>
  <c r="EZ57" i="29"/>
  <c r="EV57" i="29"/>
  <c r="ER57" i="29"/>
  <c r="DD57" i="29"/>
  <c r="FQ57" i="29" s="1"/>
  <c r="FI56" i="29"/>
  <c r="FH56" i="29"/>
  <c r="FE56" i="29"/>
  <c r="FC56" i="29"/>
  <c r="FB56" i="29"/>
  <c r="FA56" i="29"/>
  <c r="EY56" i="29"/>
  <c r="EX56" i="29"/>
  <c r="EW56" i="29"/>
  <c r="EU56" i="29"/>
  <c r="ET56" i="29"/>
  <c r="ES56" i="29"/>
  <c r="EQ56" i="29"/>
  <c r="EP56" i="29"/>
  <c r="EO56" i="29"/>
  <c r="EN56" i="29"/>
  <c r="EK56" i="29"/>
  <c r="EJ56" i="29"/>
  <c r="EI56" i="29"/>
  <c r="EH56" i="29"/>
  <c r="EG56" i="29"/>
  <c r="ED56" i="29"/>
  <c r="EC56" i="29"/>
  <c r="DK56" i="29"/>
  <c r="DC56" i="29"/>
  <c r="DB56" i="29"/>
  <c r="DA56" i="29"/>
  <c r="CZ56" i="29"/>
  <c r="CY56" i="29"/>
  <c r="CX56" i="29"/>
  <c r="CW56" i="29"/>
  <c r="CT56" i="29"/>
  <c r="CS56" i="29"/>
  <c r="CM56" i="29"/>
  <c r="CL56" i="29"/>
  <c r="CK56" i="29"/>
  <c r="CJ56" i="29"/>
  <c r="CI56" i="29"/>
  <c r="CH56" i="29"/>
  <c r="CG56" i="29"/>
  <c r="CF56" i="29"/>
  <c r="CD56" i="29"/>
  <c r="CC56" i="29"/>
  <c r="CB56" i="29"/>
  <c r="CA56" i="29"/>
  <c r="BZ56" i="29"/>
  <c r="BY56" i="29"/>
  <c r="BW56" i="29"/>
  <c r="BV56" i="29"/>
  <c r="BU56" i="29"/>
  <c r="BT56" i="29"/>
  <c r="BR56" i="29"/>
  <c r="BQ56" i="29"/>
  <c r="BP56" i="29"/>
  <c r="BO56" i="29"/>
  <c r="BN56" i="29"/>
  <c r="BM56" i="29"/>
  <c r="BL56" i="29"/>
  <c r="BK56" i="29"/>
  <c r="BJ56" i="29"/>
  <c r="BD56" i="29"/>
  <c r="AY56" i="29"/>
  <c r="AV56" i="29"/>
  <c r="AT56" i="29"/>
  <c r="AS56" i="29"/>
  <c r="AR56" i="29"/>
  <c r="AK56" i="29"/>
  <c r="AI56" i="29"/>
  <c r="AH56" i="29"/>
  <c r="AG56" i="29"/>
  <c r="AE56" i="29"/>
  <c r="AC56" i="29"/>
  <c r="AB56" i="29"/>
  <c r="AA56" i="29"/>
  <c r="Y56" i="29"/>
  <c r="X56" i="29"/>
  <c r="W56" i="29"/>
  <c r="V56" i="29"/>
  <c r="U56" i="29"/>
  <c r="S56" i="29"/>
  <c r="P56" i="29"/>
  <c r="O56" i="29"/>
  <c r="N56" i="29"/>
  <c r="FQ56" i="29" s="1"/>
  <c r="BC55" i="29"/>
  <c r="AW55" i="29"/>
  <c r="AP55" i="29"/>
  <c r="AN55" i="29"/>
  <c r="AL55" i="29"/>
  <c r="AG55" i="29"/>
  <c r="AF55" i="29"/>
  <c r="AD55" i="29"/>
  <c r="T55" i="29"/>
  <c r="Q55" i="29"/>
  <c r="K55" i="29"/>
  <c r="I55" i="29"/>
  <c r="FQ55" i="29" s="1"/>
  <c r="AH54" i="29"/>
  <c r="U54" i="29"/>
  <c r="M54" i="29"/>
  <c r="FQ54" i="29" s="1"/>
  <c r="FQ53" i="29"/>
  <c r="AP53" i="29"/>
  <c r="Q53" i="29"/>
  <c r="AY52" i="29"/>
  <c r="AT52" i="29"/>
  <c r="AB52" i="29"/>
  <c r="FQ52" i="29" s="1"/>
  <c r="BC51" i="29"/>
  <c r="AN51" i="29"/>
  <c r="AD51" i="29"/>
  <c r="FQ51" i="29" s="1"/>
  <c r="FQ50" i="29"/>
  <c r="N50" i="29"/>
  <c r="BC49" i="29"/>
  <c r="AQ49" i="29"/>
  <c r="AP49" i="29"/>
  <c r="AF49" i="29"/>
  <c r="FQ49" i="29" s="1"/>
  <c r="FI48" i="29"/>
  <c r="EP48" i="29"/>
  <c r="EO48" i="29"/>
  <c r="EN48" i="29"/>
  <c r="EM48" i="29"/>
  <c r="EL48" i="29"/>
  <c r="EK48" i="29"/>
  <c r="EH48" i="29"/>
  <c r="EG48" i="29"/>
  <c r="ED48" i="29"/>
  <c r="EC48" i="29"/>
  <c r="AT48" i="29"/>
  <c r="AH48" i="29"/>
  <c r="AE48" i="29"/>
  <c r="AB48" i="29"/>
  <c r="AA48" i="29"/>
  <c r="Y48" i="29"/>
  <c r="X48" i="29"/>
  <c r="FQ48" i="29" s="1"/>
  <c r="AQ47" i="29"/>
  <c r="AP47" i="29"/>
  <c r="AN47" i="29"/>
  <c r="AL47" i="29"/>
  <c r="AG47" i="29"/>
  <c r="FQ47" i="29" s="1"/>
  <c r="AF47" i="29"/>
  <c r="DA46" i="29"/>
  <c r="CT46" i="29"/>
  <c r="CC46" i="29"/>
  <c r="BQ46" i="29"/>
  <c r="FQ46" i="29" s="1"/>
  <c r="FQ45" i="29"/>
  <c r="BC45" i="29"/>
  <c r="AD45" i="29"/>
  <c r="EP44" i="29"/>
  <c r="EN44" i="29"/>
  <c r="EK44" i="29"/>
  <c r="EH44" i="29"/>
  <c r="EG44" i="29"/>
  <c r="AT44" i="29"/>
  <c r="AJ44" i="29"/>
  <c r="AB44" i="29"/>
  <c r="AA44" i="29"/>
  <c r="P44" i="29"/>
  <c r="O44" i="29"/>
  <c r="N44" i="29"/>
  <c r="FQ44" i="29" s="1"/>
  <c r="BC43" i="29"/>
  <c r="AL43" i="29"/>
  <c r="AF43" i="29"/>
  <c r="FQ43" i="29" s="1"/>
  <c r="FI42" i="29"/>
  <c r="FH42" i="29"/>
  <c r="N42" i="29"/>
  <c r="FQ42" i="29" s="1"/>
  <c r="FQ41" i="29"/>
  <c r="AT40" i="29"/>
  <c r="AA40" i="29"/>
  <c r="P40" i="29"/>
  <c r="O40" i="29"/>
  <c r="FQ40" i="29" s="1"/>
  <c r="N40" i="29"/>
  <c r="BC39" i="29"/>
  <c r="AL39" i="29"/>
  <c r="I39" i="29"/>
  <c r="FQ39" i="29" s="1"/>
  <c r="FE38" i="29"/>
  <c r="FB38" i="29"/>
  <c r="FA38" i="29"/>
  <c r="EY38" i="29"/>
  <c r="EX38" i="29"/>
  <c r="EW38" i="29"/>
  <c r="EU38" i="29"/>
  <c r="ET38" i="29"/>
  <c r="ES38" i="29"/>
  <c r="EQ38" i="29"/>
  <c r="EP38" i="29"/>
  <c r="EN38" i="29"/>
  <c r="FQ38" i="29" s="1"/>
  <c r="EK38" i="29"/>
  <c r="EI38" i="29"/>
  <c r="AT38" i="29"/>
  <c r="AE38" i="29"/>
  <c r="Z38" i="29"/>
  <c r="AN37" i="29"/>
  <c r="AG37" i="29"/>
  <c r="AF37" i="29"/>
  <c r="AD37" i="29"/>
  <c r="FQ37" i="29" s="1"/>
  <c r="BE36" i="29"/>
  <c r="FQ36" i="29" s="1"/>
  <c r="AT36" i="29"/>
  <c r="AA36" i="29"/>
  <c r="BC35" i="29"/>
  <c r="AG35" i="29"/>
  <c r="AD35" i="29"/>
  <c r="FQ35" i="29" s="1"/>
  <c r="AT34" i="29"/>
  <c r="AB34" i="29"/>
  <c r="Y34" i="29"/>
  <c r="FQ34" i="29" s="1"/>
  <c r="FD33" i="29"/>
  <c r="FQ33" i="29" s="1"/>
  <c r="EZ33" i="29"/>
  <c r="EV33" i="29"/>
  <c r="J33" i="29"/>
  <c r="FI32" i="29"/>
  <c r="FH32" i="29"/>
  <c r="FE32" i="29"/>
  <c r="FB32" i="29"/>
  <c r="FA32" i="29"/>
  <c r="EW32" i="29"/>
  <c r="EU32" i="29"/>
  <c r="ET32" i="29"/>
  <c r="ES32" i="29"/>
  <c r="EQ32" i="29"/>
  <c r="EP32" i="29"/>
  <c r="EO32" i="29"/>
  <c r="EN32" i="29"/>
  <c r="EM32" i="29"/>
  <c r="EL32" i="29"/>
  <c r="EK32" i="29"/>
  <c r="DY32" i="29"/>
  <c r="AT32" i="29"/>
  <c r="AH32" i="29"/>
  <c r="AE32" i="29"/>
  <c r="AC32" i="29"/>
  <c r="AB32" i="29"/>
  <c r="AA32" i="29"/>
  <c r="Z32" i="29"/>
  <c r="Y32" i="29"/>
  <c r="V32" i="29"/>
  <c r="U32" i="29"/>
  <c r="S32" i="29"/>
  <c r="P32" i="29"/>
  <c r="O32" i="29"/>
  <c r="N32" i="29"/>
  <c r="L32" i="29"/>
  <c r="FQ32" i="29" s="1"/>
  <c r="EB31" i="29"/>
  <c r="EA31" i="29"/>
  <c r="DW31" i="29"/>
  <c r="DV31" i="29"/>
  <c r="BC31" i="29"/>
  <c r="AN31" i="29"/>
  <c r="AL31" i="29"/>
  <c r="AG31" i="29"/>
  <c r="AF31" i="29"/>
  <c r="AD31" i="29"/>
  <c r="K31" i="29"/>
  <c r="I31" i="29"/>
  <c r="FQ31" i="29" s="1"/>
  <c r="BE30" i="29"/>
  <c r="AT30" i="29"/>
  <c r="AA30" i="29"/>
  <c r="FQ30" i="29" s="1"/>
  <c r="BC29" i="29"/>
  <c r="AL29" i="29"/>
  <c r="AG29" i="29"/>
  <c r="AD29" i="29"/>
  <c r="FQ29" i="29" s="1"/>
  <c r="EP28" i="29"/>
  <c r="FQ28" i="29" s="1"/>
  <c r="EN28" i="29"/>
  <c r="EK28" i="29"/>
  <c r="EI28" i="29"/>
  <c r="EG28" i="29"/>
  <c r="EF28" i="29"/>
  <c r="EE28" i="29"/>
  <c r="AA28" i="29"/>
  <c r="Z28" i="29"/>
  <c r="AQ27" i="29"/>
  <c r="AP27" i="29"/>
  <c r="AL27" i="29"/>
  <c r="FQ27" i="29" s="1"/>
  <c r="AG27" i="29"/>
  <c r="BE26" i="29"/>
  <c r="AT26" i="29"/>
  <c r="AA26" i="29"/>
  <c r="FQ26" i="29" s="1"/>
  <c r="BC25" i="29"/>
  <c r="AL25" i="29"/>
  <c r="AG25" i="29"/>
  <c r="FQ25" i="29" s="1"/>
  <c r="BE24" i="29"/>
  <c r="AT24" i="29"/>
  <c r="FQ24" i="29" s="1"/>
  <c r="AA24" i="29"/>
  <c r="BC23" i="29"/>
  <c r="AL23" i="29"/>
  <c r="AG23" i="29"/>
  <c r="AD23" i="29"/>
  <c r="FQ23" i="29" s="1"/>
  <c r="FD22" i="29"/>
  <c r="EZ22" i="29"/>
  <c r="EV22" i="29"/>
  <c r="FQ22" i="29" s="1"/>
  <c r="FE21" i="29"/>
  <c r="FB21" i="29"/>
  <c r="FA21" i="29"/>
  <c r="EY21" i="29"/>
  <c r="EX21" i="29"/>
  <c r="EW21" i="29"/>
  <c r="EU21" i="29"/>
  <c r="ET21" i="29"/>
  <c r="ES21" i="29"/>
  <c r="EP21" i="29"/>
  <c r="EO21" i="29"/>
  <c r="EN21" i="29"/>
  <c r="EM21" i="29"/>
  <c r="EL21" i="29"/>
  <c r="EK21" i="29"/>
  <c r="BE21" i="29"/>
  <c r="BD21" i="29"/>
  <c r="AY21" i="29"/>
  <c r="AT21" i="29"/>
  <c r="AH21" i="29"/>
  <c r="AE21" i="29"/>
  <c r="AC21" i="29"/>
  <c r="AB21" i="29"/>
  <c r="AA21" i="29"/>
  <c r="Z21" i="29"/>
  <c r="FQ21" i="29" s="1"/>
  <c r="Y21" i="29"/>
  <c r="V21" i="29"/>
  <c r="U21" i="29"/>
  <c r="S21" i="29"/>
  <c r="BC20" i="29"/>
  <c r="AQ20" i="29"/>
  <c r="AN20" i="29"/>
  <c r="AL20" i="29"/>
  <c r="AG20" i="29"/>
  <c r="AF20" i="29"/>
  <c r="FQ20" i="29" s="1"/>
  <c r="FQ19" i="29"/>
  <c r="AD19" i="29"/>
  <c r="FQ18" i="29"/>
  <c r="CS18" i="29"/>
  <c r="BE17" i="29"/>
  <c r="AT17" i="29"/>
  <c r="FQ17" i="29" s="1"/>
  <c r="AA17" i="29"/>
  <c r="BC16" i="29"/>
  <c r="AG16" i="29"/>
  <c r="AD16" i="29"/>
  <c r="FQ16" i="29" s="1"/>
  <c r="FQ15" i="29"/>
  <c r="FA15" i="29"/>
  <c r="EY15" i="29"/>
  <c r="EX15" i="29"/>
  <c r="EW15" i="29"/>
  <c r="EU15" i="29"/>
  <c r="ET15" i="29"/>
  <c r="ES15" i="29"/>
  <c r="AT15" i="29"/>
  <c r="U15" i="29"/>
  <c r="AF14" i="29"/>
  <c r="FQ14" i="29" s="1"/>
  <c r="FQ13" i="29"/>
  <c r="L13" i="29"/>
  <c r="FQ12" i="29"/>
  <c r="J12" i="29"/>
  <c r="FI11" i="29"/>
  <c r="FH11" i="29"/>
  <c r="DY11" i="29"/>
  <c r="DV11" i="29"/>
  <c r="X11" i="29"/>
  <c r="P11" i="29"/>
  <c r="O11" i="29"/>
  <c r="N11" i="29"/>
  <c r="L11" i="29"/>
  <c r="FQ11" i="29" s="1"/>
  <c r="EB10" i="29"/>
  <c r="EA10" i="29"/>
  <c r="DZ10" i="29"/>
  <c r="DX10" i="29"/>
  <c r="DW10" i="29"/>
  <c r="K10" i="29"/>
  <c r="I10" i="29"/>
  <c r="FQ10" i="29" s="1"/>
  <c r="FD9" i="29"/>
  <c r="EZ9" i="29"/>
  <c r="FQ9" i="29" s="1"/>
  <c r="EV9" i="29"/>
  <c r="ER9" i="29"/>
  <c r="DD9" i="29"/>
  <c r="CY9" i="29"/>
  <c r="FI8" i="29"/>
  <c r="FH8" i="29"/>
  <c r="FE8" i="29"/>
  <c r="FC8" i="29"/>
  <c r="FB8" i="29"/>
  <c r="FA8" i="29"/>
  <c r="EY8" i="29"/>
  <c r="EX8" i="29"/>
  <c r="EW8" i="29"/>
  <c r="EU8" i="29"/>
  <c r="ET8" i="29"/>
  <c r="ES8" i="29"/>
  <c r="EQ8" i="29"/>
  <c r="EP8" i="29"/>
  <c r="EO8" i="29"/>
  <c r="EN8" i="29"/>
  <c r="EM8" i="29"/>
  <c r="EL8" i="29"/>
  <c r="EK8" i="29"/>
  <c r="EH8" i="29"/>
  <c r="EG8" i="29"/>
  <c r="ED8" i="29"/>
  <c r="EC8" i="29"/>
  <c r="DK8" i="29"/>
  <c r="DI8" i="29"/>
  <c r="DC8" i="29"/>
  <c r="DB8" i="29"/>
  <c r="DA8" i="29"/>
  <c r="CZ8" i="29"/>
  <c r="CY8" i="29"/>
  <c r="CX8" i="29"/>
  <c r="CW8" i="29"/>
  <c r="CT8" i="29"/>
  <c r="CS8" i="29"/>
  <c r="CM8" i="29"/>
  <c r="CL8" i="29"/>
  <c r="CK8" i="29"/>
  <c r="CJ8" i="29"/>
  <c r="CI8" i="29"/>
  <c r="CH8" i="29"/>
  <c r="CG8" i="29"/>
  <c r="CF8" i="29"/>
  <c r="CD8" i="29"/>
  <c r="CC8" i="29"/>
  <c r="CB8" i="29"/>
  <c r="CA8" i="29"/>
  <c r="BZ8" i="29"/>
  <c r="BY8" i="29"/>
  <c r="BW8" i="29"/>
  <c r="BV8" i="29"/>
  <c r="BU8" i="29"/>
  <c r="BT8" i="29"/>
  <c r="BR8" i="29"/>
  <c r="BQ8" i="29"/>
  <c r="BP8" i="29"/>
  <c r="BO8" i="29"/>
  <c r="BN8" i="29"/>
  <c r="BM8" i="29"/>
  <c r="BL8" i="29"/>
  <c r="BK8" i="29"/>
  <c r="BJ8" i="29"/>
  <c r="BH8" i="29"/>
  <c r="BG8" i="29"/>
  <c r="BE8" i="29"/>
  <c r="BD8" i="29"/>
  <c r="BB8" i="29"/>
  <c r="BA8" i="29"/>
  <c r="AZ8" i="29"/>
  <c r="AY8" i="29"/>
  <c r="AT8" i="29"/>
  <c r="AS8" i="29"/>
  <c r="AR8" i="29"/>
  <c r="AM8" i="29"/>
  <c r="AJ8" i="29"/>
  <c r="AI8" i="29"/>
  <c r="AH8" i="29"/>
  <c r="AG8" i="29"/>
  <c r="AC8" i="29"/>
  <c r="AB8" i="29"/>
  <c r="AA8" i="29"/>
  <c r="Z8" i="29"/>
  <c r="Y8" i="29"/>
  <c r="V8" i="29"/>
  <c r="U8" i="29"/>
  <c r="S8" i="29"/>
  <c r="FQ8" i="29" s="1"/>
  <c r="DL7" i="29"/>
  <c r="BC7" i="29"/>
  <c r="AX7" i="29"/>
  <c r="AW7" i="29"/>
  <c r="AQ7" i="29"/>
  <c r="AP7" i="29"/>
  <c r="AN7" i="29"/>
  <c r="AL7" i="29"/>
  <c r="AK7" i="29"/>
  <c r="AF7" i="29"/>
  <c r="AD7" i="29"/>
  <c r="FQ7" i="29" s="1"/>
  <c r="F3" i="28" l="1"/>
  <c r="H3" i="28" s="1"/>
  <c r="I3" i="28" s="1"/>
  <c r="F2" i="28"/>
  <c r="H2" i="28" s="1"/>
  <c r="I2" i="28" s="1"/>
  <c r="EZ110" i="27" l="1"/>
  <c r="EW110" i="27"/>
  <c r="EV110" i="27"/>
  <c r="DG110" i="27"/>
  <c r="DC110" i="27"/>
  <c r="DB110" i="27"/>
  <c r="CW110" i="27"/>
  <c r="CN110" i="27"/>
  <c r="CL110" i="27"/>
  <c r="CK110" i="27"/>
  <c r="CG110" i="27"/>
  <c r="CF110" i="27"/>
  <c r="CE110" i="27"/>
  <c r="CD110" i="27"/>
  <c r="CC110" i="27"/>
  <c r="CB110" i="27"/>
  <c r="BX110" i="27"/>
  <c r="BV110" i="27"/>
  <c r="FV99" i="27"/>
  <c r="FV100" i="27"/>
  <c r="FV109" i="27"/>
  <c r="FV108" i="27"/>
  <c r="FV107" i="27"/>
  <c r="FV106" i="27"/>
  <c r="FV105" i="27"/>
  <c r="BR110" i="27"/>
  <c r="BQ110" i="27"/>
  <c r="BP110" i="27"/>
  <c r="BG51" i="27"/>
  <c r="BG49" i="27"/>
  <c r="BG47" i="27"/>
  <c r="BG55" i="27"/>
  <c r="BG62" i="27"/>
  <c r="BG60" i="27"/>
  <c r="BG67" i="27"/>
  <c r="BG75" i="27"/>
  <c r="BG73" i="27"/>
  <c r="BG77" i="27"/>
  <c r="BG79" i="27"/>
  <c r="BG82" i="27"/>
  <c r="BG87" i="27"/>
  <c r="BG89" i="27"/>
  <c r="BG91" i="27"/>
  <c r="BG93" i="27"/>
  <c r="BG110" i="27"/>
  <c r="FV110" i="27" l="1"/>
  <c r="AW110" i="27"/>
  <c r="AW48" i="27"/>
  <c r="AW50" i="27"/>
  <c r="AW52" i="27"/>
  <c r="AW54" i="27"/>
  <c r="AW56" i="27"/>
  <c r="AW59" i="27"/>
  <c r="AW61" i="27"/>
  <c r="AW63" i="27"/>
  <c r="AW66" i="27"/>
  <c r="AW68" i="27"/>
  <c r="AW74" i="27"/>
  <c r="AW78" i="27"/>
  <c r="AW80" i="27"/>
  <c r="AW83" i="27"/>
  <c r="AW86" i="27"/>
  <c r="AW88" i="27"/>
  <c r="AW90" i="27"/>
  <c r="AW92" i="27"/>
  <c r="AW94" i="27"/>
  <c r="AW95" i="27"/>
  <c r="FV95" i="27" s="1"/>
  <c r="AW97" i="27"/>
  <c r="AR56" i="27"/>
  <c r="AR92" i="27"/>
  <c r="BN110" i="27"/>
  <c r="FP103" i="27"/>
  <c r="FO103" i="27"/>
  <c r="ES103" i="27"/>
  <c r="DZ103" i="27"/>
  <c r="DW103" i="27"/>
  <c r="DV103" i="27"/>
  <c r="DU103" i="27"/>
  <c r="DT103" i="27"/>
  <c r="DS103" i="27"/>
  <c r="DR103" i="27"/>
  <c r="DQ103" i="27"/>
  <c r="DP103" i="27"/>
  <c r="DO103" i="27"/>
  <c r="DL103" i="27"/>
  <c r="DJ103" i="27"/>
  <c r="DI103" i="27"/>
  <c r="DH103" i="27"/>
  <c r="CY103" i="27"/>
  <c r="CX103" i="27"/>
  <c r="CU103" i="27"/>
  <c r="CT103" i="27"/>
  <c r="CS103" i="27"/>
  <c r="CR103" i="27"/>
  <c r="CQ103" i="27"/>
  <c r="CH103" i="27"/>
  <c r="BW103" i="27"/>
  <c r="BM103" i="27"/>
  <c r="BJ103" i="27"/>
  <c r="AY103" i="27"/>
  <c r="AX103" i="27"/>
  <c r="AB103" i="27"/>
  <c r="Q103" i="27"/>
  <c r="O103" i="27"/>
  <c r="H103" i="27"/>
  <c r="FV102" i="27"/>
  <c r="FV101" i="27"/>
  <c r="AG97" i="27"/>
  <c r="AK96" i="27"/>
  <c r="K96" i="27"/>
  <c r="V94" i="27"/>
  <c r="FV94" i="27" s="1"/>
  <c r="AK93" i="27"/>
  <c r="AJ93" i="27"/>
  <c r="K93" i="27"/>
  <c r="I93" i="27"/>
  <c r="FN92" i="27"/>
  <c r="FM92" i="27"/>
  <c r="ER92" i="27"/>
  <c r="EP92" i="27"/>
  <c r="EO92" i="27"/>
  <c r="EN92" i="27"/>
  <c r="EM92" i="27"/>
  <c r="EK92" i="27"/>
  <c r="EJ92" i="27"/>
  <c r="EI92" i="27"/>
  <c r="EH92" i="27"/>
  <c r="BI92" i="27"/>
  <c r="AV92" i="27"/>
  <c r="AU92" i="27"/>
  <c r="AF92" i="27"/>
  <c r="AE92" i="27"/>
  <c r="S92" i="27"/>
  <c r="R92" i="27"/>
  <c r="L92" i="27"/>
  <c r="FL91" i="27"/>
  <c r="FL103" i="27" s="1"/>
  <c r="AK91" i="27"/>
  <c r="AJ91" i="27"/>
  <c r="AH91" i="27"/>
  <c r="K91" i="27"/>
  <c r="I91" i="27"/>
  <c r="FN90" i="27"/>
  <c r="FM90" i="27"/>
  <c r="ER90" i="27"/>
  <c r="EP90" i="27"/>
  <c r="EO90" i="27"/>
  <c r="AQ90" i="27"/>
  <c r="AT89" i="27"/>
  <c r="AS89" i="27"/>
  <c r="FV89" i="27" s="1"/>
  <c r="BC88" i="27"/>
  <c r="AG88" i="27"/>
  <c r="AE88" i="27"/>
  <c r="AT87" i="27"/>
  <c r="AS87" i="27"/>
  <c r="AF86" i="27"/>
  <c r="AE86" i="27"/>
  <c r="AK85" i="27"/>
  <c r="AJ85" i="27"/>
  <c r="AH85" i="27"/>
  <c r="FV85" i="27" s="1"/>
  <c r="FJ84" i="27"/>
  <c r="FF84" i="27"/>
  <c r="FB84" i="27"/>
  <c r="CZ84" i="27"/>
  <c r="FK83" i="27"/>
  <c r="FH83" i="27"/>
  <c r="FG83" i="27"/>
  <c r="FE83" i="27"/>
  <c r="FD83" i="27"/>
  <c r="FC83" i="27"/>
  <c r="FA83" i="27"/>
  <c r="EZ83" i="27"/>
  <c r="ER83" i="27"/>
  <c r="EQ83" i="27"/>
  <c r="EP83" i="27"/>
  <c r="EO83" i="27"/>
  <c r="EN83" i="27"/>
  <c r="EJ83" i="27"/>
  <c r="EI83" i="27"/>
  <c r="EF83" i="27"/>
  <c r="EE83" i="27"/>
  <c r="DM83" i="27"/>
  <c r="DF83" i="27"/>
  <c r="DE83" i="27"/>
  <c r="DD83" i="27"/>
  <c r="CW83" i="27"/>
  <c r="CN83" i="27"/>
  <c r="CM83" i="27"/>
  <c r="CL83" i="27"/>
  <c r="CK83" i="27"/>
  <c r="CG83" i="27"/>
  <c r="CF83" i="27"/>
  <c r="CE83" i="27"/>
  <c r="CD83" i="27"/>
  <c r="CC83" i="27"/>
  <c r="CB83" i="27"/>
  <c r="CA83" i="27"/>
  <c r="BY83" i="27"/>
  <c r="BX83" i="27"/>
  <c r="BV83" i="27"/>
  <c r="BU83" i="27"/>
  <c r="BT83" i="27"/>
  <c r="BR83" i="27"/>
  <c r="BQ83" i="27"/>
  <c r="BP83" i="27"/>
  <c r="BO83" i="27"/>
  <c r="BC83" i="27"/>
  <c r="AR83" i="27"/>
  <c r="AP83" i="27"/>
  <c r="AL83" i="27"/>
  <c r="AI83" i="27"/>
  <c r="AG83" i="27"/>
  <c r="AF83" i="27"/>
  <c r="AE83" i="27"/>
  <c r="AD83" i="27"/>
  <c r="AC83" i="27"/>
  <c r="AA83" i="27"/>
  <c r="Y83" i="27"/>
  <c r="X83" i="27"/>
  <c r="V83" i="27"/>
  <c r="S83" i="27"/>
  <c r="R83" i="27"/>
  <c r="P83" i="27"/>
  <c r="AK82" i="27"/>
  <c r="AJ82" i="27"/>
  <c r="AH82" i="27"/>
  <c r="W82" i="27"/>
  <c r="T82" i="27"/>
  <c r="FV82" i="27" s="1"/>
  <c r="EX81" i="27"/>
  <c r="EX103" i="27" s="1"/>
  <c r="CZ81" i="27"/>
  <c r="FV81" i="27" s="1"/>
  <c r="FN80" i="27"/>
  <c r="FH80" i="27"/>
  <c r="FC80" i="27"/>
  <c r="EZ80" i="27"/>
  <c r="EY80" i="27"/>
  <c r="EA80" i="27"/>
  <c r="DM80" i="27"/>
  <c r="DK80" i="27"/>
  <c r="DF80" i="27"/>
  <c r="DD80" i="27"/>
  <c r="CW80" i="27"/>
  <c r="CV80" i="27"/>
  <c r="CN80" i="27"/>
  <c r="CL80" i="27"/>
  <c r="CF80" i="27"/>
  <c r="CE80" i="27"/>
  <c r="CD80" i="27"/>
  <c r="CB80" i="27"/>
  <c r="BV80" i="27"/>
  <c r="BT80" i="27"/>
  <c r="BR80" i="27"/>
  <c r="BQ80" i="27"/>
  <c r="BP80" i="27"/>
  <c r="BN80" i="27"/>
  <c r="BC80" i="27"/>
  <c r="AP80" i="27"/>
  <c r="AI80" i="27"/>
  <c r="AF80" i="27"/>
  <c r="AE80" i="27"/>
  <c r="R80" i="27"/>
  <c r="P80" i="27"/>
  <c r="EC79" i="27"/>
  <c r="EB79" i="27"/>
  <c r="AK79" i="27"/>
  <c r="AH79" i="27"/>
  <c r="I79" i="27"/>
  <c r="FV78" i="27"/>
  <c r="EA78" i="27"/>
  <c r="AR78" i="27"/>
  <c r="AI78" i="27"/>
  <c r="AE78" i="27"/>
  <c r="AC78" i="27"/>
  <c r="AA78" i="27"/>
  <c r="X78" i="27"/>
  <c r="P78" i="27"/>
  <c r="AK77" i="27"/>
  <c r="AJ77" i="27"/>
  <c r="AH77" i="27"/>
  <c r="I77" i="27"/>
  <c r="FV77" i="27" s="1"/>
  <c r="BC76" i="27"/>
  <c r="AW76" i="27"/>
  <c r="AG76" i="27"/>
  <c r="AF76" i="27"/>
  <c r="AE76" i="27"/>
  <c r="AA76" i="27"/>
  <c r="AK75" i="27"/>
  <c r="AH75" i="27"/>
  <c r="FV75" i="27" s="1"/>
  <c r="BC74" i="27"/>
  <c r="FV74" i="27"/>
  <c r="AK73" i="27"/>
  <c r="AH73" i="27"/>
  <c r="J72" i="27"/>
  <c r="FV72" i="27" s="1"/>
  <c r="ER71" i="27"/>
  <c r="EP71" i="27"/>
  <c r="EO71" i="27"/>
  <c r="EM71" i="27"/>
  <c r="EK71" i="27"/>
  <c r="EJ71" i="27"/>
  <c r="EI71" i="27"/>
  <c r="EA71" i="27"/>
  <c r="BI71" i="27"/>
  <c r="AW71" i="27"/>
  <c r="AR71" i="27"/>
  <c r="AF71" i="27"/>
  <c r="AE71" i="27"/>
  <c r="AD71" i="27"/>
  <c r="X71" i="27"/>
  <c r="V71" i="27"/>
  <c r="P71" i="27"/>
  <c r="BG70" i="27"/>
  <c r="AT70" i="27"/>
  <c r="AK70" i="27"/>
  <c r="AJ70" i="27"/>
  <c r="AH70" i="27"/>
  <c r="K70" i="27"/>
  <c r="I70" i="27"/>
  <c r="J69" i="27"/>
  <c r="FV69" i="27" s="1"/>
  <c r="ER68" i="27"/>
  <c r="EP68" i="27"/>
  <c r="EO68" i="27"/>
  <c r="EM68" i="27"/>
  <c r="EK68" i="27"/>
  <c r="EJ68" i="27"/>
  <c r="EI68" i="27"/>
  <c r="EH68" i="27"/>
  <c r="EG68" i="27"/>
  <c r="EG103" i="27" s="1"/>
  <c r="EA68" i="27"/>
  <c r="BI68" i="27"/>
  <c r="AR68" i="27"/>
  <c r="AE68" i="27"/>
  <c r="AD68" i="27"/>
  <c r="X68" i="27"/>
  <c r="V68" i="27"/>
  <c r="AT67" i="27"/>
  <c r="AK67" i="27"/>
  <c r="AJ67" i="27"/>
  <c r="AH67" i="27"/>
  <c r="K67" i="27"/>
  <c r="I67" i="27"/>
  <c r="FN66" i="27"/>
  <c r="FM66" i="27"/>
  <c r="ER66" i="27"/>
  <c r="EQ66" i="27"/>
  <c r="EP66" i="27"/>
  <c r="EM66" i="27"/>
  <c r="EJ66" i="27"/>
  <c r="EI66" i="27"/>
  <c r="EF66" i="27"/>
  <c r="EE66" i="27"/>
  <c r="AP66" i="27"/>
  <c r="AN66" i="27"/>
  <c r="AG66" i="27"/>
  <c r="AF66" i="27"/>
  <c r="AE66" i="27"/>
  <c r="AD66" i="27"/>
  <c r="AC66" i="27"/>
  <c r="Y66" i="27"/>
  <c r="X66" i="27"/>
  <c r="V66" i="27"/>
  <c r="S66" i="27"/>
  <c r="R66" i="27"/>
  <c r="P66" i="27"/>
  <c r="AT65" i="27"/>
  <c r="AS65" i="27"/>
  <c r="AK65" i="27"/>
  <c r="AJ65" i="27"/>
  <c r="AH65" i="27"/>
  <c r="J64" i="27"/>
  <c r="FV64" i="27" s="1"/>
  <c r="FN63" i="27"/>
  <c r="FM63" i="27"/>
  <c r="ER63" i="27"/>
  <c r="EP63" i="27"/>
  <c r="EO63" i="27"/>
  <c r="EM63" i="27"/>
  <c r="EK63" i="27"/>
  <c r="EJ63" i="27"/>
  <c r="EI63" i="27"/>
  <c r="BI63" i="27"/>
  <c r="AP63" i="27"/>
  <c r="AF63" i="27"/>
  <c r="AE63" i="27"/>
  <c r="AD63" i="27"/>
  <c r="X63" i="27"/>
  <c r="V63" i="27"/>
  <c r="S63" i="27"/>
  <c r="R63" i="27"/>
  <c r="P63" i="27"/>
  <c r="L63" i="27"/>
  <c r="FV63" i="27" s="1"/>
  <c r="DY62" i="27"/>
  <c r="BA62" i="27"/>
  <c r="AT62" i="27"/>
  <c r="AS62" i="27"/>
  <c r="AK62" i="27"/>
  <c r="AJ62" i="27"/>
  <c r="AH62" i="27"/>
  <c r="K62" i="27"/>
  <c r="I62" i="27"/>
  <c r="ER61" i="27"/>
  <c r="EP61" i="27"/>
  <c r="EM61" i="27"/>
  <c r="EJ61" i="27"/>
  <c r="EI61" i="27"/>
  <c r="BC61" i="27"/>
  <c r="AP61" i="27"/>
  <c r="AN61" i="27"/>
  <c r="AF61" i="27"/>
  <c r="AE61" i="27"/>
  <c r="S61" i="27"/>
  <c r="R61" i="27"/>
  <c r="P61" i="27"/>
  <c r="AK60" i="27"/>
  <c r="AJ60" i="27"/>
  <c r="AH60" i="27"/>
  <c r="K60" i="27"/>
  <c r="I60" i="27"/>
  <c r="AR59" i="27"/>
  <c r="AP59" i="27"/>
  <c r="AL59" i="27"/>
  <c r="AE59" i="27"/>
  <c r="AA59" i="27"/>
  <c r="X59" i="27"/>
  <c r="AT58" i="27"/>
  <c r="AS58" i="27"/>
  <c r="AJ58" i="27"/>
  <c r="AH58" i="27"/>
  <c r="FV57" i="27"/>
  <c r="FJ57" i="27"/>
  <c r="FF57" i="27"/>
  <c r="FB57" i="27"/>
  <c r="EW57" i="27"/>
  <c r="CZ57" i="27"/>
  <c r="FN56" i="27"/>
  <c r="FM56" i="27"/>
  <c r="FK56" i="27"/>
  <c r="FI56" i="27"/>
  <c r="FH56" i="27"/>
  <c r="FG56" i="27"/>
  <c r="FE56" i="27"/>
  <c r="FD56" i="27"/>
  <c r="FC56" i="27"/>
  <c r="FA56" i="27"/>
  <c r="EZ56" i="27"/>
  <c r="EY56" i="27"/>
  <c r="EV56" i="27"/>
  <c r="EU56" i="27"/>
  <c r="ET56" i="27"/>
  <c r="ER56" i="27"/>
  <c r="EQ56" i="27"/>
  <c r="EP56" i="27"/>
  <c r="EM56" i="27"/>
  <c r="EL56" i="27"/>
  <c r="EL103" i="27" s="1"/>
  <c r="EK56" i="27"/>
  <c r="EJ56" i="27"/>
  <c r="EI56" i="27"/>
  <c r="EF56" i="27"/>
  <c r="EE56" i="27"/>
  <c r="DM56" i="27"/>
  <c r="DG56" i="27"/>
  <c r="DF56" i="27"/>
  <c r="DE56" i="27"/>
  <c r="DD56" i="27"/>
  <c r="DC56" i="27"/>
  <c r="DB56" i="27"/>
  <c r="DA56" i="27"/>
  <c r="CW56" i="27"/>
  <c r="CV56" i="27"/>
  <c r="CP56" i="27"/>
  <c r="CO56" i="27"/>
  <c r="CN56" i="27"/>
  <c r="CM56" i="27"/>
  <c r="CL56" i="27"/>
  <c r="CK56" i="27"/>
  <c r="CJ56" i="27"/>
  <c r="CI56" i="27"/>
  <c r="CG56" i="27"/>
  <c r="CF56" i="27"/>
  <c r="CE56" i="27"/>
  <c r="CD56" i="27"/>
  <c r="CC56" i="27"/>
  <c r="CB56" i="27"/>
  <c r="CA56" i="27"/>
  <c r="BZ56" i="27"/>
  <c r="BY56" i="27"/>
  <c r="BX56" i="27"/>
  <c r="BV56" i="27"/>
  <c r="BU56" i="27"/>
  <c r="BT56" i="27"/>
  <c r="BS56" i="27"/>
  <c r="BR56" i="27"/>
  <c r="BQ56" i="27"/>
  <c r="BP56" i="27"/>
  <c r="BO56" i="27"/>
  <c r="BN56" i="27"/>
  <c r="BH56" i="27"/>
  <c r="BC56" i="27"/>
  <c r="AZ56" i="27"/>
  <c r="AZ103" i="27" s="1"/>
  <c r="AV56" i="27"/>
  <c r="AU56" i="27"/>
  <c r="AP56" i="27"/>
  <c r="AO56" i="27"/>
  <c r="AM56" i="27"/>
  <c r="AL56" i="27"/>
  <c r="AI56" i="27"/>
  <c r="AG56" i="27"/>
  <c r="AF56" i="27"/>
  <c r="AE56" i="27"/>
  <c r="AC56" i="27"/>
  <c r="AA56" i="27"/>
  <c r="Z56" i="27"/>
  <c r="Z103" i="27" s="1"/>
  <c r="Y56" i="27"/>
  <c r="X56" i="27"/>
  <c r="V56" i="27"/>
  <c r="S56" i="27"/>
  <c r="R56" i="27"/>
  <c r="P56" i="27"/>
  <c r="BA55" i="27"/>
  <c r="BA103" i="27" s="1"/>
  <c r="AS55" i="27"/>
  <c r="AK55" i="27"/>
  <c r="AJ55" i="27"/>
  <c r="AH55" i="27"/>
  <c r="W55" i="27"/>
  <c r="T55" i="27"/>
  <c r="K55" i="27"/>
  <c r="I55" i="27"/>
  <c r="AL54" i="27"/>
  <c r="X54" i="27"/>
  <c r="R54" i="27"/>
  <c r="P54" i="27"/>
  <c r="N54" i="27"/>
  <c r="N103" i="27" s="1"/>
  <c r="L54" i="27"/>
  <c r="BA53" i="27"/>
  <c r="AS53" i="27"/>
  <c r="AK53" i="27"/>
  <c r="AJ53" i="27"/>
  <c r="T53" i="27"/>
  <c r="FV53" i="27" s="1"/>
  <c r="BC52" i="27"/>
  <c r="AK51" i="27"/>
  <c r="FV51" i="27" s="1"/>
  <c r="AH51" i="27"/>
  <c r="ER50" i="27"/>
  <c r="EM50" i="27"/>
  <c r="EI50" i="27"/>
  <c r="EE50" i="27"/>
  <c r="AP50" i="27"/>
  <c r="AN50" i="27"/>
  <c r="AL50" i="27"/>
  <c r="AF50" i="27"/>
  <c r="AE50" i="27"/>
  <c r="AC50" i="27"/>
  <c r="AA50" i="27"/>
  <c r="X50" i="27"/>
  <c r="R50" i="27"/>
  <c r="P50" i="27"/>
  <c r="AT49" i="27"/>
  <c r="AS49" i="27"/>
  <c r="AJ49" i="27"/>
  <c r="AH49" i="27"/>
  <c r="FV49" i="27" s="1"/>
  <c r="ER48" i="27"/>
  <c r="EP48" i="27"/>
  <c r="EM48" i="27"/>
  <c r="EJ48" i="27"/>
  <c r="EI48" i="27"/>
  <c r="AP48" i="27"/>
  <c r="AN48" i="27"/>
  <c r="AF48" i="27"/>
  <c r="AE48" i="27"/>
  <c r="S48" i="27"/>
  <c r="R48" i="27"/>
  <c r="FV48" i="27" s="1"/>
  <c r="P48" i="27"/>
  <c r="AJ47" i="27"/>
  <c r="K47" i="27"/>
  <c r="I47" i="27"/>
  <c r="P46" i="27"/>
  <c r="FV46" i="27" s="1"/>
  <c r="FV45" i="27"/>
  <c r="AW44" i="27"/>
  <c r="AP44" i="27"/>
  <c r="R44" i="27"/>
  <c r="AW43" i="27"/>
  <c r="AI43" i="27"/>
  <c r="AE43" i="27"/>
  <c r="S43" i="27"/>
  <c r="AJ42" i="27"/>
  <c r="FV42" i="27" s="1"/>
  <c r="AW41" i="27"/>
  <c r="AP41" i="27"/>
  <c r="AN41" i="27"/>
  <c r="AM41" i="27"/>
  <c r="X41" i="27"/>
  <c r="FV41" i="27" s="1"/>
  <c r="M41" i="27"/>
  <c r="M103" i="27" s="1"/>
  <c r="U40" i="27"/>
  <c r="FV40" i="27" s="1"/>
  <c r="FV39" i="27"/>
  <c r="P39" i="27"/>
  <c r="FV38" i="27"/>
  <c r="FV37" i="27"/>
  <c r="AW37" i="27"/>
  <c r="AP37" i="27"/>
  <c r="AE37" i="27"/>
  <c r="S37" i="27"/>
  <c r="R37" i="27"/>
  <c r="P37" i="27"/>
  <c r="BG36" i="27"/>
  <c r="I36" i="27"/>
  <c r="FV36" i="27" s="1"/>
  <c r="FJ35" i="27"/>
  <c r="FF35" i="27"/>
  <c r="FB35" i="27"/>
  <c r="FV34" i="27"/>
  <c r="FG34" i="27"/>
  <c r="FD34" i="27"/>
  <c r="FC34" i="27"/>
  <c r="FA34" i="27"/>
  <c r="AW34" i="27"/>
  <c r="AD34" i="27"/>
  <c r="AK33" i="27"/>
  <c r="AJ33" i="27"/>
  <c r="AH33" i="27"/>
  <c r="FV33" i="27" s="1"/>
  <c r="ER32" i="27"/>
  <c r="EO32" i="27"/>
  <c r="BI32" i="27"/>
  <c r="AW32" i="27"/>
  <c r="AP32" i="27"/>
  <c r="AE32" i="27"/>
  <c r="R32" i="27"/>
  <c r="P32" i="27"/>
  <c r="BG31" i="27"/>
  <c r="AK31" i="27"/>
  <c r="AH31" i="27"/>
  <c r="FV31" i="27" s="1"/>
  <c r="FV30" i="27"/>
  <c r="FJ30" i="27"/>
  <c r="FF30" i="27"/>
  <c r="FB30" i="27"/>
  <c r="J30" i="27"/>
  <c r="FN29" i="27"/>
  <c r="FM29" i="27"/>
  <c r="FK29" i="27"/>
  <c r="FH29" i="27"/>
  <c r="FG29" i="27"/>
  <c r="FE29" i="27"/>
  <c r="FD29" i="27"/>
  <c r="FC29" i="27"/>
  <c r="FA29" i="27"/>
  <c r="EZ29" i="27"/>
  <c r="EY29" i="27"/>
  <c r="EU29" i="27"/>
  <c r="ER29" i="27"/>
  <c r="EQ29" i="27"/>
  <c r="EP29" i="27"/>
  <c r="EN29" i="27"/>
  <c r="EM29" i="27"/>
  <c r="EA29" i="27"/>
  <c r="AW29" i="27"/>
  <c r="AR29" i="27"/>
  <c r="AP29" i="27"/>
  <c r="AL29" i="27"/>
  <c r="AI29" i="27"/>
  <c r="AG29" i="27"/>
  <c r="AF29" i="27"/>
  <c r="AE29" i="27"/>
  <c r="AD29" i="27"/>
  <c r="Y29" i="27"/>
  <c r="X29" i="27"/>
  <c r="V29" i="27"/>
  <c r="S29" i="27"/>
  <c r="R29" i="27"/>
  <c r="P29" i="27"/>
  <c r="L29" i="27"/>
  <c r="ED28" i="27"/>
  <c r="EC28" i="27"/>
  <c r="DY28" i="27"/>
  <c r="DX28" i="27"/>
  <c r="BG28" i="27"/>
  <c r="AK28" i="27"/>
  <c r="AJ28" i="27"/>
  <c r="K28" i="27"/>
  <c r="I28" i="27"/>
  <c r="EM27" i="27"/>
  <c r="EK27" i="27"/>
  <c r="AP27" i="27"/>
  <c r="AE27" i="27"/>
  <c r="AD27" i="27"/>
  <c r="AK26" i="27"/>
  <c r="FV26" i="27" s="1"/>
  <c r="FV25" i="27"/>
  <c r="BI25" i="27"/>
  <c r="AW25" i="27"/>
  <c r="AE25" i="27"/>
  <c r="BG24" i="27"/>
  <c r="AT24" i="27"/>
  <c r="AK24" i="27"/>
  <c r="AH24" i="27"/>
  <c r="BI23" i="27"/>
  <c r="AW23" i="27"/>
  <c r="AP23" i="27"/>
  <c r="AE23" i="27"/>
  <c r="FV22" i="27"/>
  <c r="BG22" i="27"/>
  <c r="AK22" i="27"/>
  <c r="BI21" i="27"/>
  <c r="AW21" i="27"/>
  <c r="AP21" i="27"/>
  <c r="AE21" i="27"/>
  <c r="FV21" i="27" s="1"/>
  <c r="BG20" i="27"/>
  <c r="AK20" i="27"/>
  <c r="AH20" i="27"/>
  <c r="FV20" i="27" s="1"/>
  <c r="FJ19" i="27"/>
  <c r="FF19" i="27"/>
  <c r="FB19" i="27"/>
  <c r="FV19" i="27" s="1"/>
  <c r="FK18" i="27"/>
  <c r="FH18" i="27"/>
  <c r="FG18" i="27"/>
  <c r="FE18" i="27"/>
  <c r="FD18" i="27"/>
  <c r="FC18" i="27"/>
  <c r="FA18" i="27"/>
  <c r="EZ18" i="27"/>
  <c r="EY18" i="27"/>
  <c r="ER18" i="27"/>
  <c r="EQ18" i="27"/>
  <c r="EP18" i="27"/>
  <c r="EO18" i="27"/>
  <c r="EN18" i="27"/>
  <c r="EM18" i="27"/>
  <c r="BI18" i="27"/>
  <c r="BH18" i="27"/>
  <c r="BC18" i="27"/>
  <c r="AW18" i="27"/>
  <c r="AR18" i="27"/>
  <c r="AP18" i="27"/>
  <c r="AL18" i="27"/>
  <c r="AI18" i="27"/>
  <c r="AG18" i="27"/>
  <c r="AF18" i="27"/>
  <c r="AE18" i="27"/>
  <c r="AD18" i="27"/>
  <c r="AC18" i="27"/>
  <c r="Y18" i="27"/>
  <c r="X18" i="27"/>
  <c r="V18" i="27"/>
  <c r="FV17" i="27"/>
  <c r="BG17" i="27"/>
  <c r="AT17" i="27"/>
  <c r="AK17" i="27"/>
  <c r="AJ17" i="27"/>
  <c r="AH17" i="27"/>
  <c r="BI16" i="27"/>
  <c r="AW16" i="27"/>
  <c r="AE16" i="27"/>
  <c r="FV16" i="27" s="1"/>
  <c r="FV15" i="27"/>
  <c r="BG15" i="27"/>
  <c r="AK15" i="27"/>
  <c r="AH15" i="27"/>
  <c r="FK14" i="27"/>
  <c r="FG14" i="27"/>
  <c r="FE14" i="27"/>
  <c r="FD14" i="27"/>
  <c r="FC14" i="27"/>
  <c r="FA14" i="27"/>
  <c r="AW14" i="27"/>
  <c r="X14" i="27"/>
  <c r="AJ13" i="27"/>
  <c r="FV13" i="27" s="1"/>
  <c r="J12" i="27"/>
  <c r="FN11" i="27"/>
  <c r="FM11" i="27"/>
  <c r="EM11" i="27"/>
  <c r="EJ11" i="27"/>
  <c r="EI11" i="27"/>
  <c r="EA11" i="27"/>
  <c r="S11" i="27"/>
  <c r="R11" i="27"/>
  <c r="P11" i="27"/>
  <c r="L11" i="27"/>
  <c r="FV11" i="27" s="1"/>
  <c r="ED10" i="27"/>
  <c r="EC10" i="27"/>
  <c r="EB10" i="27"/>
  <c r="EB103" i="27" s="1"/>
  <c r="DY10" i="27"/>
  <c r="DY103" i="27" s="1"/>
  <c r="DX10" i="27"/>
  <c r="K10" i="27"/>
  <c r="K103" i="27" s="1"/>
  <c r="I10" i="27"/>
  <c r="FJ9" i="27"/>
  <c r="FF9" i="27"/>
  <c r="FB9" i="27"/>
  <c r="EW9" i="27"/>
  <c r="EW103" i="27" s="1"/>
  <c r="CZ9" i="27"/>
  <c r="CZ103" i="27" s="1"/>
  <c r="CD9" i="27"/>
  <c r="BQ9" i="27"/>
  <c r="FV9" i="27" s="1"/>
  <c r="BN9" i="27"/>
  <c r="FN8" i="27"/>
  <c r="FM8" i="27"/>
  <c r="FM103" i="27" s="1"/>
  <c r="FK8" i="27"/>
  <c r="FK103" i="27" s="1"/>
  <c r="FI8" i="27"/>
  <c r="FH8" i="27"/>
  <c r="FH103" i="27" s="1"/>
  <c r="FG8" i="27"/>
  <c r="FE8" i="27"/>
  <c r="FE103" i="27" s="1"/>
  <c r="FD8" i="27"/>
  <c r="FD103" i="27" s="1"/>
  <c r="FC8" i="27"/>
  <c r="FA8" i="27"/>
  <c r="FA103" i="27" s="1"/>
  <c r="EZ8" i="27"/>
  <c r="EZ103" i="27" s="1"/>
  <c r="EY8" i="27"/>
  <c r="EV8" i="27"/>
  <c r="EV103" i="27" s="1"/>
  <c r="EU8" i="27"/>
  <c r="EU103" i="27" s="1"/>
  <c r="ET8" i="27"/>
  <c r="ET103" i="27" s="1"/>
  <c r="ER8" i="27"/>
  <c r="EQ8" i="27"/>
  <c r="EP8" i="27"/>
  <c r="EO8" i="27"/>
  <c r="EN8" i="27"/>
  <c r="EN103" i="27" s="1"/>
  <c r="EI8" i="27"/>
  <c r="EF8" i="27"/>
  <c r="EF103" i="27" s="1"/>
  <c r="EE8" i="27"/>
  <c r="DM8" i="27"/>
  <c r="DK8" i="27"/>
  <c r="DK103" i="27" s="1"/>
  <c r="DG8" i="27"/>
  <c r="DG103" i="27" s="1"/>
  <c r="DF8" i="27"/>
  <c r="DE8" i="27"/>
  <c r="DE103" i="27" s="1"/>
  <c r="DD8" i="27"/>
  <c r="DD103" i="27" s="1"/>
  <c r="DC8" i="27"/>
  <c r="DB8" i="27"/>
  <c r="DB103" i="27" s="1"/>
  <c r="DA8" i="27"/>
  <c r="DA103" i="27" s="1"/>
  <c r="CW8" i="27"/>
  <c r="CW103" i="27" s="1"/>
  <c r="CV8" i="27"/>
  <c r="CV103" i="27" s="1"/>
  <c r="CP8" i="27"/>
  <c r="CP103" i="27" s="1"/>
  <c r="CO8" i="27"/>
  <c r="CN8" i="27"/>
  <c r="CM8" i="27"/>
  <c r="CM103" i="27" s="1"/>
  <c r="CL8" i="27"/>
  <c r="CK8" i="27"/>
  <c r="CJ8" i="27"/>
  <c r="CJ103" i="27" s="1"/>
  <c r="CI8" i="27"/>
  <c r="CG8" i="27"/>
  <c r="CG103" i="27" s="1"/>
  <c r="CF8" i="27"/>
  <c r="CF103" i="27" s="1"/>
  <c r="CE8" i="27"/>
  <c r="CE103" i="27" s="1"/>
  <c r="CD8" i="27"/>
  <c r="CD103" i="27" s="1"/>
  <c r="CC8" i="27"/>
  <c r="CC103" i="27" s="1"/>
  <c r="CB8" i="27"/>
  <c r="CB103" i="27" s="1"/>
  <c r="CA8" i="27"/>
  <c r="CA103" i="27" s="1"/>
  <c r="BZ8" i="27"/>
  <c r="BZ103" i="27" s="1"/>
  <c r="BY8" i="27"/>
  <c r="BX8" i="27"/>
  <c r="BX103" i="27" s="1"/>
  <c r="BV8" i="27"/>
  <c r="BU8" i="27"/>
  <c r="BT8" i="27"/>
  <c r="BT103" i="27" s="1"/>
  <c r="BS8" i="27"/>
  <c r="BS103" i="27" s="1"/>
  <c r="BR8" i="27"/>
  <c r="BQ8" i="27"/>
  <c r="BP8" i="27"/>
  <c r="BP103" i="27" s="1"/>
  <c r="BO8" i="27"/>
  <c r="BO103" i="27" s="1"/>
  <c r="BN8" i="27"/>
  <c r="BN103" i="27" s="1"/>
  <c r="BL8" i="27"/>
  <c r="BL103" i="27" s="1"/>
  <c r="BK8" i="27"/>
  <c r="BK103" i="27" s="1"/>
  <c r="BI8" i="27"/>
  <c r="BH8" i="27"/>
  <c r="BF8" i="27"/>
  <c r="BF103" i="27" s="1"/>
  <c r="BE8" i="27"/>
  <c r="BE103" i="27" s="1"/>
  <c r="BD8" i="27"/>
  <c r="BD103" i="27" s="1"/>
  <c r="BC8" i="27"/>
  <c r="AW8" i="27"/>
  <c r="AV8" i="27"/>
  <c r="AV103" i="27" s="1"/>
  <c r="AU8" i="27"/>
  <c r="AU103" i="27" s="1"/>
  <c r="AR8" i="27"/>
  <c r="AQ8" i="27"/>
  <c r="AQ103" i="27" s="1"/>
  <c r="AP8" i="27"/>
  <c r="AO8" i="27"/>
  <c r="AO103" i="27" s="1"/>
  <c r="AN8" i="27"/>
  <c r="AN103" i="27" s="1"/>
  <c r="AM8" i="27"/>
  <c r="AM103" i="27" s="1"/>
  <c r="AL8" i="27"/>
  <c r="AG8" i="27"/>
  <c r="AG103" i="27" s="1"/>
  <c r="AF8" i="27"/>
  <c r="AE8" i="27"/>
  <c r="AD8" i="27"/>
  <c r="AD103" i="27" s="1"/>
  <c r="AC8" i="27"/>
  <c r="Y8" i="27"/>
  <c r="X8" i="27"/>
  <c r="V8" i="27"/>
  <c r="DN7" i="27"/>
  <c r="DN103" i="27" s="1"/>
  <c r="BG7" i="27"/>
  <c r="BB7" i="27"/>
  <c r="BB103" i="27" s="1"/>
  <c r="BA7" i="27"/>
  <c r="AT7" i="27"/>
  <c r="AT103" i="27" s="1"/>
  <c r="AS7" i="27"/>
  <c r="AK7" i="27"/>
  <c r="AJ7" i="27"/>
  <c r="AH7" i="27"/>
  <c r="FV61" i="27" l="1"/>
  <c r="FV68" i="27"/>
  <c r="FV83" i="27"/>
  <c r="FV97" i="27"/>
  <c r="FV28" i="27"/>
  <c r="FV56" i="27"/>
  <c r="FV71" i="27"/>
  <c r="FV79" i="27"/>
  <c r="FV84" i="27"/>
  <c r="BU103" i="27"/>
  <c r="CI103" i="27"/>
  <c r="DC103" i="27"/>
  <c r="EP103" i="27"/>
  <c r="FF103" i="27"/>
  <c r="R103" i="27"/>
  <c r="FV62" i="27"/>
  <c r="CN103" i="27"/>
  <c r="T103" i="27"/>
  <c r="FV14" i="27"/>
  <c r="BH103" i="27"/>
  <c r="BV103" i="27"/>
  <c r="EQ103" i="27"/>
  <c r="FJ103" i="27"/>
  <c r="S103" i="27"/>
  <c r="FG103" i="27"/>
  <c r="FV44" i="27"/>
  <c r="AF103" i="27"/>
  <c r="FV59" i="27"/>
  <c r="AE103" i="27"/>
  <c r="AL103" i="27"/>
  <c r="EO103" i="27"/>
  <c r="FB103" i="27"/>
  <c r="BG103" i="27"/>
  <c r="BI103" i="27"/>
  <c r="ER103" i="27"/>
  <c r="FI103" i="27"/>
  <c r="EA103" i="27"/>
  <c r="FV32" i="27"/>
  <c r="W103" i="27"/>
  <c r="FV66" i="27"/>
  <c r="FV76" i="27"/>
  <c r="FV88" i="27"/>
  <c r="FV91" i="27"/>
  <c r="P103" i="27"/>
  <c r="FV8" i="27"/>
  <c r="AP103" i="27"/>
  <c r="BY103" i="27"/>
  <c r="CL103" i="27"/>
  <c r="DF103" i="27"/>
  <c r="FV10" i="27"/>
  <c r="FV50" i="27"/>
  <c r="FV96" i="27"/>
  <c r="EJ103" i="27"/>
  <c r="FV54" i="27"/>
  <c r="AI103" i="27"/>
  <c r="FN103" i="27"/>
  <c r="DX103" i="27"/>
  <c r="EM103" i="27"/>
  <c r="FV47" i="27"/>
  <c r="AC103" i="27"/>
  <c r="FV58" i="27"/>
  <c r="FV60" i="27"/>
  <c r="FV80" i="27"/>
  <c r="X103" i="27"/>
  <c r="FV55" i="27"/>
  <c r="FV70" i="27"/>
  <c r="Y103" i="27"/>
  <c r="AH103" i="27"/>
  <c r="CO103" i="27"/>
  <c r="DM103" i="27"/>
  <c r="EY103" i="27"/>
  <c r="FV23" i="27"/>
  <c r="FV27" i="27"/>
  <c r="AA103" i="27"/>
  <c r="CK103" i="27"/>
  <c r="FV67" i="27"/>
  <c r="EH103" i="27"/>
  <c r="FV73" i="27"/>
  <c r="FV86" i="27"/>
  <c r="FV93" i="27"/>
  <c r="EI103" i="27"/>
  <c r="AW103" i="27"/>
  <c r="EC103" i="27"/>
  <c r="J103" i="27"/>
  <c r="FV29" i="27"/>
  <c r="FV35" i="27"/>
  <c r="FV43" i="27"/>
  <c r="FV7" i="27"/>
  <c r="EE103" i="27"/>
  <c r="AR103" i="27"/>
  <c r="AK103" i="27"/>
  <c r="BQ103" i="27"/>
  <c r="AS103" i="27"/>
  <c r="BR103" i="27"/>
  <c r="FC103" i="27"/>
  <c r="ED103" i="27"/>
  <c r="FV12" i="27"/>
  <c r="FV18" i="27"/>
  <c r="BC103" i="27"/>
  <c r="FV24" i="27"/>
  <c r="EK103" i="27"/>
  <c r="FV52" i="27"/>
  <c r="FV65" i="27"/>
  <c r="FV87" i="27"/>
  <c r="FV90" i="27"/>
  <c r="FV92" i="27"/>
  <c r="I103" i="27"/>
  <c r="U103" i="27"/>
  <c r="V103" i="27"/>
  <c r="L103" i="27"/>
  <c r="AJ103" i="27"/>
  <c r="FV103" i="27" l="1"/>
  <c r="FR103" i="27"/>
  <c r="CV118" i="26" l="1"/>
  <c r="FH117" i="26"/>
  <c r="FH116" i="26"/>
  <c r="FH115" i="26"/>
  <c r="FH114" i="26"/>
  <c r="FH113" i="26"/>
  <c r="FH118" i="26"/>
  <c r="FH110" i="26"/>
  <c r="FH109" i="26"/>
  <c r="FH108" i="26"/>
  <c r="FC118" i="26"/>
  <c r="EQ118" i="26"/>
  <c r="EP118" i="26"/>
  <c r="EM118" i="26"/>
  <c r="DF118" i="26"/>
  <c r="DE118" i="26"/>
  <c r="DB118" i="26"/>
  <c r="DA118" i="26"/>
  <c r="CZ118" i="26"/>
  <c r="CN118" i="26"/>
  <c r="CK118" i="26"/>
  <c r="CJ118" i="26"/>
  <c r="CI118" i="26"/>
  <c r="CG118" i="26"/>
  <c r="CF118" i="26"/>
  <c r="CC118" i="26"/>
  <c r="CB118" i="26"/>
  <c r="BV118" i="26"/>
  <c r="BU118" i="26"/>
  <c r="BT118" i="26"/>
  <c r="BS118" i="26"/>
  <c r="BR118" i="26"/>
  <c r="BP118" i="26"/>
  <c r="BD118" i="26"/>
  <c r="AT118" i="26"/>
  <c r="AO118" i="26"/>
  <c r="AM118" i="26"/>
  <c r="AE118" i="26"/>
  <c r="AC118" i="26"/>
  <c r="FF111" i="26"/>
  <c r="FE111" i="26"/>
  <c r="EW111" i="26"/>
  <c r="EK111" i="26"/>
  <c r="ED111" i="26"/>
  <c r="DY111" i="26"/>
  <c r="DO111" i="26"/>
  <c r="DN111" i="26"/>
  <c r="DL111" i="26"/>
  <c r="DJ111" i="26"/>
  <c r="DI111" i="26"/>
  <c r="DH111" i="26"/>
  <c r="DG111" i="26"/>
  <c r="DA111" i="26"/>
  <c r="CV111" i="26"/>
  <c r="CU111" i="26"/>
  <c r="CT111" i="26"/>
  <c r="CS111" i="26"/>
  <c r="CR111" i="26"/>
  <c r="CQ111" i="26"/>
  <c r="CC111" i="26"/>
  <c r="BQ111" i="26"/>
  <c r="BO111" i="26"/>
  <c r="BH111" i="26"/>
  <c r="BG111" i="26"/>
  <c r="BE111" i="26"/>
  <c r="BA111" i="26"/>
  <c r="AV111" i="26"/>
  <c r="AU111" i="26"/>
  <c r="AS111" i="26"/>
  <c r="U111" i="26"/>
  <c r="R111" i="26"/>
  <c r="FL110" i="26"/>
  <c r="BD109" i="26"/>
  <c r="FL109" i="26" s="1"/>
  <c r="AT109" i="26"/>
  <c r="BD107" i="26"/>
  <c r="AT107" i="26"/>
  <c r="FL107" i="26" s="1"/>
  <c r="AH106" i="26"/>
  <c r="FL106" i="26" s="1"/>
  <c r="AT105" i="26"/>
  <c r="L105" i="26"/>
  <c r="FL105" i="26" s="1"/>
  <c r="FL104" i="26"/>
  <c r="AH104" i="26"/>
  <c r="K104" i="26"/>
  <c r="AT103" i="26"/>
  <c r="FL103" i="26" s="1"/>
  <c r="FL102" i="26"/>
  <c r="DR102" i="26"/>
  <c r="BD102" i="26"/>
  <c r="S102" i="26"/>
  <c r="O102" i="26"/>
  <c r="FL101" i="26"/>
  <c r="AH101" i="26"/>
  <c r="AG101" i="26"/>
  <c r="K101" i="26"/>
  <c r="I101" i="26"/>
  <c r="EJ100" i="26"/>
  <c r="EH100" i="26"/>
  <c r="EE100" i="26"/>
  <c r="EB100" i="26"/>
  <c r="EA100" i="26"/>
  <c r="BD100" i="26"/>
  <c r="AZ100" i="26"/>
  <c r="AT100" i="26"/>
  <c r="AK100" i="26"/>
  <c r="AC100" i="26"/>
  <c r="AB100" i="26"/>
  <c r="P100" i="26"/>
  <c r="O100" i="26"/>
  <c r="L100" i="26"/>
  <c r="FL100" i="26" s="1"/>
  <c r="AM99" i="26"/>
  <c r="AH99" i="26"/>
  <c r="AG99" i="26"/>
  <c r="AE99" i="26"/>
  <c r="N99" i="26"/>
  <c r="FL99" i="26" s="1"/>
  <c r="FL98" i="26"/>
  <c r="J98" i="26"/>
  <c r="FD97" i="26"/>
  <c r="FC97" i="26"/>
  <c r="EJ97" i="26"/>
  <c r="EH97" i="26"/>
  <c r="EG97" i="26"/>
  <c r="EF97" i="26"/>
  <c r="EE97" i="26"/>
  <c r="EC97" i="26"/>
  <c r="EB97" i="26"/>
  <c r="EA97" i="26"/>
  <c r="DZ97" i="26"/>
  <c r="BF97" i="26"/>
  <c r="BD97" i="26"/>
  <c r="AT97" i="26"/>
  <c r="AS97" i="26"/>
  <c r="AR97" i="26"/>
  <c r="AO97" i="26"/>
  <c r="AC97" i="26"/>
  <c r="AB97" i="26"/>
  <c r="P97" i="26"/>
  <c r="O97" i="26"/>
  <c r="L97" i="26"/>
  <c r="FL97" i="26" s="1"/>
  <c r="FB96" i="26"/>
  <c r="FB111" i="26" s="1"/>
  <c r="AH96" i="26"/>
  <c r="AG96" i="26"/>
  <c r="AE96" i="26"/>
  <c r="K96" i="26"/>
  <c r="I96" i="26"/>
  <c r="FL96" i="26" s="1"/>
  <c r="BD95" i="26"/>
  <c r="AZ95" i="26"/>
  <c r="AT95" i="26"/>
  <c r="AO95" i="26"/>
  <c r="AF95" i="26"/>
  <c r="AB95" i="26"/>
  <c r="Z95" i="26"/>
  <c r="Y95" i="26"/>
  <c r="U95" i="26"/>
  <c r="O95" i="26"/>
  <c r="FL95" i="26" s="1"/>
  <c r="AH94" i="26"/>
  <c r="AG94" i="26"/>
  <c r="AE94" i="26"/>
  <c r="N94" i="26"/>
  <c r="K94" i="26"/>
  <c r="FL94" i="26" s="1"/>
  <c r="I94" i="26"/>
  <c r="DS93" i="26"/>
  <c r="BD93" i="26"/>
  <c r="AZ93" i="26"/>
  <c r="AT93" i="26"/>
  <c r="AO93" i="26"/>
  <c r="AF93" i="26"/>
  <c r="AB93" i="26"/>
  <c r="Z93" i="26"/>
  <c r="Y93" i="26"/>
  <c r="U93" i="26"/>
  <c r="FL93" i="26" s="1"/>
  <c r="O93" i="26"/>
  <c r="AM92" i="26"/>
  <c r="AH92" i="26"/>
  <c r="AG92" i="26"/>
  <c r="AE92" i="26"/>
  <c r="N92" i="26"/>
  <c r="K92" i="26"/>
  <c r="FL92" i="26" s="1"/>
  <c r="I92" i="26"/>
  <c r="FL91" i="26"/>
  <c r="BD91" i="26"/>
  <c r="FL90" i="26"/>
  <c r="AQ90" i="26"/>
  <c r="FL89" i="26"/>
  <c r="AT89" i="26"/>
  <c r="J88" i="26"/>
  <c r="FL88" i="26" s="1"/>
  <c r="FD87" i="26"/>
  <c r="FC87" i="26"/>
  <c r="EJ87" i="26"/>
  <c r="EI87" i="26"/>
  <c r="EH87" i="26"/>
  <c r="EG87" i="26"/>
  <c r="EF87" i="26"/>
  <c r="EE87" i="26"/>
  <c r="EB87" i="26"/>
  <c r="EA87" i="26"/>
  <c r="DX87" i="26"/>
  <c r="DW87" i="26"/>
  <c r="BF87" i="26"/>
  <c r="BE87" i="26"/>
  <c r="BD87" i="26"/>
  <c r="AZ87" i="26"/>
  <c r="AT87" i="26"/>
  <c r="AK87" i="26"/>
  <c r="AJ87" i="26"/>
  <c r="AI87" i="26"/>
  <c r="AF87" i="26"/>
  <c r="AD87" i="26"/>
  <c r="AC87" i="26"/>
  <c r="AB87" i="26"/>
  <c r="AA87" i="26"/>
  <c r="Z87" i="26"/>
  <c r="X87" i="26"/>
  <c r="V87" i="26"/>
  <c r="U87" i="26"/>
  <c r="S87" i="26"/>
  <c r="FL87" i="26" s="1"/>
  <c r="P87" i="26"/>
  <c r="O87" i="26"/>
  <c r="AX86" i="26"/>
  <c r="AQ86" i="26"/>
  <c r="AP86" i="26"/>
  <c r="AM86" i="26"/>
  <c r="AH86" i="26"/>
  <c r="AG86" i="26"/>
  <c r="AE86" i="26"/>
  <c r="N86" i="26"/>
  <c r="K86" i="26"/>
  <c r="I86" i="26"/>
  <c r="FL86" i="26" s="1"/>
  <c r="EZ85" i="26"/>
  <c r="EV85" i="26"/>
  <c r="ER85" i="26"/>
  <c r="CN85" i="26"/>
  <c r="FL85" i="26" s="1"/>
  <c r="FA84" i="26"/>
  <c r="EX84" i="26"/>
  <c r="EW84" i="26"/>
  <c r="EU84" i="26"/>
  <c r="ET84" i="26"/>
  <c r="ES84" i="26"/>
  <c r="EQ84" i="26"/>
  <c r="EP84" i="26"/>
  <c r="EJ84" i="26"/>
  <c r="EI84" i="26"/>
  <c r="EH84" i="26"/>
  <c r="EG84" i="26"/>
  <c r="EF84" i="26"/>
  <c r="EB84" i="26"/>
  <c r="EA84" i="26"/>
  <c r="DX84" i="26"/>
  <c r="DW84" i="26"/>
  <c r="DM84" i="26"/>
  <c r="DE84" i="26"/>
  <c r="DD84" i="26"/>
  <c r="DC84" i="26"/>
  <c r="CY84" i="26"/>
  <c r="CX84" i="26"/>
  <c r="CM84" i="26"/>
  <c r="CL84" i="26"/>
  <c r="CK84" i="26"/>
  <c r="CH84" i="26"/>
  <c r="CG84" i="26"/>
  <c r="CF84" i="26"/>
  <c r="CE84" i="26"/>
  <c r="CD84" i="26"/>
  <c r="CC84" i="26"/>
  <c r="CB84" i="26"/>
  <c r="BZ84" i="26"/>
  <c r="BY84" i="26"/>
  <c r="BX84" i="26"/>
  <c r="BW84" i="26"/>
  <c r="BV84" i="26"/>
  <c r="BT84" i="26"/>
  <c r="BS84" i="26"/>
  <c r="BR84" i="26"/>
  <c r="BQ84" i="26"/>
  <c r="BD84" i="26"/>
  <c r="AZ84" i="26"/>
  <c r="AT84" i="26"/>
  <c r="AO84" i="26"/>
  <c r="AI84" i="26"/>
  <c r="AF84" i="26"/>
  <c r="AD84" i="26"/>
  <c r="AC84" i="26"/>
  <c r="AB84" i="26"/>
  <c r="AA84" i="26"/>
  <c r="Z84" i="26"/>
  <c r="Y84" i="26"/>
  <c r="V84" i="26"/>
  <c r="U84" i="26"/>
  <c r="S84" i="26"/>
  <c r="P84" i="26"/>
  <c r="O84" i="26"/>
  <c r="FL84" i="26" s="1"/>
  <c r="AM83" i="26"/>
  <c r="AH83" i="26"/>
  <c r="AG83" i="26"/>
  <c r="AE83" i="26"/>
  <c r="T83" i="26"/>
  <c r="Q83" i="26"/>
  <c r="N83" i="26"/>
  <c r="FL83" i="26" s="1"/>
  <c r="CN82" i="26"/>
  <c r="FL82" i="26" s="1"/>
  <c r="EW81" i="26"/>
  <c r="EP81" i="26"/>
  <c r="EO81" i="26"/>
  <c r="EJ81" i="26"/>
  <c r="DM81" i="26"/>
  <c r="DK81" i="26"/>
  <c r="DK111" i="26" s="1"/>
  <c r="DE81" i="26"/>
  <c r="DB81" i="26"/>
  <c r="CZ81" i="26"/>
  <c r="CY81" i="26"/>
  <c r="CX81" i="26"/>
  <c r="CG81" i="26"/>
  <c r="CF81" i="26"/>
  <c r="CE81" i="26"/>
  <c r="CD81" i="26"/>
  <c r="CC81" i="26"/>
  <c r="BZ81" i="26"/>
  <c r="BS81" i="26"/>
  <c r="BQ81" i="26"/>
  <c r="BP81" i="26"/>
  <c r="BD81" i="26"/>
  <c r="AZ81" i="26"/>
  <c r="AT81" i="26"/>
  <c r="AC81" i="26"/>
  <c r="FL81" i="26" s="1"/>
  <c r="AB81" i="26"/>
  <c r="DU80" i="26"/>
  <c r="DT80" i="26"/>
  <c r="AM80" i="26"/>
  <c r="AH80" i="26"/>
  <c r="I80" i="26"/>
  <c r="FL80" i="26" s="1"/>
  <c r="EJ79" i="26"/>
  <c r="EH79" i="26"/>
  <c r="BD79" i="26"/>
  <c r="AT79" i="26"/>
  <c r="AO79" i="26"/>
  <c r="AF79" i="26"/>
  <c r="AB79" i="26"/>
  <c r="Z79" i="26"/>
  <c r="Y79" i="26"/>
  <c r="U79" i="26"/>
  <c r="FL79" i="26" s="1"/>
  <c r="AH78" i="26"/>
  <c r="AG78" i="26"/>
  <c r="AE78" i="26"/>
  <c r="N78" i="26"/>
  <c r="I78" i="26"/>
  <c r="FL78" i="26" s="1"/>
  <c r="BD77" i="26"/>
  <c r="AZ77" i="26"/>
  <c r="AT77" i="26"/>
  <c r="AD77" i="26"/>
  <c r="AC77" i="26"/>
  <c r="AB77" i="26"/>
  <c r="FL77" i="26" s="1"/>
  <c r="Y77" i="26"/>
  <c r="Y111" i="26" s="1"/>
  <c r="FL76" i="26"/>
  <c r="AH76" i="26"/>
  <c r="AE76" i="26"/>
  <c r="FL75" i="26"/>
  <c r="J75" i="26"/>
  <c r="EJ74" i="26"/>
  <c r="EH74" i="26"/>
  <c r="EG74" i="26"/>
  <c r="EE74" i="26"/>
  <c r="EC74" i="26"/>
  <c r="EB74" i="26"/>
  <c r="EA74" i="26"/>
  <c r="DS74" i="26"/>
  <c r="BF74" i="26"/>
  <c r="BD74" i="26"/>
  <c r="AT74" i="26"/>
  <c r="AO74" i="26"/>
  <c r="AC74" i="26"/>
  <c r="AB74" i="26"/>
  <c r="AA74" i="26"/>
  <c r="U74" i="26"/>
  <c r="S74" i="26"/>
  <c r="FL74" i="26" s="1"/>
  <c r="AQ73" i="26"/>
  <c r="AH73" i="26"/>
  <c r="AG73" i="26"/>
  <c r="AE73" i="26"/>
  <c r="K73" i="26"/>
  <c r="I73" i="26"/>
  <c r="FL73" i="26" s="1"/>
  <c r="FL72" i="26"/>
  <c r="J72" i="26"/>
  <c r="FL71" i="26"/>
  <c r="EJ71" i="26"/>
  <c r="EH71" i="26"/>
  <c r="EG71" i="26"/>
  <c r="EE71" i="26"/>
  <c r="EC71" i="26"/>
  <c r="EB71" i="26"/>
  <c r="EA71" i="26"/>
  <c r="DZ71" i="26"/>
  <c r="DZ111" i="26" s="1"/>
  <c r="DY71" i="26"/>
  <c r="DS71" i="26"/>
  <c r="BF71" i="26"/>
  <c r="BD71" i="26"/>
  <c r="AT71" i="26"/>
  <c r="AO71" i="26"/>
  <c r="AC71" i="26"/>
  <c r="AA71" i="26"/>
  <c r="U71" i="26"/>
  <c r="S71" i="26"/>
  <c r="AQ70" i="26"/>
  <c r="AH70" i="26"/>
  <c r="AG70" i="26"/>
  <c r="AE70" i="26"/>
  <c r="K70" i="26"/>
  <c r="FL70" i="26" s="1"/>
  <c r="I70" i="26"/>
  <c r="EZ69" i="26"/>
  <c r="EV69" i="26"/>
  <c r="ER69" i="26"/>
  <c r="CN69" i="26"/>
  <c r="J69" i="26"/>
  <c r="FL69" i="26" s="1"/>
  <c r="FD68" i="26"/>
  <c r="FC68" i="26"/>
  <c r="FA68" i="26"/>
  <c r="EX68" i="26"/>
  <c r="EW68" i="26"/>
  <c r="ET68" i="26"/>
  <c r="ES68" i="26"/>
  <c r="EQ68" i="26"/>
  <c r="EP68" i="26"/>
  <c r="EO68" i="26"/>
  <c r="EJ68" i="26"/>
  <c r="EH68" i="26"/>
  <c r="EG68" i="26"/>
  <c r="EE68" i="26"/>
  <c r="EC68" i="26"/>
  <c r="EB68" i="26"/>
  <c r="EA68" i="26"/>
  <c r="DR68" i="26"/>
  <c r="DM68" i="26"/>
  <c r="DE68" i="26"/>
  <c r="DD68" i="26"/>
  <c r="DB68" i="26"/>
  <c r="DA68" i="26"/>
  <c r="CZ68" i="26"/>
  <c r="CY68" i="26"/>
  <c r="CX68" i="26"/>
  <c r="CW68" i="26"/>
  <c r="CM68" i="26"/>
  <c r="CK68" i="26"/>
  <c r="CJ68" i="26"/>
  <c r="CI68" i="26"/>
  <c r="CH68" i="26"/>
  <c r="CG68" i="26"/>
  <c r="CF68" i="26"/>
  <c r="CE68" i="26"/>
  <c r="CD68" i="26"/>
  <c r="CC68" i="26"/>
  <c r="CB68" i="26"/>
  <c r="BZ68" i="26"/>
  <c r="BY68" i="26"/>
  <c r="BX68" i="26"/>
  <c r="BW68" i="26"/>
  <c r="BV68" i="26"/>
  <c r="BT68" i="26"/>
  <c r="BS68" i="26"/>
  <c r="BR68" i="26"/>
  <c r="BQ68" i="26"/>
  <c r="BP68" i="26"/>
  <c r="BF68" i="26"/>
  <c r="BD68" i="26"/>
  <c r="AT68" i="26"/>
  <c r="AC68" i="26"/>
  <c r="AB68" i="26"/>
  <c r="AA68" i="26"/>
  <c r="U68" i="26"/>
  <c r="S68" i="26"/>
  <c r="P68" i="26"/>
  <c r="O68" i="26"/>
  <c r="L68" i="26"/>
  <c r="FL68" i="26" s="1"/>
  <c r="DT67" i="26"/>
  <c r="DQ67" i="26"/>
  <c r="AQ67" i="26"/>
  <c r="AP67" i="26"/>
  <c r="AH67" i="26"/>
  <c r="FL67" i="26" s="1"/>
  <c r="AG67" i="26"/>
  <c r="AE67" i="26"/>
  <c r="N67" i="26"/>
  <c r="K67" i="26"/>
  <c r="I67" i="26"/>
  <c r="EJ66" i="26"/>
  <c r="EH66" i="26"/>
  <c r="EE66" i="26"/>
  <c r="EB66" i="26"/>
  <c r="EA66" i="26"/>
  <c r="BD66" i="26"/>
  <c r="AZ66" i="26"/>
  <c r="AT66" i="26"/>
  <c r="AK66" i="26"/>
  <c r="AC66" i="26"/>
  <c r="AB66" i="26"/>
  <c r="P66" i="26"/>
  <c r="FL66" i="26" s="1"/>
  <c r="O66" i="26"/>
  <c r="L66" i="26"/>
  <c r="AM65" i="26"/>
  <c r="AH65" i="26"/>
  <c r="AG65" i="26"/>
  <c r="AE65" i="26"/>
  <c r="FL65" i="26" s="1"/>
  <c r="N65" i="26"/>
  <c r="EZ64" i="26"/>
  <c r="EV64" i="26"/>
  <c r="ER64" i="26"/>
  <c r="EN64" i="26"/>
  <c r="FL64" i="26" s="1"/>
  <c r="CN64" i="26"/>
  <c r="FD63" i="26"/>
  <c r="FC63" i="26"/>
  <c r="FA63" i="26"/>
  <c r="EY63" i="26"/>
  <c r="EX63" i="26"/>
  <c r="EW63" i="26"/>
  <c r="EU63" i="26"/>
  <c r="ET63" i="26"/>
  <c r="ES63" i="26"/>
  <c r="EQ63" i="26"/>
  <c r="EP63" i="26"/>
  <c r="EO63" i="26"/>
  <c r="EM63" i="26"/>
  <c r="EL63" i="26"/>
  <c r="EK63" i="26"/>
  <c r="EJ63" i="26"/>
  <c r="EI63" i="26"/>
  <c r="EH63" i="26"/>
  <c r="EE63" i="26"/>
  <c r="ED63" i="26"/>
  <c r="EC63" i="26"/>
  <c r="EB63" i="26"/>
  <c r="EA63" i="26"/>
  <c r="DX63" i="26"/>
  <c r="DW63" i="26"/>
  <c r="DM63" i="26"/>
  <c r="DM111" i="26" s="1"/>
  <c r="DF63" i="26"/>
  <c r="DF111" i="26" s="1"/>
  <c r="DE63" i="26"/>
  <c r="DD63" i="26"/>
  <c r="DC63" i="26"/>
  <c r="DB63" i="26"/>
  <c r="DA63" i="26"/>
  <c r="CZ63" i="26"/>
  <c r="CY63" i="26"/>
  <c r="CX63" i="26"/>
  <c r="CW63" i="26"/>
  <c r="CP63" i="26"/>
  <c r="CO63" i="26"/>
  <c r="CO111" i="26" s="1"/>
  <c r="CM63" i="26"/>
  <c r="CM111" i="26" s="1"/>
  <c r="CL63" i="26"/>
  <c r="CK63" i="26"/>
  <c r="CJ63" i="26"/>
  <c r="CI63" i="26"/>
  <c r="CH63" i="26"/>
  <c r="CG63" i="26"/>
  <c r="CF63" i="26"/>
  <c r="CE63" i="26"/>
  <c r="CD63" i="26"/>
  <c r="CC63" i="26"/>
  <c r="CB63" i="26"/>
  <c r="CA63" i="26"/>
  <c r="CA111" i="26" s="1"/>
  <c r="BZ63" i="26"/>
  <c r="BY63" i="26"/>
  <c r="BX63" i="26"/>
  <c r="BW63" i="26"/>
  <c r="BV63" i="26"/>
  <c r="BU63" i="26"/>
  <c r="BT63" i="26"/>
  <c r="BS63" i="26"/>
  <c r="BR63" i="26"/>
  <c r="BQ63" i="26"/>
  <c r="BP63" i="26"/>
  <c r="BE63" i="26"/>
  <c r="BD63" i="26"/>
  <c r="AZ63" i="26"/>
  <c r="AW63" i="26"/>
  <c r="AW111" i="26" s="1"/>
  <c r="AT63" i="26"/>
  <c r="AS63" i="26"/>
  <c r="AR63" i="26"/>
  <c r="AO63" i="26"/>
  <c r="AL63" i="26"/>
  <c r="AJ63" i="26"/>
  <c r="AI63" i="26"/>
  <c r="AF63" i="26"/>
  <c r="AD63" i="26"/>
  <c r="AC63" i="26"/>
  <c r="AB63" i="26"/>
  <c r="Z63" i="26"/>
  <c r="Y63" i="26"/>
  <c r="W63" i="26"/>
  <c r="W111" i="26" s="1"/>
  <c r="V63" i="26"/>
  <c r="U63" i="26"/>
  <c r="S63" i="26"/>
  <c r="P63" i="26"/>
  <c r="O63" i="26"/>
  <c r="H63" i="26"/>
  <c r="FL63" i="26" s="1"/>
  <c r="AX62" i="26"/>
  <c r="AP62" i="26"/>
  <c r="AM62" i="26"/>
  <c r="AH62" i="26"/>
  <c r="AG62" i="26"/>
  <c r="AE62" i="26"/>
  <c r="T62" i="26"/>
  <c r="T111" i="26" s="1"/>
  <c r="Q62" i="26"/>
  <c r="N62" i="26"/>
  <c r="K62" i="26"/>
  <c r="I62" i="26"/>
  <c r="FL62" i="26" s="1"/>
  <c r="FD61" i="26"/>
  <c r="FA61" i="26"/>
  <c r="EX61" i="26"/>
  <c r="EW61" i="26"/>
  <c r="EU61" i="26"/>
  <c r="ES61" i="26"/>
  <c r="EQ61" i="26"/>
  <c r="EP61" i="26"/>
  <c r="EJ61" i="26"/>
  <c r="EI61" i="26"/>
  <c r="EH61" i="26"/>
  <c r="EE61" i="26"/>
  <c r="EC61" i="26"/>
  <c r="EA61" i="26"/>
  <c r="BD61" i="26"/>
  <c r="AT61" i="26"/>
  <c r="AI61" i="26"/>
  <c r="Z61" i="26"/>
  <c r="FL61" i="26" s="1"/>
  <c r="U61" i="26"/>
  <c r="S61" i="26"/>
  <c r="M61" i="26"/>
  <c r="M111" i="26" s="1"/>
  <c r="L61" i="26"/>
  <c r="FL60" i="26"/>
  <c r="AX60" i="26"/>
  <c r="AQ60" i="26"/>
  <c r="AP60" i="26"/>
  <c r="AM60" i="26"/>
  <c r="AH60" i="26"/>
  <c r="AG60" i="26"/>
  <c r="AE60" i="26"/>
  <c r="Q60" i="26"/>
  <c r="Q111" i="26" s="1"/>
  <c r="N60" i="26"/>
  <c r="FL59" i="26"/>
  <c r="AT59" i="26"/>
  <c r="FL58" i="26"/>
  <c r="AH58" i="26"/>
  <c r="EJ57" i="26"/>
  <c r="EI57" i="26"/>
  <c r="EH57" i="26"/>
  <c r="EG57" i="26"/>
  <c r="EF57" i="26"/>
  <c r="EE57" i="26"/>
  <c r="EB57" i="26"/>
  <c r="EA57" i="26"/>
  <c r="AT57" i="26"/>
  <c r="AO57" i="26"/>
  <c r="AD57" i="26"/>
  <c r="AC57" i="26"/>
  <c r="FL57" i="26" s="1"/>
  <c r="AB57" i="26"/>
  <c r="Z57" i="26"/>
  <c r="P57" i="26"/>
  <c r="O57" i="26"/>
  <c r="AQ56" i="26"/>
  <c r="AP56" i="26"/>
  <c r="AH56" i="26"/>
  <c r="AG56" i="26"/>
  <c r="AE56" i="26"/>
  <c r="FL56" i="26" s="1"/>
  <c r="N56" i="26"/>
  <c r="FL55" i="26"/>
  <c r="BD55" i="26"/>
  <c r="AT55" i="26"/>
  <c r="AQ54" i="26"/>
  <c r="AH54" i="26"/>
  <c r="AE54" i="26"/>
  <c r="FL54" i="26" s="1"/>
  <c r="EJ53" i="26"/>
  <c r="EI53" i="26"/>
  <c r="EH53" i="26"/>
  <c r="EG53" i="26"/>
  <c r="EF53" i="26"/>
  <c r="EE53" i="26"/>
  <c r="EB53" i="26"/>
  <c r="EA53" i="26"/>
  <c r="DX53" i="26"/>
  <c r="DW53" i="26"/>
  <c r="BE53" i="26"/>
  <c r="AT53" i="26"/>
  <c r="AO53" i="26"/>
  <c r="AD53" i="26"/>
  <c r="AC53" i="26"/>
  <c r="AB53" i="26"/>
  <c r="Z53" i="26"/>
  <c r="FL53" i="26" s="1"/>
  <c r="AQ52" i="26"/>
  <c r="AP52" i="26"/>
  <c r="AM52" i="26"/>
  <c r="AH52" i="26"/>
  <c r="AG52" i="26"/>
  <c r="AE52" i="26"/>
  <c r="FL52" i="26" s="1"/>
  <c r="EJ51" i="26"/>
  <c r="EE51" i="26"/>
  <c r="DX51" i="26"/>
  <c r="DW51" i="26"/>
  <c r="BF51" i="26"/>
  <c r="BE51" i="26"/>
  <c r="BD51" i="26"/>
  <c r="AZ51" i="26"/>
  <c r="AT51" i="26"/>
  <c r="AK51" i="26"/>
  <c r="AJ51" i="26"/>
  <c r="AI51" i="26"/>
  <c r="AB51" i="26"/>
  <c r="Z51" i="26"/>
  <c r="U51" i="26"/>
  <c r="O51" i="26"/>
  <c r="FL51" i="26" s="1"/>
  <c r="AQ50" i="26"/>
  <c r="AP50" i="26"/>
  <c r="AM50" i="26"/>
  <c r="AG50" i="26"/>
  <c r="AE50" i="26"/>
  <c r="N50" i="26"/>
  <c r="FL50" i="26" s="1"/>
  <c r="EO49" i="26"/>
  <c r="BD49" i="26"/>
  <c r="AT49" i="26"/>
  <c r="AD49" i="26"/>
  <c r="FL49" i="26" s="1"/>
  <c r="AP48" i="26"/>
  <c r="FL48" i="26" s="1"/>
  <c r="AH48" i="26"/>
  <c r="EJ47" i="26"/>
  <c r="EH47" i="26"/>
  <c r="EE47" i="26"/>
  <c r="EB47" i="26"/>
  <c r="EA47" i="26"/>
  <c r="BD47" i="26"/>
  <c r="AT47" i="26"/>
  <c r="AK47" i="26"/>
  <c r="AC47" i="26"/>
  <c r="AB47" i="26"/>
  <c r="P47" i="26"/>
  <c r="O47" i="26"/>
  <c r="L47" i="26"/>
  <c r="FL47" i="26" s="1"/>
  <c r="FL46" i="26"/>
  <c r="AM46" i="26"/>
  <c r="AG46" i="26"/>
  <c r="N46" i="26"/>
  <c r="FL45" i="26"/>
  <c r="FC45" i="26"/>
  <c r="FC111" i="26" s="1"/>
  <c r="FL44" i="26"/>
  <c r="N44" i="26"/>
  <c r="FL43" i="26"/>
  <c r="J43" i="26"/>
  <c r="DS42" i="26"/>
  <c r="AT42" i="26"/>
  <c r="AC42" i="26"/>
  <c r="AB42" i="26"/>
  <c r="U42" i="26"/>
  <c r="P42" i="26"/>
  <c r="O42" i="26"/>
  <c r="FL42" i="26" s="1"/>
  <c r="AM41" i="26"/>
  <c r="AG41" i="26"/>
  <c r="AE41" i="26"/>
  <c r="N41" i="26"/>
  <c r="K41" i="26"/>
  <c r="FL41" i="26" s="1"/>
  <c r="I41" i="26"/>
  <c r="EJ39" i="26"/>
  <c r="BD39" i="26"/>
  <c r="AT39" i="26"/>
  <c r="AC39" i="26"/>
  <c r="AB39" i="26"/>
  <c r="P39" i="26"/>
  <c r="O39" i="26"/>
  <c r="FL39" i="26" s="1"/>
  <c r="AM38" i="26"/>
  <c r="AE38" i="26"/>
  <c r="N38" i="26"/>
  <c r="I38" i="26"/>
  <c r="FL38" i="26" s="1"/>
  <c r="EZ37" i="26"/>
  <c r="EV37" i="26"/>
  <c r="ER37" i="26"/>
  <c r="FL37" i="26" s="1"/>
  <c r="EW36" i="26"/>
  <c r="ET36" i="26"/>
  <c r="ES36" i="26"/>
  <c r="EQ36" i="26"/>
  <c r="AT36" i="26"/>
  <c r="FL36" i="26" s="1"/>
  <c r="AA36" i="26"/>
  <c r="AH35" i="26"/>
  <c r="AG35" i="26"/>
  <c r="AE35" i="26"/>
  <c r="FL35" i="26" s="1"/>
  <c r="EJ34" i="26"/>
  <c r="EG34" i="26"/>
  <c r="BF34" i="26"/>
  <c r="BD34" i="26"/>
  <c r="AT34" i="26"/>
  <c r="AB34" i="26"/>
  <c r="FL34" i="26" s="1"/>
  <c r="FL33" i="26"/>
  <c r="AH33" i="26"/>
  <c r="AE33" i="26"/>
  <c r="EZ32" i="26"/>
  <c r="EV32" i="26"/>
  <c r="ER32" i="26"/>
  <c r="J32" i="26"/>
  <c r="FL32" i="26" s="1"/>
  <c r="FA31" i="26"/>
  <c r="EX31" i="26"/>
  <c r="EW31" i="26"/>
  <c r="EU31" i="26"/>
  <c r="ET31" i="26"/>
  <c r="ES31" i="26"/>
  <c r="EQ31" i="26"/>
  <c r="EP31" i="26"/>
  <c r="EO31" i="26"/>
  <c r="EJ31" i="26"/>
  <c r="EI31" i="26"/>
  <c r="EH31" i="26"/>
  <c r="EG31" i="26"/>
  <c r="EF31" i="26"/>
  <c r="EE31" i="26"/>
  <c r="BF31" i="26"/>
  <c r="BE31" i="26"/>
  <c r="BD31" i="26"/>
  <c r="AZ31" i="26"/>
  <c r="AT31" i="26"/>
  <c r="AO31" i="26"/>
  <c r="AI31" i="26"/>
  <c r="AF31" i="26"/>
  <c r="AD31" i="26"/>
  <c r="AC31" i="26"/>
  <c r="AB31" i="26"/>
  <c r="AA31" i="26"/>
  <c r="Z31" i="26"/>
  <c r="V31" i="26"/>
  <c r="U31" i="26"/>
  <c r="S31" i="26"/>
  <c r="P31" i="26"/>
  <c r="O31" i="26"/>
  <c r="FL31" i="26" s="1"/>
  <c r="DV30" i="26"/>
  <c r="DU30" i="26"/>
  <c r="DU111" i="26" s="1"/>
  <c r="AQ30" i="26"/>
  <c r="AM30" i="26"/>
  <c r="AH30" i="26"/>
  <c r="AG30" i="26"/>
  <c r="AE30" i="26"/>
  <c r="N30" i="26"/>
  <c r="K30" i="26"/>
  <c r="I30" i="26"/>
  <c r="I111" i="26" s="1"/>
  <c r="FL29" i="26"/>
  <c r="BF29" i="26"/>
  <c r="BD29" i="26"/>
  <c r="AT29" i="26"/>
  <c r="AB29" i="26"/>
  <c r="O29" i="26"/>
  <c r="FL28" i="26"/>
  <c r="AM28" i="26"/>
  <c r="AH28" i="26"/>
  <c r="AE28" i="26"/>
  <c r="N28" i="26"/>
  <c r="FL27" i="26"/>
  <c r="FD27" i="26"/>
  <c r="EE27" i="26"/>
  <c r="EC27" i="26"/>
  <c r="EC111" i="26" s="1"/>
  <c r="AB27" i="26"/>
  <c r="AA27" i="26"/>
  <c r="AM26" i="26"/>
  <c r="AH26" i="26"/>
  <c r="FL26" i="26" s="1"/>
  <c r="BF25" i="26"/>
  <c r="BD25" i="26"/>
  <c r="AT25" i="26"/>
  <c r="AB25" i="26"/>
  <c r="FL25" i="26" s="1"/>
  <c r="AQ24" i="26"/>
  <c r="AH24" i="26"/>
  <c r="FL24" i="26" s="1"/>
  <c r="AE24" i="26"/>
  <c r="BF23" i="26"/>
  <c r="BD23" i="26"/>
  <c r="AT23" i="26"/>
  <c r="AB23" i="26"/>
  <c r="FL23" i="26" s="1"/>
  <c r="AM22" i="26"/>
  <c r="AH22" i="26"/>
  <c r="FL22" i="26" s="1"/>
  <c r="BF21" i="26"/>
  <c r="BD21" i="26"/>
  <c r="FL21" i="26" s="1"/>
  <c r="AT21" i="26"/>
  <c r="AB21" i="26"/>
  <c r="FL20" i="26"/>
  <c r="AM20" i="26"/>
  <c r="AH20" i="26"/>
  <c r="AE20" i="26"/>
  <c r="EZ19" i="26"/>
  <c r="EV19" i="26"/>
  <c r="ER19" i="26"/>
  <c r="FL19" i="26" s="1"/>
  <c r="FA18" i="26"/>
  <c r="EX18" i="26"/>
  <c r="EW18" i="26"/>
  <c r="EU18" i="26"/>
  <c r="ET18" i="26"/>
  <c r="ES18" i="26"/>
  <c r="EQ18" i="26"/>
  <c r="EP18" i="26"/>
  <c r="EO18" i="26"/>
  <c r="EO111" i="26" s="1"/>
  <c r="EJ18" i="26"/>
  <c r="EI18" i="26"/>
  <c r="EH18" i="26"/>
  <c r="EG18" i="26"/>
  <c r="EF18" i="26"/>
  <c r="EE18" i="26"/>
  <c r="BF18" i="26"/>
  <c r="BE18" i="26"/>
  <c r="BD18" i="26"/>
  <c r="AZ18" i="26"/>
  <c r="AT18" i="26"/>
  <c r="AO18" i="26"/>
  <c r="AI18" i="26"/>
  <c r="AF18" i="26"/>
  <c r="AD18" i="26"/>
  <c r="AC18" i="26"/>
  <c r="AC111" i="26" s="1"/>
  <c r="AB18" i="26"/>
  <c r="AA18" i="26"/>
  <c r="Z18" i="26"/>
  <c r="V18" i="26"/>
  <c r="U18" i="26"/>
  <c r="S18" i="26"/>
  <c r="H18" i="26"/>
  <c r="FL18" i="26" s="1"/>
  <c r="FL17" i="26"/>
  <c r="AQ17" i="26"/>
  <c r="AQ111" i="26" s="1"/>
  <c r="AM17" i="26"/>
  <c r="AH17" i="26"/>
  <c r="AG17" i="26"/>
  <c r="AE17" i="26"/>
  <c r="BF16" i="26"/>
  <c r="BD16" i="26"/>
  <c r="AT16" i="26"/>
  <c r="AB16" i="26"/>
  <c r="FL16" i="26" s="1"/>
  <c r="AH15" i="26"/>
  <c r="AE15" i="26"/>
  <c r="FL15" i="26" s="1"/>
  <c r="FA14" i="26"/>
  <c r="EW14" i="26"/>
  <c r="EU14" i="26"/>
  <c r="ET14" i="26"/>
  <c r="ES14" i="26"/>
  <c r="FL14" i="26" s="1"/>
  <c r="EQ14" i="26"/>
  <c r="AT14" i="26"/>
  <c r="U14" i="26"/>
  <c r="AG13" i="26"/>
  <c r="AG111" i="26" s="1"/>
  <c r="FL12" i="26"/>
  <c r="J12" i="26"/>
  <c r="J111" i="26" s="1"/>
  <c r="FD11" i="26"/>
  <c r="FD111" i="26" s="1"/>
  <c r="FC11" i="26"/>
  <c r="EE11" i="26"/>
  <c r="EE111" i="26" s="1"/>
  <c r="EB11" i="26"/>
  <c r="EB111" i="26" s="1"/>
  <c r="EA11" i="26"/>
  <c r="EA111" i="26" s="1"/>
  <c r="DS11" i="26"/>
  <c r="DS111" i="26" s="1"/>
  <c r="DR11" i="26"/>
  <c r="DR111" i="26" s="1"/>
  <c r="AF11" i="26"/>
  <c r="AF111" i="26" s="1"/>
  <c r="P11" i="26"/>
  <c r="P111" i="26" s="1"/>
  <c r="O11" i="26"/>
  <c r="O111" i="26" s="1"/>
  <c r="L11" i="26"/>
  <c r="FL11" i="26" s="1"/>
  <c r="DV10" i="26"/>
  <c r="DV111" i="26" s="1"/>
  <c r="DU10" i="26"/>
  <c r="DT10" i="26"/>
  <c r="DT111" i="26" s="1"/>
  <c r="DQ10" i="26"/>
  <c r="DQ111" i="26" s="1"/>
  <c r="DP10" i="26"/>
  <c r="DP111" i="26" s="1"/>
  <c r="N10" i="26"/>
  <c r="N111" i="26" s="1"/>
  <c r="K10" i="26"/>
  <c r="K111" i="26" s="1"/>
  <c r="I10" i="26"/>
  <c r="FL10" i="26" s="1"/>
  <c r="FL9" i="26"/>
  <c r="EZ9" i="26"/>
  <c r="EZ111" i="26" s="1"/>
  <c r="EV9" i="26"/>
  <c r="EV111" i="26" s="1"/>
  <c r="ER9" i="26"/>
  <c r="ER111" i="26" s="1"/>
  <c r="EN9" i="26"/>
  <c r="EN111" i="26" s="1"/>
  <c r="DF9" i="26"/>
  <c r="CN9" i="26"/>
  <c r="CN111" i="26" s="1"/>
  <c r="FA8" i="26"/>
  <c r="FA111" i="26" s="1"/>
  <c r="EY8" i="26"/>
  <c r="EY111" i="26" s="1"/>
  <c r="EX8" i="26"/>
  <c r="EX111" i="26" s="1"/>
  <c r="EW8" i="26"/>
  <c r="EU8" i="26"/>
  <c r="EU111" i="26" s="1"/>
  <c r="ET8" i="26"/>
  <c r="ET111" i="26" s="1"/>
  <c r="ES8" i="26"/>
  <c r="ES111" i="26" s="1"/>
  <c r="EQ8" i="26"/>
  <c r="EQ111" i="26" s="1"/>
  <c r="EP8" i="26"/>
  <c r="EP111" i="26" s="1"/>
  <c r="EO8" i="26"/>
  <c r="EM8" i="26"/>
  <c r="EM111" i="26" s="1"/>
  <c r="EL8" i="26"/>
  <c r="EL111" i="26" s="1"/>
  <c r="EK8" i="26"/>
  <c r="EJ8" i="26"/>
  <c r="EJ111" i="26" s="1"/>
  <c r="EI8" i="26"/>
  <c r="EI111" i="26" s="1"/>
  <c r="EH8" i="26"/>
  <c r="EH111" i="26" s="1"/>
  <c r="EG8" i="26"/>
  <c r="EG111" i="26" s="1"/>
  <c r="EF8" i="26"/>
  <c r="EF111" i="26" s="1"/>
  <c r="DX8" i="26"/>
  <c r="DX111" i="26" s="1"/>
  <c r="DW8" i="26"/>
  <c r="DW111" i="26" s="1"/>
  <c r="DM8" i="26"/>
  <c r="DK8" i="26"/>
  <c r="DE8" i="26"/>
  <c r="DE111" i="26" s="1"/>
  <c r="DD8" i="26"/>
  <c r="DD111" i="26" s="1"/>
  <c r="DC8" i="26"/>
  <c r="DC111" i="26" s="1"/>
  <c r="DB8" i="26"/>
  <c r="DB111" i="26" s="1"/>
  <c r="DA8" i="26"/>
  <c r="CZ8" i="26"/>
  <c r="CZ111" i="26" s="1"/>
  <c r="CY8" i="26"/>
  <c r="CY111" i="26" s="1"/>
  <c r="CX8" i="26"/>
  <c r="CX111" i="26" s="1"/>
  <c r="CW8" i="26"/>
  <c r="CW111" i="26" s="1"/>
  <c r="CP8" i="26"/>
  <c r="CP111" i="26" s="1"/>
  <c r="CO8" i="26"/>
  <c r="CM8" i="26"/>
  <c r="CL8" i="26"/>
  <c r="CL111" i="26" s="1"/>
  <c r="CK8" i="26"/>
  <c r="CK111" i="26" s="1"/>
  <c r="CJ8" i="26"/>
  <c r="CJ111" i="26" s="1"/>
  <c r="CI8" i="26"/>
  <c r="CI111" i="26" s="1"/>
  <c r="CH8" i="26"/>
  <c r="CH111" i="26" s="1"/>
  <c r="CG8" i="26"/>
  <c r="CG111" i="26" s="1"/>
  <c r="CF8" i="26"/>
  <c r="CF111" i="26" s="1"/>
  <c r="CE8" i="26"/>
  <c r="CE111" i="26" s="1"/>
  <c r="CD8" i="26"/>
  <c r="CD111" i="26" s="1"/>
  <c r="CC8" i="26"/>
  <c r="CB8" i="26"/>
  <c r="CB111" i="26" s="1"/>
  <c r="CA8" i="26"/>
  <c r="BZ8" i="26"/>
  <c r="BZ111" i="26" s="1"/>
  <c r="BY8" i="26"/>
  <c r="BY111" i="26" s="1"/>
  <c r="BX8" i="26"/>
  <c r="BX111" i="26" s="1"/>
  <c r="BW8" i="26"/>
  <c r="BW111" i="26" s="1"/>
  <c r="BV8" i="26"/>
  <c r="BV111" i="26" s="1"/>
  <c r="BU8" i="26"/>
  <c r="BU111" i="26" s="1"/>
  <c r="BT8" i="26"/>
  <c r="BT111" i="26" s="1"/>
  <c r="BS8" i="26"/>
  <c r="BS111" i="26" s="1"/>
  <c r="BR8" i="26"/>
  <c r="BR111" i="26" s="1"/>
  <c r="BQ8" i="26"/>
  <c r="BP8" i="26"/>
  <c r="BP111" i="26" s="1"/>
  <c r="BO8" i="26"/>
  <c r="BN8" i="26"/>
  <c r="BN111" i="26" s="1"/>
  <c r="BM8" i="26"/>
  <c r="BM111" i="26" s="1"/>
  <c r="BL8" i="26"/>
  <c r="BL111" i="26" s="1"/>
  <c r="BK8" i="26"/>
  <c r="BK111" i="26" s="1"/>
  <c r="BJ8" i="26"/>
  <c r="BJ111" i="26" s="1"/>
  <c r="BI8" i="26"/>
  <c r="BI111" i="26" s="1"/>
  <c r="BF8" i="26"/>
  <c r="BF111" i="26" s="1"/>
  <c r="BE8" i="26"/>
  <c r="BD8" i="26"/>
  <c r="BD111" i="26" s="1"/>
  <c r="BC8" i="26"/>
  <c r="BC111" i="26" s="1"/>
  <c r="BB8" i="26"/>
  <c r="BB111" i="26" s="1"/>
  <c r="BA8" i="26"/>
  <c r="AZ8" i="26"/>
  <c r="AZ111" i="26" s="1"/>
  <c r="AT8" i="26"/>
  <c r="AT111" i="26" s="1"/>
  <c r="AS8" i="26"/>
  <c r="AR8" i="26"/>
  <c r="AR111" i="26" s="1"/>
  <c r="AO8" i="26"/>
  <c r="AO111" i="26" s="1"/>
  <c r="AN8" i="26"/>
  <c r="AN111" i="26" s="1"/>
  <c r="AL8" i="26"/>
  <c r="AL111" i="26" s="1"/>
  <c r="AK8" i="26"/>
  <c r="AK111" i="26" s="1"/>
  <c r="AJ8" i="26"/>
  <c r="AJ111" i="26" s="1"/>
  <c r="AI8" i="26"/>
  <c r="AI111" i="26" s="1"/>
  <c r="AD8" i="26"/>
  <c r="AD111" i="26" s="1"/>
  <c r="AC8" i="26"/>
  <c r="AB8" i="26"/>
  <c r="AB111" i="26" s="1"/>
  <c r="AA8" i="26"/>
  <c r="AA111" i="26" s="1"/>
  <c r="Z8" i="26"/>
  <c r="Z111" i="26" s="1"/>
  <c r="X8" i="26"/>
  <c r="X111" i="26" s="1"/>
  <c r="V8" i="26"/>
  <c r="V111" i="26" s="1"/>
  <c r="U8" i="26"/>
  <c r="S8" i="26"/>
  <c r="S111" i="26" s="1"/>
  <c r="H8" i="26"/>
  <c r="H111" i="26" s="1"/>
  <c r="AY7" i="26"/>
  <c r="AY111" i="26" s="1"/>
  <c r="AX7" i="26"/>
  <c r="AX111" i="26" s="1"/>
  <c r="AQ7" i="26"/>
  <c r="AP7" i="26"/>
  <c r="AP111" i="26" s="1"/>
  <c r="AM7" i="26"/>
  <c r="FL7" i="26" s="1"/>
  <c r="AH7" i="26"/>
  <c r="AH111" i="26" s="1"/>
  <c r="AG7" i="26"/>
  <c r="AE7" i="26"/>
  <c r="AE111" i="26" s="1"/>
  <c r="FH111" i="26" l="1"/>
  <c r="FL13" i="26"/>
  <c r="FL111" i="26" s="1"/>
  <c r="L111" i="26"/>
  <c r="FL8" i="26"/>
  <c r="AM111" i="26"/>
  <c r="FL30" i="26"/>
  <c r="F132" i="25" l="1"/>
  <c r="FG118" i="25" l="1"/>
  <c r="FG117" i="25"/>
  <c r="FG116" i="25"/>
  <c r="FG115" i="25"/>
  <c r="FG114" i="25"/>
  <c r="FG119" i="25" s="1"/>
  <c r="FG112" i="25"/>
  <c r="EU119" i="25" l="1"/>
  <c r="ES119" i="25"/>
  <c r="EP119" i="25"/>
  <c r="EO119" i="25"/>
  <c r="EL119" i="25"/>
  <c r="DN119" i="25"/>
  <c r="DL119" i="25"/>
  <c r="DD119" i="25"/>
  <c r="DA119" i="25"/>
  <c r="CZ119" i="25"/>
  <c r="CY119" i="25"/>
  <c r="CR119" i="25"/>
  <c r="CP119" i="25"/>
  <c r="CO119" i="25"/>
  <c r="CN119" i="25"/>
  <c r="CM119" i="25"/>
  <c r="CL119" i="25"/>
  <c r="CK119" i="25"/>
  <c r="CJ119" i="25"/>
  <c r="CH119" i="25"/>
  <c r="CF119" i="25"/>
  <c r="CE119" i="25"/>
  <c r="CA119" i="25"/>
  <c r="BY119" i="25"/>
  <c r="BV119" i="25"/>
  <c r="BU119" i="25"/>
  <c r="BS119" i="25"/>
  <c r="BG119" i="25"/>
  <c r="BC119" i="25"/>
  <c r="AW119" i="25"/>
  <c r="FL109" i="25"/>
  <c r="FL108" i="25"/>
  <c r="FL107" i="25"/>
  <c r="FL106" i="25"/>
  <c r="AW105" i="25"/>
  <c r="FL105" i="25" s="1"/>
  <c r="BG104" i="25"/>
  <c r="FL104" i="25" s="1"/>
  <c r="AJ104" i="25"/>
  <c r="AW103" i="25"/>
  <c r="AF103" i="25"/>
  <c r="FL103" i="25" s="1"/>
  <c r="FL102" i="25"/>
  <c r="BG102" i="25"/>
  <c r="AJ102" i="25"/>
  <c r="K102" i="25"/>
  <c r="T101" i="25"/>
  <c r="FL101" i="25" s="1"/>
  <c r="AI100" i="25"/>
  <c r="FL100" i="25" s="1"/>
  <c r="K100" i="25"/>
  <c r="I100" i="25"/>
  <c r="J99" i="25"/>
  <c r="FL99" i="25" s="1"/>
  <c r="FD98" i="25"/>
  <c r="FC98" i="25"/>
  <c r="EI98" i="25"/>
  <c r="EG98" i="25"/>
  <c r="EF98" i="25"/>
  <c r="EE98" i="25"/>
  <c r="ED98" i="25"/>
  <c r="EB98" i="25"/>
  <c r="EA98" i="25"/>
  <c r="DZ98" i="25"/>
  <c r="DY98" i="25"/>
  <c r="BI98" i="25"/>
  <c r="AW98" i="25"/>
  <c r="AV98" i="25"/>
  <c r="AU98" i="25"/>
  <c r="AG98" i="25"/>
  <c r="AE98" i="25"/>
  <c r="AD98" i="25"/>
  <c r="Q98" i="25"/>
  <c r="FL98" i="25" s="1"/>
  <c r="P98" i="25"/>
  <c r="L98" i="25"/>
  <c r="FB97" i="25"/>
  <c r="BG97" i="25"/>
  <c r="AQ97" i="25"/>
  <c r="AJ97" i="25"/>
  <c r="AI97" i="25"/>
  <c r="AG97" i="25"/>
  <c r="K97" i="25"/>
  <c r="I97" i="25"/>
  <c r="FL97" i="25" s="1"/>
  <c r="FD96" i="25"/>
  <c r="FC96" i="25"/>
  <c r="EI96" i="25"/>
  <c r="EG96" i="25"/>
  <c r="FL96" i="25" s="1"/>
  <c r="EF96" i="25"/>
  <c r="ED96" i="25"/>
  <c r="EB96" i="25"/>
  <c r="DZ96" i="25"/>
  <c r="DX96" i="25"/>
  <c r="AW96" i="25"/>
  <c r="AP96" i="25"/>
  <c r="FL95" i="25"/>
  <c r="BG95" i="25"/>
  <c r="AT95" i="25"/>
  <c r="AS95" i="25"/>
  <c r="FL94" i="25"/>
  <c r="AW94" i="25"/>
  <c r="AJ94" i="25"/>
  <c r="BG93" i="25"/>
  <c r="AT93" i="25"/>
  <c r="AS93" i="25"/>
  <c r="AJ93" i="25"/>
  <c r="FL93" i="25" s="1"/>
  <c r="EI92" i="25"/>
  <c r="EF92" i="25"/>
  <c r="EB92" i="25"/>
  <c r="EA92" i="25"/>
  <c r="FL92" i="25" s="1"/>
  <c r="DZ92" i="25"/>
  <c r="DW92" i="25"/>
  <c r="DV92" i="25"/>
  <c r="AW92" i="25"/>
  <c r="AT91" i="25"/>
  <c r="AS91" i="25"/>
  <c r="AJ91" i="25"/>
  <c r="FL91" i="25" s="1"/>
  <c r="AW90" i="25"/>
  <c r="AD90" i="25"/>
  <c r="FL90" i="25" s="1"/>
  <c r="FL89" i="25"/>
  <c r="BG89" i="25"/>
  <c r="AJ89" i="25"/>
  <c r="EI88" i="25"/>
  <c r="EG88" i="25"/>
  <c r="AW88" i="25"/>
  <c r="AH88" i="25"/>
  <c r="AG88" i="25"/>
  <c r="AD88" i="25"/>
  <c r="AB88" i="25"/>
  <c r="Z88" i="25"/>
  <c r="V88" i="25"/>
  <c r="P88" i="25"/>
  <c r="FL88" i="25" s="1"/>
  <c r="EI87" i="25"/>
  <c r="EG87" i="25"/>
  <c r="DR87" i="25"/>
  <c r="AW87" i="25"/>
  <c r="AO87" i="25"/>
  <c r="AH87" i="25"/>
  <c r="AG87" i="25"/>
  <c r="AD87" i="25"/>
  <c r="AB87" i="25"/>
  <c r="Z87" i="25"/>
  <c r="V87" i="25"/>
  <c r="P87" i="25"/>
  <c r="FL87" i="25" s="1"/>
  <c r="BG86" i="25"/>
  <c r="AQ86" i="25"/>
  <c r="AJ86" i="25"/>
  <c r="AI86" i="25"/>
  <c r="AG86" i="25"/>
  <c r="N86" i="25"/>
  <c r="K86" i="25"/>
  <c r="I86" i="25"/>
  <c r="FL86" i="25" s="1"/>
  <c r="FL85" i="25"/>
  <c r="BG85" i="25"/>
  <c r="AQ85" i="25"/>
  <c r="AJ85" i="25"/>
  <c r="AI85" i="25"/>
  <c r="N85" i="25"/>
  <c r="K85" i="25"/>
  <c r="I85" i="25"/>
  <c r="FL84" i="25"/>
  <c r="J84" i="25"/>
  <c r="FD83" i="25"/>
  <c r="FC83" i="25"/>
  <c r="EI83" i="25"/>
  <c r="EG83" i="25"/>
  <c r="EF83" i="25"/>
  <c r="ED83" i="25"/>
  <c r="EC83" i="25"/>
  <c r="EB83" i="25"/>
  <c r="EA83" i="25"/>
  <c r="DZ83" i="25"/>
  <c r="DW83" i="25"/>
  <c r="DV83" i="25"/>
  <c r="BI83" i="25"/>
  <c r="BH83" i="25"/>
  <c r="BC83" i="25"/>
  <c r="AW83" i="25"/>
  <c r="AO83" i="25"/>
  <c r="AM83" i="25"/>
  <c r="AL83" i="25"/>
  <c r="AG83" i="25"/>
  <c r="AF83" i="25"/>
  <c r="AE83" i="25"/>
  <c r="AD83" i="25"/>
  <c r="AC83" i="25"/>
  <c r="AB83" i="25"/>
  <c r="Z83" i="25"/>
  <c r="Y83" i="25"/>
  <c r="X83" i="25"/>
  <c r="W83" i="25"/>
  <c r="V83" i="25"/>
  <c r="Q83" i="25"/>
  <c r="P83" i="25"/>
  <c r="M83" i="25"/>
  <c r="FL83" i="25" s="1"/>
  <c r="BG82" i="25"/>
  <c r="BA82" i="25"/>
  <c r="AT82" i="25"/>
  <c r="AS82" i="25"/>
  <c r="FL82" i="25" s="1"/>
  <c r="AJ82" i="25"/>
  <c r="AI82" i="25"/>
  <c r="S82" i="25"/>
  <c r="R82" i="25"/>
  <c r="N82" i="25"/>
  <c r="K82" i="25"/>
  <c r="I82" i="25"/>
  <c r="EI81" i="25"/>
  <c r="EH81" i="25"/>
  <c r="EG81" i="25"/>
  <c r="EF81" i="25"/>
  <c r="EE81" i="25"/>
  <c r="EA81" i="25"/>
  <c r="DZ81" i="25"/>
  <c r="DW81" i="25"/>
  <c r="DV81" i="25"/>
  <c r="BC81" i="25"/>
  <c r="AW81" i="25"/>
  <c r="AO81" i="25"/>
  <c r="AK81" i="25"/>
  <c r="AH81" i="25"/>
  <c r="AG81" i="25"/>
  <c r="AF81" i="25"/>
  <c r="AE81" i="25"/>
  <c r="AD81" i="25"/>
  <c r="AC81" i="25"/>
  <c r="AB81" i="25"/>
  <c r="Z81" i="25"/>
  <c r="W81" i="25"/>
  <c r="V81" i="25"/>
  <c r="T81" i="25"/>
  <c r="FL81" i="25" s="1"/>
  <c r="Q81" i="25"/>
  <c r="P81" i="25"/>
  <c r="BG80" i="25"/>
  <c r="AQ80" i="25"/>
  <c r="AJ80" i="25"/>
  <c r="AI80" i="25"/>
  <c r="AG80" i="25"/>
  <c r="U80" i="25"/>
  <c r="R80" i="25"/>
  <c r="N80" i="25"/>
  <c r="FL80" i="25" s="1"/>
  <c r="FL79" i="25"/>
  <c r="J79" i="25"/>
  <c r="FD78" i="25"/>
  <c r="FC78" i="25"/>
  <c r="EI78" i="25"/>
  <c r="EG78" i="25"/>
  <c r="EF78" i="25"/>
  <c r="EE78" i="25"/>
  <c r="ED78" i="25"/>
  <c r="EB78" i="25"/>
  <c r="EA78" i="25"/>
  <c r="DZ78" i="25"/>
  <c r="DR78" i="25"/>
  <c r="DQ78" i="25"/>
  <c r="BH78" i="25"/>
  <c r="BD78" i="25"/>
  <c r="BC78" i="25"/>
  <c r="AZ78" i="25"/>
  <c r="AW78" i="25"/>
  <c r="AV78" i="25"/>
  <c r="AU78" i="25"/>
  <c r="AO78" i="25"/>
  <c r="AN78" i="25"/>
  <c r="AM78" i="25"/>
  <c r="AK78" i="25"/>
  <c r="AH78" i="25"/>
  <c r="AG78" i="25"/>
  <c r="AE78" i="25"/>
  <c r="AD78" i="25"/>
  <c r="AC78" i="25"/>
  <c r="X78" i="25"/>
  <c r="W78" i="25"/>
  <c r="V78" i="25"/>
  <c r="T78" i="25"/>
  <c r="Q78" i="25"/>
  <c r="P78" i="25"/>
  <c r="L78" i="25"/>
  <c r="FL78" i="25" s="1"/>
  <c r="DU77" i="25"/>
  <c r="DT77" i="25"/>
  <c r="DP77" i="25"/>
  <c r="DO77" i="25"/>
  <c r="BG77" i="25"/>
  <c r="BA77" i="25"/>
  <c r="AT77" i="25"/>
  <c r="AS77" i="25"/>
  <c r="AN77" i="25"/>
  <c r="AJ77" i="25"/>
  <c r="AI77" i="25"/>
  <c r="AG77" i="25"/>
  <c r="U77" i="25"/>
  <c r="R77" i="25"/>
  <c r="N77" i="25"/>
  <c r="K77" i="25"/>
  <c r="FL77" i="25" s="1"/>
  <c r="I77" i="25"/>
  <c r="FL76" i="25"/>
  <c r="AW76" i="25"/>
  <c r="BG75" i="25"/>
  <c r="FL75" i="25" s="1"/>
  <c r="FL74" i="25"/>
  <c r="J74" i="25"/>
  <c r="BI73" i="25"/>
  <c r="AW73" i="25"/>
  <c r="AG73" i="25"/>
  <c r="AE73" i="25"/>
  <c r="FL73" i="25" s="1"/>
  <c r="AD73" i="25"/>
  <c r="AC73" i="25"/>
  <c r="V73" i="25"/>
  <c r="T73" i="25"/>
  <c r="BG72" i="25"/>
  <c r="AT72" i="25"/>
  <c r="AQ72" i="25"/>
  <c r="AJ72" i="25"/>
  <c r="AI72" i="25"/>
  <c r="FL72" i="25" s="1"/>
  <c r="K72" i="25"/>
  <c r="I72" i="25"/>
  <c r="J71" i="25"/>
  <c r="FL71" i="25" s="1"/>
  <c r="EI70" i="25"/>
  <c r="EG70" i="25"/>
  <c r="EF70" i="25"/>
  <c r="ED70" i="25"/>
  <c r="EB70" i="25"/>
  <c r="EA70" i="25"/>
  <c r="DZ70" i="25"/>
  <c r="DY70" i="25"/>
  <c r="DX70" i="25"/>
  <c r="DR70" i="25"/>
  <c r="BI70" i="25"/>
  <c r="AW70" i="25"/>
  <c r="AJ70" i="25"/>
  <c r="AG70" i="25"/>
  <c r="AE70" i="25"/>
  <c r="AC70" i="25"/>
  <c r="V70" i="25"/>
  <c r="T70" i="25"/>
  <c r="FL70" i="25" s="1"/>
  <c r="FL69" i="25"/>
  <c r="BG69" i="25"/>
  <c r="AT69" i="25"/>
  <c r="AQ69" i="25"/>
  <c r="AJ69" i="25"/>
  <c r="AI69" i="25"/>
  <c r="AG69" i="25"/>
  <c r="K69" i="25"/>
  <c r="I69" i="25"/>
  <c r="FL68" i="25"/>
  <c r="J68" i="25"/>
  <c r="DR67" i="25"/>
  <c r="DQ67" i="25"/>
  <c r="BI67" i="25"/>
  <c r="BH67" i="25"/>
  <c r="BC67" i="25"/>
  <c r="AW67" i="25"/>
  <c r="AO67" i="25"/>
  <c r="AL67" i="25"/>
  <c r="AK67" i="25"/>
  <c r="AH67" i="25"/>
  <c r="AG67" i="25"/>
  <c r="AF67" i="25"/>
  <c r="AE67" i="25"/>
  <c r="AD67" i="25"/>
  <c r="AC67" i="25"/>
  <c r="AB67" i="25"/>
  <c r="Z67" i="25"/>
  <c r="W67" i="25"/>
  <c r="V67" i="25"/>
  <c r="T67" i="25"/>
  <c r="Q67" i="25"/>
  <c r="P67" i="25"/>
  <c r="M67" i="25"/>
  <c r="L67" i="25"/>
  <c r="FL67" i="25" s="1"/>
  <c r="FL66" i="25"/>
  <c r="DU66" i="25"/>
  <c r="DT66" i="25"/>
  <c r="DS66" i="25"/>
  <c r="DP66" i="25"/>
  <c r="DO66" i="25"/>
  <c r="BG66" i="25"/>
  <c r="AT66" i="25"/>
  <c r="AS66" i="25"/>
  <c r="AQ66" i="25"/>
  <c r="AJ66" i="25"/>
  <c r="AI66" i="25"/>
  <c r="U66" i="25"/>
  <c r="R66" i="25"/>
  <c r="N66" i="25"/>
  <c r="K66" i="25"/>
  <c r="I66" i="25"/>
  <c r="BG65" i="25"/>
  <c r="FL65" i="25" s="1"/>
  <c r="J64" i="25"/>
  <c r="FL64" i="25" s="1"/>
  <c r="FD63" i="25"/>
  <c r="FC63" i="25"/>
  <c r="EI63" i="25"/>
  <c r="EG63" i="25"/>
  <c r="EF63" i="25"/>
  <c r="ED63" i="25"/>
  <c r="EB63" i="25"/>
  <c r="EA63" i="25"/>
  <c r="DZ63" i="25"/>
  <c r="DQ63" i="25"/>
  <c r="BI63" i="25"/>
  <c r="AW63" i="25"/>
  <c r="AG63" i="25"/>
  <c r="AE63" i="25"/>
  <c r="AD63" i="25"/>
  <c r="AC63" i="25"/>
  <c r="V63" i="25"/>
  <c r="FL63" i="25" s="1"/>
  <c r="T63" i="25"/>
  <c r="Q63" i="25"/>
  <c r="P63" i="25"/>
  <c r="DU62" i="25"/>
  <c r="DT62" i="25"/>
  <c r="DP62" i="25"/>
  <c r="AT62" i="25"/>
  <c r="AS62" i="25"/>
  <c r="AJ62" i="25"/>
  <c r="AI62" i="25"/>
  <c r="AG62" i="25"/>
  <c r="N62" i="25"/>
  <c r="K62" i="25"/>
  <c r="FL62" i="25" s="1"/>
  <c r="I62" i="25"/>
  <c r="EI61" i="25"/>
  <c r="EG61" i="25"/>
  <c r="ED61" i="25"/>
  <c r="EA61" i="25"/>
  <c r="DZ61" i="25"/>
  <c r="BI61" i="25"/>
  <c r="BH61" i="25"/>
  <c r="BC61" i="25"/>
  <c r="AW61" i="25"/>
  <c r="AO61" i="25"/>
  <c r="AM61" i="25"/>
  <c r="AG61" i="25"/>
  <c r="AE61" i="25"/>
  <c r="AD61" i="25"/>
  <c r="Q61" i="25"/>
  <c r="P61" i="25"/>
  <c r="FL61" i="25" s="1"/>
  <c r="BG60" i="25"/>
  <c r="FL60" i="25" s="1"/>
  <c r="AT60" i="25"/>
  <c r="AS60" i="25"/>
  <c r="AJ60" i="25"/>
  <c r="AI60" i="25"/>
  <c r="N60" i="25"/>
  <c r="K60" i="25"/>
  <c r="I60" i="25"/>
  <c r="FL59" i="25"/>
  <c r="AW59" i="25"/>
  <c r="AT58" i="25"/>
  <c r="FL58" i="25" s="1"/>
  <c r="FD57" i="25"/>
  <c r="FC57" i="25"/>
  <c r="EI57" i="25"/>
  <c r="EH57" i="25"/>
  <c r="EG57" i="25"/>
  <c r="EF57" i="25"/>
  <c r="EE57" i="25"/>
  <c r="EA57" i="25"/>
  <c r="DZ57" i="25"/>
  <c r="DW57" i="25"/>
  <c r="DV57" i="25"/>
  <c r="BC57" i="25"/>
  <c r="AW57" i="25"/>
  <c r="AO57" i="25"/>
  <c r="AK57" i="25"/>
  <c r="AH57" i="25"/>
  <c r="AG57" i="25"/>
  <c r="AF57" i="25"/>
  <c r="AE57" i="25"/>
  <c r="AD57" i="25"/>
  <c r="AC57" i="25"/>
  <c r="AB57" i="25"/>
  <c r="Z57" i="25"/>
  <c r="W57" i="25"/>
  <c r="FL57" i="25" s="1"/>
  <c r="V57" i="25"/>
  <c r="T57" i="25"/>
  <c r="Q57" i="25"/>
  <c r="P57" i="25"/>
  <c r="BG56" i="25"/>
  <c r="AQ56" i="25"/>
  <c r="AJ56" i="25"/>
  <c r="AI56" i="25"/>
  <c r="U56" i="25"/>
  <c r="R56" i="25"/>
  <c r="N56" i="25"/>
  <c r="FL56" i="25" s="1"/>
  <c r="FD55" i="25"/>
  <c r="FC55" i="25"/>
  <c r="ED55" i="25"/>
  <c r="EC55" i="25"/>
  <c r="EB55" i="25"/>
  <c r="EA55" i="25"/>
  <c r="DZ55" i="25"/>
  <c r="DW55" i="25"/>
  <c r="DV55" i="25"/>
  <c r="BC55" i="25"/>
  <c r="AW55" i="25"/>
  <c r="AO55" i="25"/>
  <c r="FL55" i="25" s="1"/>
  <c r="AH55" i="25"/>
  <c r="AE55" i="25"/>
  <c r="AD55" i="25"/>
  <c r="AJ54" i="25"/>
  <c r="AI54" i="25"/>
  <c r="FL54" i="25" s="1"/>
  <c r="AO53" i="25"/>
  <c r="AK53" i="25"/>
  <c r="AJ53" i="25"/>
  <c r="V53" i="25"/>
  <c r="FL53" i="25" s="1"/>
  <c r="T53" i="25"/>
  <c r="L53" i="25"/>
  <c r="BG52" i="25"/>
  <c r="AJ52" i="25"/>
  <c r="AI52" i="25"/>
  <c r="N52" i="25"/>
  <c r="FL52" i="25" s="1"/>
  <c r="FL51" i="25"/>
  <c r="AW51" i="25"/>
  <c r="AJ50" i="25"/>
  <c r="FL50" i="25" s="1"/>
  <c r="FL49" i="25"/>
  <c r="EI49" i="25"/>
  <c r="EG49" i="25"/>
  <c r="EF49" i="25"/>
  <c r="EB49" i="25"/>
  <c r="DZ49" i="25"/>
  <c r="BI49" i="25"/>
  <c r="AW49" i="25"/>
  <c r="AG49" i="25"/>
  <c r="AD49" i="25"/>
  <c r="BG48" i="25"/>
  <c r="AT48" i="25"/>
  <c r="AS48" i="25"/>
  <c r="AJ48" i="25"/>
  <c r="FL48" i="25" s="1"/>
  <c r="AW47" i="25"/>
  <c r="FL47" i="25" s="1"/>
  <c r="AG47" i="25"/>
  <c r="AT46" i="25"/>
  <c r="AJ46" i="25"/>
  <c r="FL46" i="25" s="1"/>
  <c r="EI45" i="25"/>
  <c r="EG45" i="25"/>
  <c r="EF45" i="25"/>
  <c r="EA45" i="25"/>
  <c r="DZ45" i="25"/>
  <c r="FL45" i="25" s="1"/>
  <c r="AW45" i="25"/>
  <c r="AO45" i="25"/>
  <c r="AM45" i="25"/>
  <c r="M45" i="25"/>
  <c r="AT44" i="25"/>
  <c r="AS44" i="25"/>
  <c r="AJ44" i="25"/>
  <c r="AI44" i="25"/>
  <c r="FL44" i="25" s="1"/>
  <c r="FL43" i="25"/>
  <c r="EI43" i="25"/>
  <c r="ED43" i="25"/>
  <c r="EC43" i="25"/>
  <c r="EB43" i="25"/>
  <c r="DZ43" i="25"/>
  <c r="DV43" i="25"/>
  <c r="BI43" i="25"/>
  <c r="BH43" i="25"/>
  <c r="BC43" i="25"/>
  <c r="AU43" i="25"/>
  <c r="AO43" i="25"/>
  <c r="AM43" i="25"/>
  <c r="AG43" i="25"/>
  <c r="AD43" i="25"/>
  <c r="Z43" i="25"/>
  <c r="V43" i="25"/>
  <c r="P43" i="25"/>
  <c r="BG42" i="25"/>
  <c r="AT42" i="25"/>
  <c r="AS42" i="25"/>
  <c r="AI42" i="25"/>
  <c r="AG42" i="25"/>
  <c r="N42" i="25"/>
  <c r="FL42" i="25" s="1"/>
  <c r="FL41" i="25"/>
  <c r="N41" i="25"/>
  <c r="EI40" i="25"/>
  <c r="AW40" i="25"/>
  <c r="AO40" i="25"/>
  <c r="AD40" i="25"/>
  <c r="Q40" i="25"/>
  <c r="P40" i="25"/>
  <c r="FL40" i="25" s="1"/>
  <c r="BG39" i="25"/>
  <c r="N39" i="25"/>
  <c r="I39" i="25"/>
  <c r="FL39" i="25" s="1"/>
  <c r="FL38" i="25"/>
  <c r="EV38" i="25"/>
  <c r="EW37" i="25"/>
  <c r="ET37" i="25"/>
  <c r="ES37" i="25"/>
  <c r="EQ37" i="25"/>
  <c r="AW37" i="25"/>
  <c r="AG37" i="25"/>
  <c r="AC37" i="25"/>
  <c r="FL37" i="25" s="1"/>
  <c r="FL36" i="25"/>
  <c r="AT36" i="25"/>
  <c r="AS36" i="25"/>
  <c r="AJ36" i="25"/>
  <c r="AI36" i="25"/>
  <c r="AG36" i="25"/>
  <c r="EI35" i="25"/>
  <c r="EF35" i="25"/>
  <c r="BI35" i="25"/>
  <c r="AW35" i="25"/>
  <c r="AG35" i="25"/>
  <c r="AD35" i="25"/>
  <c r="FL35" i="25" s="1"/>
  <c r="FL34" i="25"/>
  <c r="BG34" i="25"/>
  <c r="AJ34" i="25"/>
  <c r="EZ33" i="25"/>
  <c r="EV33" i="25"/>
  <c r="ER33" i="25"/>
  <c r="J33" i="25"/>
  <c r="FL33" i="25" s="1"/>
  <c r="FA32" i="25"/>
  <c r="EX32" i="25"/>
  <c r="EW32" i="25"/>
  <c r="EU32" i="25"/>
  <c r="ET32" i="25"/>
  <c r="ES32" i="25"/>
  <c r="EQ32" i="25"/>
  <c r="EP32" i="25"/>
  <c r="EO32" i="25"/>
  <c r="EI32" i="25"/>
  <c r="EH32" i="25"/>
  <c r="EG32" i="25"/>
  <c r="EF32" i="25"/>
  <c r="EE32" i="25"/>
  <c r="ED32" i="25"/>
  <c r="EC32" i="25"/>
  <c r="EB32" i="25"/>
  <c r="BI32" i="25"/>
  <c r="BH32" i="25"/>
  <c r="BC32" i="25"/>
  <c r="AW32" i="25"/>
  <c r="AO32" i="25"/>
  <c r="AK32" i="25"/>
  <c r="AH32" i="25"/>
  <c r="AG32" i="25"/>
  <c r="AF32" i="25"/>
  <c r="AE32" i="25"/>
  <c r="AD32" i="25"/>
  <c r="AC32" i="25"/>
  <c r="AB32" i="25"/>
  <c r="Z32" i="25"/>
  <c r="W32" i="25"/>
  <c r="V32" i="25"/>
  <c r="T32" i="25"/>
  <c r="Q32" i="25"/>
  <c r="P32" i="25"/>
  <c r="M32" i="25"/>
  <c r="L32" i="25"/>
  <c r="FL32" i="25" s="1"/>
  <c r="DU31" i="25"/>
  <c r="DT31" i="25"/>
  <c r="BG31" i="25"/>
  <c r="AT31" i="25"/>
  <c r="AS31" i="25"/>
  <c r="AJ31" i="25"/>
  <c r="AI31" i="25"/>
  <c r="AG31" i="25"/>
  <c r="U31" i="25"/>
  <c r="R31" i="25"/>
  <c r="N31" i="25"/>
  <c r="K31" i="25"/>
  <c r="FL31" i="25" s="1"/>
  <c r="I31" i="25"/>
  <c r="BI30" i="25"/>
  <c r="AW30" i="25"/>
  <c r="AO30" i="25"/>
  <c r="AG30" i="25"/>
  <c r="AD30" i="25"/>
  <c r="P30" i="25"/>
  <c r="FL30" i="25" s="1"/>
  <c r="BG29" i="25"/>
  <c r="AJ29" i="25"/>
  <c r="N29" i="25"/>
  <c r="FL29" i="25" s="1"/>
  <c r="FL28" i="25"/>
  <c r="FD28" i="25"/>
  <c r="ED28" i="25"/>
  <c r="EB28" i="25"/>
  <c r="AO28" i="25"/>
  <c r="AD28" i="25"/>
  <c r="AC28" i="25"/>
  <c r="FL27" i="25"/>
  <c r="AT27" i="25"/>
  <c r="AS27" i="25"/>
  <c r="AJ27" i="25"/>
  <c r="FL26" i="25"/>
  <c r="BI26" i="25"/>
  <c r="AW26" i="25"/>
  <c r="AG26" i="25"/>
  <c r="AD26" i="25"/>
  <c r="BG25" i="25"/>
  <c r="AT25" i="25"/>
  <c r="AJ25" i="25"/>
  <c r="FL25" i="25" s="1"/>
  <c r="BI24" i="25"/>
  <c r="AW24" i="25"/>
  <c r="AO24" i="25"/>
  <c r="AD24" i="25"/>
  <c r="FL24" i="25" s="1"/>
  <c r="FL23" i="25"/>
  <c r="BG23" i="25"/>
  <c r="AJ23" i="25"/>
  <c r="BI22" i="25"/>
  <c r="AW22" i="25"/>
  <c r="AO22" i="25"/>
  <c r="AG22" i="25"/>
  <c r="AD22" i="25"/>
  <c r="FL22" i="25" s="1"/>
  <c r="BG21" i="25"/>
  <c r="AJ21" i="25"/>
  <c r="FL21" i="25" s="1"/>
  <c r="FL20" i="25"/>
  <c r="EZ20" i="25"/>
  <c r="EV20" i="25"/>
  <c r="ER20" i="25"/>
  <c r="J20" i="25"/>
  <c r="FA19" i="25"/>
  <c r="EX19" i="25"/>
  <c r="EW19" i="25"/>
  <c r="EU19" i="25"/>
  <c r="ET19" i="25"/>
  <c r="ES19" i="25"/>
  <c r="EQ19" i="25"/>
  <c r="EP19" i="25"/>
  <c r="EO19" i="25"/>
  <c r="EI19" i="25"/>
  <c r="EH19" i="25"/>
  <c r="EG19" i="25"/>
  <c r="EF19" i="25"/>
  <c r="EE19" i="25"/>
  <c r="ED19" i="25"/>
  <c r="EC19" i="25"/>
  <c r="EB19" i="25"/>
  <c r="BI19" i="25"/>
  <c r="BH19" i="25"/>
  <c r="BC19" i="25"/>
  <c r="AW19" i="25"/>
  <c r="AO19" i="25"/>
  <c r="AK19" i="25"/>
  <c r="AH19" i="25"/>
  <c r="AG19" i="25"/>
  <c r="AF19" i="25"/>
  <c r="AE19" i="25"/>
  <c r="AD19" i="25"/>
  <c r="AC19" i="25"/>
  <c r="AB19" i="25"/>
  <c r="Z19" i="25"/>
  <c r="W19" i="25"/>
  <c r="V19" i="25"/>
  <c r="T19" i="25"/>
  <c r="Q19" i="25"/>
  <c r="P19" i="25"/>
  <c r="M19" i="25"/>
  <c r="FL19" i="25" s="1"/>
  <c r="L19" i="25"/>
  <c r="DU18" i="25"/>
  <c r="DT18" i="25"/>
  <c r="BG18" i="25"/>
  <c r="AT18" i="25"/>
  <c r="AS18" i="25"/>
  <c r="AJ18" i="25"/>
  <c r="AI18" i="25"/>
  <c r="AF18" i="25"/>
  <c r="U18" i="25"/>
  <c r="R18" i="25"/>
  <c r="N18" i="25"/>
  <c r="K18" i="25"/>
  <c r="I18" i="25"/>
  <c r="FL18" i="25" s="1"/>
  <c r="FL17" i="25"/>
  <c r="AG17" i="25"/>
  <c r="FL16" i="25"/>
  <c r="BI16" i="25"/>
  <c r="AW16" i="25"/>
  <c r="AG16" i="25"/>
  <c r="AD16" i="25"/>
  <c r="BG15" i="25"/>
  <c r="FL15" i="25" s="1"/>
  <c r="AJ15" i="25"/>
  <c r="AG15" i="25"/>
  <c r="FA14" i="25"/>
  <c r="EW14" i="25"/>
  <c r="EU14" i="25"/>
  <c r="FL14" i="25" s="1"/>
  <c r="ET14" i="25"/>
  <c r="ES14" i="25"/>
  <c r="EQ14" i="25"/>
  <c r="AW14" i="25"/>
  <c r="V14" i="25"/>
  <c r="FL13" i="25"/>
  <c r="AT13" i="25"/>
  <c r="AI13" i="25"/>
  <c r="J12" i="25"/>
  <c r="FL12" i="25" s="1"/>
  <c r="FD11" i="25"/>
  <c r="FC11" i="25"/>
  <c r="ED11" i="25"/>
  <c r="EA11" i="25"/>
  <c r="DZ11" i="25"/>
  <c r="DR11" i="25"/>
  <c r="DQ11" i="25"/>
  <c r="AH11" i="25"/>
  <c r="Q11" i="25"/>
  <c r="P11" i="25"/>
  <c r="L11" i="25"/>
  <c r="FL11" i="25" s="1"/>
  <c r="DU10" i="25"/>
  <c r="DT10" i="25"/>
  <c r="DS10" i="25"/>
  <c r="DP10" i="25"/>
  <c r="DO10" i="25"/>
  <c r="N10" i="25"/>
  <c r="K10" i="25"/>
  <c r="FL10" i="25" s="1"/>
  <c r="I10" i="25"/>
  <c r="EZ9" i="25"/>
  <c r="EV9" i="25"/>
  <c r="ER9" i="25"/>
  <c r="EM9" i="25"/>
  <c r="FL9" i="25" s="1"/>
  <c r="DG9" i="25"/>
  <c r="CI9" i="25"/>
  <c r="BR9" i="25"/>
  <c r="FA8" i="25"/>
  <c r="EY8" i="25"/>
  <c r="EX8" i="25"/>
  <c r="EW8" i="25"/>
  <c r="EU8" i="25"/>
  <c r="ET8" i="25"/>
  <c r="ES8" i="25"/>
  <c r="EQ8" i="25"/>
  <c r="EP8" i="25"/>
  <c r="EO8" i="25"/>
  <c r="EL8" i="25"/>
  <c r="EK8" i="25"/>
  <c r="EJ8" i="25"/>
  <c r="EI8" i="25"/>
  <c r="EH8" i="25"/>
  <c r="EG8" i="25"/>
  <c r="EF8" i="25"/>
  <c r="EE8" i="25"/>
  <c r="DW8" i="25"/>
  <c r="DV8" i="25"/>
  <c r="DN8" i="25"/>
  <c r="DL8" i="25"/>
  <c r="DH8" i="25"/>
  <c r="DF8" i="25"/>
  <c r="DE8" i="25"/>
  <c r="DD8" i="25"/>
  <c r="DC8" i="25"/>
  <c r="DB8" i="25"/>
  <c r="DA8" i="25"/>
  <c r="CZ8" i="25"/>
  <c r="CY8" i="25"/>
  <c r="CR8" i="25"/>
  <c r="CQ8" i="25"/>
  <c r="CP8" i="25"/>
  <c r="CO8" i="25"/>
  <c r="CN8" i="25"/>
  <c r="CM8" i="25"/>
  <c r="CL8" i="25"/>
  <c r="CK8" i="25"/>
  <c r="CJ8" i="25"/>
  <c r="CH8" i="25"/>
  <c r="CG8" i="25"/>
  <c r="CF8" i="25"/>
  <c r="CE8" i="25"/>
  <c r="CD8" i="25"/>
  <c r="CC8" i="25"/>
  <c r="CB8" i="25"/>
  <c r="CA8" i="25"/>
  <c r="BZ8" i="25"/>
  <c r="BY8" i="25"/>
  <c r="BX8" i="25"/>
  <c r="BV8" i="25"/>
  <c r="BU8" i="25"/>
  <c r="BT8" i="25"/>
  <c r="BS8" i="25"/>
  <c r="BQ8" i="25"/>
  <c r="BP8" i="25"/>
  <c r="BO8" i="25"/>
  <c r="BN8" i="25"/>
  <c r="BM8" i="25"/>
  <c r="BL8" i="25"/>
  <c r="BK8" i="25"/>
  <c r="BI8" i="25"/>
  <c r="BH8" i="25"/>
  <c r="BG8" i="25"/>
  <c r="BF8" i="25"/>
  <c r="BE8" i="25"/>
  <c r="BD8" i="25"/>
  <c r="BC8" i="25"/>
  <c r="AW8" i="25"/>
  <c r="AV8" i="25"/>
  <c r="AU8" i="25"/>
  <c r="AP8" i="25"/>
  <c r="AO8" i="25"/>
  <c r="AM8" i="25"/>
  <c r="AL8" i="25"/>
  <c r="AK8" i="25"/>
  <c r="AJ8" i="25"/>
  <c r="AF8" i="25"/>
  <c r="AE8" i="25"/>
  <c r="AD8" i="25"/>
  <c r="AC8" i="25"/>
  <c r="AB8" i="25"/>
  <c r="Z8" i="25"/>
  <c r="Y8" i="25"/>
  <c r="W8" i="25"/>
  <c r="V8" i="25"/>
  <c r="T8" i="25"/>
  <c r="H8" i="25"/>
  <c r="FL8" i="25" s="1"/>
  <c r="FL7" i="25"/>
  <c r="BB7" i="25"/>
  <c r="BA7" i="25"/>
  <c r="AT7" i="25"/>
  <c r="AS7" i="25"/>
  <c r="AQ7" i="25"/>
  <c r="AN7" i="25"/>
  <c r="AI7" i="25"/>
  <c r="AG7" i="25"/>
  <c r="AF7" i="25"/>
  <c r="FP116" i="23" l="1"/>
  <c r="FF116" i="23"/>
  <c r="FB116" i="23"/>
  <c r="EZ116" i="23"/>
  <c r="EX116" i="23"/>
  <c r="EV116" i="23"/>
  <c r="EU116" i="23"/>
  <c r="ET116" i="23"/>
  <c r="DT116" i="23"/>
  <c r="DR116" i="23"/>
  <c r="DL116" i="23"/>
  <c r="DK116" i="23"/>
  <c r="DJ116" i="23"/>
  <c r="DH116" i="23"/>
  <c r="DG116" i="23"/>
  <c r="DF116" i="23"/>
  <c r="DE116" i="23"/>
  <c r="DD116" i="23"/>
  <c r="DC116" i="23"/>
  <c r="CV116" i="23"/>
  <c r="CT116" i="23"/>
  <c r="CR116" i="23"/>
  <c r="CQ116" i="23"/>
  <c r="CP116" i="23"/>
  <c r="CO116" i="23"/>
  <c r="CN116" i="23"/>
  <c r="CM116" i="23"/>
  <c r="CL116" i="23"/>
  <c r="CK116" i="23"/>
  <c r="CI116" i="23"/>
  <c r="CG116" i="23"/>
  <c r="CE116" i="23"/>
  <c r="CD116" i="23"/>
  <c r="CC116" i="23"/>
  <c r="BY116" i="23"/>
  <c r="BX116" i="23"/>
  <c r="BW116" i="23"/>
  <c r="BV116" i="23"/>
  <c r="BU116" i="23"/>
  <c r="BF116" i="23"/>
  <c r="AU116" i="23"/>
  <c r="AM116" i="23"/>
  <c r="FP109" i="23"/>
  <c r="FP108" i="23"/>
  <c r="FP107" i="23"/>
  <c r="FP106" i="23"/>
  <c r="FH105" i="23"/>
  <c r="EO105" i="23"/>
  <c r="EL105" i="23"/>
  <c r="EJ105" i="23"/>
  <c r="EH105" i="23"/>
  <c r="EG105" i="23"/>
  <c r="BB105" i="23"/>
  <c r="AJ105" i="23"/>
  <c r="AE105" i="23"/>
  <c r="L105" i="23"/>
  <c r="FP105" i="23" s="1"/>
  <c r="FP104" i="23"/>
  <c r="DW104" i="23"/>
  <c r="BF104" i="23"/>
  <c r="AH104" i="23"/>
  <c r="EO103" i="23"/>
  <c r="EN103" i="23"/>
  <c r="EM103" i="23"/>
  <c r="EL103" i="23"/>
  <c r="EK103" i="23"/>
  <c r="EJ103" i="23"/>
  <c r="EI103" i="23"/>
  <c r="EH103" i="23"/>
  <c r="AU103" i="23"/>
  <c r="AN103" i="23"/>
  <c r="AF103" i="23"/>
  <c r="AE103" i="23"/>
  <c r="AD103" i="23"/>
  <c r="AC103" i="23"/>
  <c r="AB103" i="23"/>
  <c r="Z103" i="23"/>
  <c r="Y103" i="23"/>
  <c r="V103" i="23"/>
  <c r="U103" i="23"/>
  <c r="S103" i="23"/>
  <c r="FP103" i="23" s="1"/>
  <c r="P103" i="23"/>
  <c r="N103" i="23"/>
  <c r="AR102" i="23"/>
  <c r="AQ102" i="23"/>
  <c r="AH102" i="23"/>
  <c r="AG102" i="23"/>
  <c r="Q102" i="23"/>
  <c r="N102" i="23"/>
  <c r="FP102" i="23" s="1"/>
  <c r="FH101" i="23"/>
  <c r="FG101" i="23"/>
  <c r="EO101" i="23"/>
  <c r="EM101" i="23"/>
  <c r="EF101" i="23"/>
  <c r="DX101" i="23"/>
  <c r="DK101" i="23"/>
  <c r="DI101" i="23"/>
  <c r="DH101" i="23"/>
  <c r="CT101" i="23"/>
  <c r="CS101" i="23"/>
  <c r="CQ101" i="23"/>
  <c r="CN101" i="23"/>
  <c r="CM101" i="23"/>
  <c r="CL101" i="23"/>
  <c r="CK101" i="23"/>
  <c r="CI101" i="23"/>
  <c r="CE101" i="23"/>
  <c r="CC101" i="23"/>
  <c r="CB101" i="23"/>
  <c r="CA101" i="23"/>
  <c r="BX101" i="23"/>
  <c r="AU101" i="23"/>
  <c r="FP101" i="23" s="1"/>
  <c r="BF100" i="23"/>
  <c r="AR100" i="23"/>
  <c r="AQ100" i="23"/>
  <c r="AH100" i="23"/>
  <c r="AG100" i="23"/>
  <c r="FP100" i="23" s="1"/>
  <c r="EO99" i="23"/>
  <c r="EM99" i="23"/>
  <c r="EL99" i="23"/>
  <c r="EJ99" i="23"/>
  <c r="EG99" i="23"/>
  <c r="EF99" i="23"/>
  <c r="AU99" i="23"/>
  <c r="S99" i="23"/>
  <c r="FP99" i="23" s="1"/>
  <c r="BF98" i="23"/>
  <c r="AG98" i="23"/>
  <c r="K98" i="23"/>
  <c r="I98" i="23"/>
  <c r="FP98" i="23" s="1"/>
  <c r="FP97" i="23"/>
  <c r="J97" i="23"/>
  <c r="FH96" i="23"/>
  <c r="FG96" i="23"/>
  <c r="EO96" i="23"/>
  <c r="EM96" i="23"/>
  <c r="EL96" i="23"/>
  <c r="EK96" i="23"/>
  <c r="EJ96" i="23"/>
  <c r="EH96" i="23"/>
  <c r="EG96" i="23"/>
  <c r="EF96" i="23"/>
  <c r="EE96" i="23"/>
  <c r="BO96" i="23"/>
  <c r="AW96" i="23"/>
  <c r="AV96" i="23"/>
  <c r="AU96" i="23"/>
  <c r="AT96" i="23"/>
  <c r="AS96" i="23"/>
  <c r="AE96" i="23"/>
  <c r="AC96" i="23"/>
  <c r="S96" i="23"/>
  <c r="P96" i="23"/>
  <c r="O96" i="23"/>
  <c r="FP96" i="23" s="1"/>
  <c r="N96" i="23"/>
  <c r="BF95" i="23"/>
  <c r="AY95" i="23"/>
  <c r="AQ95" i="23"/>
  <c r="AO95" i="23"/>
  <c r="FP95" i="23" s="1"/>
  <c r="AH95" i="23"/>
  <c r="AG95" i="23"/>
  <c r="N95" i="23"/>
  <c r="K95" i="23"/>
  <c r="I95" i="23"/>
  <c r="FH94" i="23"/>
  <c r="FG94" i="23"/>
  <c r="EO94" i="23"/>
  <c r="FP94" i="23" s="1"/>
  <c r="EM94" i="23"/>
  <c r="EL94" i="23"/>
  <c r="AU94" i="23"/>
  <c r="AN94" i="23"/>
  <c r="BF93" i="23"/>
  <c r="AR93" i="23"/>
  <c r="AQ93" i="23"/>
  <c r="FP93" i="23" s="1"/>
  <c r="EO92" i="23"/>
  <c r="EN92" i="23"/>
  <c r="EL92" i="23"/>
  <c r="EJ92" i="23"/>
  <c r="EI92" i="23"/>
  <c r="EH92" i="23"/>
  <c r="EG92" i="23"/>
  <c r="EF92" i="23"/>
  <c r="EC92" i="23"/>
  <c r="EB92" i="23"/>
  <c r="AU92" i="23"/>
  <c r="AF92" i="23"/>
  <c r="FP92" i="23" s="1"/>
  <c r="AD92" i="23"/>
  <c r="O92" i="23"/>
  <c r="FP91" i="23"/>
  <c r="AR91" i="23"/>
  <c r="AQ91" i="23"/>
  <c r="AH91" i="23"/>
  <c r="AG91" i="23"/>
  <c r="AD91" i="23"/>
  <c r="FP90" i="23"/>
  <c r="AU90" i="23"/>
  <c r="AB90" i="23"/>
  <c r="FP89" i="23"/>
  <c r="BF89" i="23"/>
  <c r="AH89" i="23"/>
  <c r="FF88" i="23"/>
  <c r="FC88" i="23"/>
  <c r="FB88" i="23"/>
  <c r="EZ88" i="23"/>
  <c r="EX88" i="23"/>
  <c r="EV88" i="23"/>
  <c r="EU88" i="23"/>
  <c r="EO88" i="23"/>
  <c r="EM88" i="23"/>
  <c r="DX88" i="23"/>
  <c r="AU88" i="23"/>
  <c r="AF88" i="23"/>
  <c r="FP88" i="23" s="1"/>
  <c r="AE88" i="23"/>
  <c r="AB88" i="23"/>
  <c r="Z88" i="23"/>
  <c r="Y88" i="23"/>
  <c r="U88" i="23"/>
  <c r="O88" i="23"/>
  <c r="N88" i="23"/>
  <c r="BF87" i="23"/>
  <c r="AO87" i="23"/>
  <c r="AH87" i="23"/>
  <c r="AG87" i="23"/>
  <c r="N87" i="23"/>
  <c r="K87" i="23"/>
  <c r="I87" i="23"/>
  <c r="FP87" i="23" s="1"/>
  <c r="FF86" i="23"/>
  <c r="FC86" i="23"/>
  <c r="FB86" i="23"/>
  <c r="EZ86" i="23"/>
  <c r="EX86" i="23"/>
  <c r="EV86" i="23"/>
  <c r="EU86" i="23"/>
  <c r="EO86" i="23"/>
  <c r="EM86" i="23"/>
  <c r="DH86" i="23"/>
  <c r="DE86" i="23"/>
  <c r="DD86" i="23"/>
  <c r="CT86" i="23"/>
  <c r="CS86" i="23"/>
  <c r="CR86" i="23"/>
  <c r="CQ86" i="23"/>
  <c r="CN86" i="23"/>
  <c r="CM86" i="23"/>
  <c r="CL86" i="23"/>
  <c r="CK86" i="23"/>
  <c r="CJ86" i="23"/>
  <c r="CI86" i="23"/>
  <c r="CG86" i="23"/>
  <c r="CE86" i="23"/>
  <c r="CD86" i="23"/>
  <c r="CC86" i="23"/>
  <c r="CB86" i="23"/>
  <c r="CA86" i="23"/>
  <c r="BY86" i="23"/>
  <c r="BX86" i="23"/>
  <c r="BW86" i="23"/>
  <c r="BV86" i="23"/>
  <c r="AU86" i="23"/>
  <c r="AF86" i="23"/>
  <c r="AE86" i="23"/>
  <c r="Z86" i="23"/>
  <c r="Y86" i="23"/>
  <c r="U86" i="23"/>
  <c r="FP86" i="23" s="1"/>
  <c r="BF85" i="23"/>
  <c r="AO85" i="23"/>
  <c r="AH85" i="23"/>
  <c r="AG85" i="23"/>
  <c r="FP85" i="23" s="1"/>
  <c r="FP84" i="23"/>
  <c r="BB84" i="23"/>
  <c r="AU84" i="23"/>
  <c r="FP83" i="23"/>
  <c r="BF83" i="23"/>
  <c r="EO82" i="23"/>
  <c r="EM82" i="23"/>
  <c r="AU82" i="23"/>
  <c r="AF82" i="23"/>
  <c r="FP82" i="23" s="1"/>
  <c r="AR81" i="23"/>
  <c r="AQ81" i="23"/>
  <c r="AH81" i="23"/>
  <c r="AG81" i="23"/>
  <c r="FP81" i="23" s="1"/>
  <c r="FP80" i="23"/>
  <c r="J80" i="23"/>
  <c r="FH79" i="23"/>
  <c r="FG79" i="23"/>
  <c r="EO79" i="23"/>
  <c r="EN79" i="23"/>
  <c r="EM79" i="23"/>
  <c r="EL79" i="23"/>
  <c r="EK79" i="23"/>
  <c r="EJ79" i="23"/>
  <c r="EI79" i="23"/>
  <c r="EH79" i="23"/>
  <c r="EG79" i="23"/>
  <c r="EF79" i="23"/>
  <c r="EC79" i="23"/>
  <c r="EB79" i="23"/>
  <c r="BG79" i="23"/>
  <c r="BB79" i="23"/>
  <c r="AU79" i="23"/>
  <c r="AM79" i="23"/>
  <c r="AI79" i="23"/>
  <c r="AF79" i="23"/>
  <c r="AE79" i="23"/>
  <c r="AD79" i="23"/>
  <c r="AC79" i="23"/>
  <c r="AB79" i="23"/>
  <c r="Z79" i="23"/>
  <c r="Y79" i="23"/>
  <c r="V79" i="23"/>
  <c r="U79" i="23"/>
  <c r="P79" i="23"/>
  <c r="O79" i="23"/>
  <c r="N79" i="23"/>
  <c r="M79" i="23"/>
  <c r="FP79" i="23" s="1"/>
  <c r="BF78" i="23"/>
  <c r="AR78" i="23"/>
  <c r="AQ78" i="23"/>
  <c r="AH78" i="23"/>
  <c r="AG78" i="23"/>
  <c r="Q78" i="23"/>
  <c r="N78" i="23"/>
  <c r="FP78" i="23" s="1"/>
  <c r="K78" i="23"/>
  <c r="I78" i="23"/>
  <c r="EO77" i="23"/>
  <c r="EN77" i="23"/>
  <c r="EM77" i="23"/>
  <c r="EL77" i="23"/>
  <c r="EK77" i="23"/>
  <c r="EG77" i="23"/>
  <c r="EF77" i="23"/>
  <c r="EC77" i="23"/>
  <c r="EB77" i="23"/>
  <c r="BB77" i="23"/>
  <c r="AU77" i="23"/>
  <c r="AM77" i="23"/>
  <c r="AI77" i="23"/>
  <c r="AF77" i="23"/>
  <c r="AE77" i="23"/>
  <c r="AD77" i="23"/>
  <c r="AC77" i="23"/>
  <c r="AB77" i="23"/>
  <c r="AA77" i="23"/>
  <c r="Z77" i="23"/>
  <c r="Y77" i="23"/>
  <c r="V77" i="23"/>
  <c r="U77" i="23"/>
  <c r="S77" i="23"/>
  <c r="FP77" i="23" s="1"/>
  <c r="P77" i="23"/>
  <c r="O77" i="23"/>
  <c r="N77" i="23"/>
  <c r="BF76" i="23"/>
  <c r="AO76" i="23"/>
  <c r="AH76" i="23"/>
  <c r="AG76" i="23"/>
  <c r="AD76" i="23"/>
  <c r="T76" i="23"/>
  <c r="Q76" i="23"/>
  <c r="N76" i="23"/>
  <c r="FP76" i="23" s="1"/>
  <c r="J75" i="23"/>
  <c r="FP75" i="23" s="1"/>
  <c r="FH74" i="23"/>
  <c r="FG74" i="23"/>
  <c r="EG74" i="23"/>
  <c r="AU74" i="23"/>
  <c r="AM74" i="23"/>
  <c r="AE74" i="23"/>
  <c r="AC74" i="23"/>
  <c r="AB74" i="23"/>
  <c r="P74" i="23"/>
  <c r="FP74" i="23" s="1"/>
  <c r="O74" i="23"/>
  <c r="BF73" i="23"/>
  <c r="FP73" i="23" s="1"/>
  <c r="AY73" i="23"/>
  <c r="AH73" i="23"/>
  <c r="AU72" i="23"/>
  <c r="AM72" i="23"/>
  <c r="AJ72" i="23"/>
  <c r="FP72" i="23" s="1"/>
  <c r="Y72" i="23"/>
  <c r="AH71" i="23"/>
  <c r="FP71" i="23" s="1"/>
  <c r="AG71" i="23"/>
  <c r="FP70" i="23"/>
  <c r="BB70" i="23"/>
  <c r="AU70" i="23"/>
  <c r="BF69" i="23"/>
  <c r="AH69" i="23"/>
  <c r="FP69" i="23" s="1"/>
  <c r="L68" i="23"/>
  <c r="FP68" i="23" s="1"/>
  <c r="EA67" i="23"/>
  <c r="DU67" i="23"/>
  <c r="FP67" i="23" s="1"/>
  <c r="J66" i="23"/>
  <c r="FP66" i="23" s="1"/>
  <c r="EO65" i="23"/>
  <c r="EM65" i="23"/>
  <c r="EL65" i="23"/>
  <c r="EJ65" i="23"/>
  <c r="EH65" i="23"/>
  <c r="EG65" i="23"/>
  <c r="EF65" i="23"/>
  <c r="DX65" i="23"/>
  <c r="BH65" i="23"/>
  <c r="AU65" i="23"/>
  <c r="AC65" i="23"/>
  <c r="AB65" i="23"/>
  <c r="FP65" i="23" s="1"/>
  <c r="AA65" i="23"/>
  <c r="U65" i="23"/>
  <c r="S65" i="23"/>
  <c r="BF64" i="23"/>
  <c r="AR64" i="23"/>
  <c r="AH64" i="23"/>
  <c r="AG64" i="23"/>
  <c r="K64" i="23"/>
  <c r="I64" i="23"/>
  <c r="FP64" i="23" s="1"/>
  <c r="FP63" i="23"/>
  <c r="J63" i="23"/>
  <c r="EO62" i="23"/>
  <c r="EM62" i="23"/>
  <c r="EL62" i="23"/>
  <c r="EJ62" i="23"/>
  <c r="EH62" i="23"/>
  <c r="EG62" i="23"/>
  <c r="EF62" i="23"/>
  <c r="DX62" i="23"/>
  <c r="BH62" i="23"/>
  <c r="AE62" i="23"/>
  <c r="AA62" i="23"/>
  <c r="U62" i="23"/>
  <c r="S62" i="23"/>
  <c r="FP62" i="23" s="1"/>
  <c r="AR61" i="23"/>
  <c r="AG61" i="23"/>
  <c r="K61" i="23"/>
  <c r="FP61" i="23" s="1"/>
  <c r="I61" i="23"/>
  <c r="EM60" i="23"/>
  <c r="EE60" i="23"/>
  <c r="ED60" i="23"/>
  <c r="DX60" i="23"/>
  <c r="FP60" i="23" s="1"/>
  <c r="AU60" i="23"/>
  <c r="AC60" i="23"/>
  <c r="U60" i="23"/>
  <c r="S60" i="23"/>
  <c r="N60" i="23"/>
  <c r="BF59" i="23"/>
  <c r="AO59" i="23"/>
  <c r="AH59" i="23"/>
  <c r="FP59" i="23" s="1"/>
  <c r="N59" i="23"/>
  <c r="K59" i="23"/>
  <c r="FP58" i="23"/>
  <c r="J58" i="23"/>
  <c r="DX57" i="23"/>
  <c r="AB57" i="23"/>
  <c r="U57" i="23"/>
  <c r="S57" i="23"/>
  <c r="FP57" i="23" s="1"/>
  <c r="AO56" i="23"/>
  <c r="FP56" i="23" s="1"/>
  <c r="FP55" i="23"/>
  <c r="J55" i="23"/>
  <c r="AX54" i="23"/>
  <c r="AU54" i="23"/>
  <c r="AM54" i="23"/>
  <c r="AJ54" i="23"/>
  <c r="AI54" i="23"/>
  <c r="AF54" i="23"/>
  <c r="AE54" i="23"/>
  <c r="AD54" i="23"/>
  <c r="AC54" i="23"/>
  <c r="AB54" i="23"/>
  <c r="AA54" i="23"/>
  <c r="Z54" i="23"/>
  <c r="Y54" i="23"/>
  <c r="V54" i="23"/>
  <c r="U54" i="23"/>
  <c r="S54" i="23"/>
  <c r="P54" i="23"/>
  <c r="O54" i="23"/>
  <c r="N54" i="23"/>
  <c r="FP54" i="23" s="1"/>
  <c r="AR53" i="23"/>
  <c r="AQ53" i="23"/>
  <c r="AO53" i="23"/>
  <c r="AH53" i="23"/>
  <c r="AG53" i="23"/>
  <c r="AD53" i="23"/>
  <c r="T53" i="23"/>
  <c r="Q53" i="23"/>
  <c r="N53" i="23"/>
  <c r="K53" i="23"/>
  <c r="I53" i="23"/>
  <c r="FP53" i="23" s="1"/>
  <c r="J52" i="23"/>
  <c r="FP52" i="23" s="1"/>
  <c r="FH51" i="23"/>
  <c r="FG51" i="23"/>
  <c r="EO51" i="23"/>
  <c r="EM51" i="23"/>
  <c r="EL51" i="23"/>
  <c r="EJ51" i="23"/>
  <c r="EH51" i="23"/>
  <c r="EG51" i="23"/>
  <c r="EF51" i="23"/>
  <c r="BH51" i="23"/>
  <c r="AU51" i="23"/>
  <c r="AE51" i="23"/>
  <c r="FP51" i="23" s="1"/>
  <c r="AC51" i="23"/>
  <c r="AB51" i="23"/>
  <c r="AA51" i="23"/>
  <c r="U51" i="23"/>
  <c r="S51" i="23"/>
  <c r="P51" i="23"/>
  <c r="O51" i="23"/>
  <c r="N51" i="23"/>
  <c r="L51" i="23"/>
  <c r="EA50" i="23"/>
  <c r="DZ50" i="23"/>
  <c r="DY50" i="23"/>
  <c r="DW50" i="23"/>
  <c r="DV50" i="23"/>
  <c r="BF50" i="23"/>
  <c r="AR50" i="23"/>
  <c r="AQ50" i="23"/>
  <c r="AH50" i="23"/>
  <c r="AG50" i="23"/>
  <c r="N50" i="23"/>
  <c r="K50" i="23"/>
  <c r="I50" i="23"/>
  <c r="FP50" i="23" s="1"/>
  <c r="FP49" i="23"/>
  <c r="EO49" i="23"/>
  <c r="EM49" i="23"/>
  <c r="EJ49" i="23"/>
  <c r="EG49" i="23"/>
  <c r="EF49" i="23"/>
  <c r="BB49" i="23"/>
  <c r="AU49" i="23"/>
  <c r="AM49" i="23"/>
  <c r="AE49" i="23"/>
  <c r="AC49" i="23"/>
  <c r="AB49" i="23"/>
  <c r="P49" i="23"/>
  <c r="O49" i="23"/>
  <c r="N49" i="23"/>
  <c r="BF48" i="23"/>
  <c r="AH48" i="23"/>
  <c r="AG48" i="23"/>
  <c r="N48" i="23"/>
  <c r="K48" i="23"/>
  <c r="I48" i="23"/>
  <c r="FP48" i="23" s="1"/>
  <c r="EJ47" i="23"/>
  <c r="EI47" i="23"/>
  <c r="EH47" i="23"/>
  <c r="EG47" i="23"/>
  <c r="EF47" i="23"/>
  <c r="EC47" i="23"/>
  <c r="EB47" i="23"/>
  <c r="BB47" i="23"/>
  <c r="AU47" i="23"/>
  <c r="AM47" i="23"/>
  <c r="AF47" i="23"/>
  <c r="AC47" i="23"/>
  <c r="AB47" i="23"/>
  <c r="FP47" i="23" s="1"/>
  <c r="FP46" i="23"/>
  <c r="BF46" i="23"/>
  <c r="BB46" i="23"/>
  <c r="AH46" i="23"/>
  <c r="AG46" i="23"/>
  <c r="FH45" i="23"/>
  <c r="FP45" i="23" s="1"/>
  <c r="BF44" i="23"/>
  <c r="AO44" i="23"/>
  <c r="FP44" i="23" s="1"/>
  <c r="AG44" i="23"/>
  <c r="FH43" i="23"/>
  <c r="EO43" i="23"/>
  <c r="EN43" i="23"/>
  <c r="EM43" i="23"/>
  <c r="EL43" i="23"/>
  <c r="EK43" i="23"/>
  <c r="EJ43" i="23"/>
  <c r="EI43" i="23"/>
  <c r="EH43" i="23"/>
  <c r="EG43" i="23"/>
  <c r="EF43" i="23"/>
  <c r="EC43" i="23"/>
  <c r="EB43" i="23"/>
  <c r="BG43" i="23"/>
  <c r="AX43" i="23"/>
  <c r="AW43" i="23"/>
  <c r="AU43" i="23"/>
  <c r="AT43" i="23"/>
  <c r="AS43" i="23"/>
  <c r="AN43" i="23"/>
  <c r="AM43" i="23"/>
  <c r="AK43" i="23"/>
  <c r="AJ43" i="23"/>
  <c r="AI43" i="23"/>
  <c r="AF43" i="23"/>
  <c r="AE43" i="23"/>
  <c r="AD43" i="23"/>
  <c r="AC43" i="23"/>
  <c r="FP43" i="23" s="1"/>
  <c r="AB43" i="23"/>
  <c r="Z43" i="23"/>
  <c r="Y43" i="23"/>
  <c r="M43" i="23"/>
  <c r="AY42" i="23"/>
  <c r="AR42" i="23"/>
  <c r="AQ42" i="23"/>
  <c r="AO42" i="23"/>
  <c r="AH42" i="23"/>
  <c r="AG42" i="23"/>
  <c r="FP42" i="23" s="1"/>
  <c r="EO41" i="23"/>
  <c r="EJ41" i="23"/>
  <c r="EI41" i="23"/>
  <c r="EH41" i="23"/>
  <c r="EF41" i="23"/>
  <c r="EB41" i="23"/>
  <c r="AU41" i="23"/>
  <c r="AM41" i="23"/>
  <c r="AJ41" i="23"/>
  <c r="AI41" i="23"/>
  <c r="AE41" i="23"/>
  <c r="AB41" i="23"/>
  <c r="FP41" i="23" s="1"/>
  <c r="Y41" i="23"/>
  <c r="U41" i="23"/>
  <c r="O41" i="23"/>
  <c r="N41" i="23"/>
  <c r="BF40" i="23"/>
  <c r="AR40" i="23"/>
  <c r="AQ40" i="23"/>
  <c r="AG40" i="23"/>
  <c r="N40" i="23"/>
  <c r="FP40" i="23" s="1"/>
  <c r="AU39" i="23"/>
  <c r="FP39" i="23" s="1"/>
  <c r="AM39" i="23"/>
  <c r="AE39" i="23"/>
  <c r="AB39" i="23"/>
  <c r="O39" i="23"/>
  <c r="BF38" i="23"/>
  <c r="AY38" i="23"/>
  <c r="AH38" i="23"/>
  <c r="AG38" i="23"/>
  <c r="FP38" i="23" s="1"/>
  <c r="EO37" i="23"/>
  <c r="AU37" i="23"/>
  <c r="AM37" i="23"/>
  <c r="AB37" i="23"/>
  <c r="P37" i="23"/>
  <c r="FP37" i="23" s="1"/>
  <c r="O37" i="23"/>
  <c r="N37" i="23"/>
  <c r="BF36" i="23"/>
  <c r="N36" i="23"/>
  <c r="I36" i="23"/>
  <c r="FP36" i="23" s="1"/>
  <c r="FB35" i="23"/>
  <c r="EY35" i="23"/>
  <c r="EX35" i="23"/>
  <c r="EV35" i="23"/>
  <c r="AU35" i="23"/>
  <c r="FP35" i="23" s="1"/>
  <c r="AE35" i="23"/>
  <c r="AA35" i="23"/>
  <c r="AR34" i="23"/>
  <c r="AQ34" i="23"/>
  <c r="AH34" i="23"/>
  <c r="FP34" i="23" s="1"/>
  <c r="AG34" i="23"/>
  <c r="EO33" i="23"/>
  <c r="FP33" i="23" s="1"/>
  <c r="EL33" i="23"/>
  <c r="BH33" i="23"/>
  <c r="AU33" i="23"/>
  <c r="AE33" i="23"/>
  <c r="AB33" i="23"/>
  <c r="FP32" i="23"/>
  <c r="BF32" i="23"/>
  <c r="AH32" i="23"/>
  <c r="FP31" i="23"/>
  <c r="FE31" i="23"/>
  <c r="FA31" i="23"/>
  <c r="EW31" i="23"/>
  <c r="FF30" i="23"/>
  <c r="FB30" i="23"/>
  <c r="EZ30" i="23"/>
  <c r="EY30" i="23"/>
  <c r="EX30" i="23"/>
  <c r="EV30" i="23"/>
  <c r="EO30" i="23"/>
  <c r="EN30" i="23"/>
  <c r="EM30" i="23"/>
  <c r="EL30" i="23"/>
  <c r="EK30" i="23"/>
  <c r="EJ30" i="23"/>
  <c r="EI30" i="23"/>
  <c r="EH30" i="23"/>
  <c r="EG30" i="23"/>
  <c r="EF30" i="23"/>
  <c r="EE30" i="23"/>
  <c r="ED30" i="23"/>
  <c r="EC30" i="23"/>
  <c r="EB30" i="23"/>
  <c r="BH30" i="23"/>
  <c r="BG30" i="23"/>
  <c r="BB30" i="23"/>
  <c r="AU30" i="23"/>
  <c r="AM30" i="23"/>
  <c r="AI30" i="23"/>
  <c r="AF30" i="23"/>
  <c r="AE30" i="23"/>
  <c r="AD30" i="23"/>
  <c r="AC30" i="23"/>
  <c r="AB30" i="23"/>
  <c r="AA30" i="23"/>
  <c r="Z30" i="23"/>
  <c r="Y30" i="23"/>
  <c r="V30" i="23"/>
  <c r="U30" i="23"/>
  <c r="S30" i="23"/>
  <c r="FP30" i="23" s="1"/>
  <c r="BF29" i="23"/>
  <c r="AR29" i="23"/>
  <c r="AQ29" i="23"/>
  <c r="AG29" i="23"/>
  <c r="AD29" i="23"/>
  <c r="T29" i="23"/>
  <c r="FP29" i="23" s="1"/>
  <c r="Q29" i="23"/>
  <c r="BH28" i="23"/>
  <c r="AU28" i="23"/>
  <c r="AM28" i="23"/>
  <c r="AE28" i="23"/>
  <c r="AB28" i="23"/>
  <c r="O28" i="23"/>
  <c r="N28" i="23"/>
  <c r="FP28" i="23" s="1"/>
  <c r="BF27" i="23"/>
  <c r="AH27" i="23"/>
  <c r="N27" i="23"/>
  <c r="FP27" i="23" s="1"/>
  <c r="FB26" i="23"/>
  <c r="EY26" i="23"/>
  <c r="EX26" i="23"/>
  <c r="EV26" i="23"/>
  <c r="EO26" i="23"/>
  <c r="EM26" i="23"/>
  <c r="EJ26" i="23"/>
  <c r="EH26" i="23"/>
  <c r="EF26" i="23"/>
  <c r="EE26" i="23"/>
  <c r="ED26" i="23"/>
  <c r="AM26" i="23"/>
  <c r="AB26" i="23"/>
  <c r="FP26" i="23" s="1"/>
  <c r="AA26" i="23"/>
  <c r="AR25" i="23"/>
  <c r="AQ25" i="23"/>
  <c r="AH25" i="23"/>
  <c r="FP25" i="23" s="1"/>
  <c r="BH24" i="23"/>
  <c r="AU24" i="23"/>
  <c r="AE24" i="23"/>
  <c r="FP24" i="23" s="1"/>
  <c r="AB24" i="23"/>
  <c r="BF23" i="23"/>
  <c r="FP23" i="23" s="1"/>
  <c r="AR23" i="23"/>
  <c r="AH23" i="23"/>
  <c r="BH22" i="23"/>
  <c r="AU22" i="23"/>
  <c r="AB22" i="23"/>
  <c r="FP22" i="23" s="1"/>
  <c r="BF21" i="23"/>
  <c r="AH21" i="23"/>
  <c r="FP21" i="23" s="1"/>
  <c r="BH20" i="23"/>
  <c r="AU20" i="23"/>
  <c r="FP20" i="23" s="1"/>
  <c r="AE20" i="23"/>
  <c r="AB20" i="23"/>
  <c r="FP19" i="23"/>
  <c r="BF19" i="23"/>
  <c r="AH19" i="23"/>
  <c r="FE18" i="23"/>
  <c r="FA18" i="23"/>
  <c r="EW18" i="23"/>
  <c r="FP18" i="23" s="1"/>
  <c r="FF17" i="23"/>
  <c r="FB17" i="23"/>
  <c r="EZ17" i="23"/>
  <c r="EY17" i="23"/>
  <c r="EX17" i="23"/>
  <c r="EV17" i="23"/>
  <c r="EO17" i="23"/>
  <c r="EN17" i="23"/>
  <c r="EM17" i="23"/>
  <c r="EL17" i="23"/>
  <c r="EK17" i="23"/>
  <c r="EJ17" i="23"/>
  <c r="EI17" i="23"/>
  <c r="EH17" i="23"/>
  <c r="EG17" i="23"/>
  <c r="EF17" i="23"/>
  <c r="EE17" i="23"/>
  <c r="ED17" i="23"/>
  <c r="EC17" i="23"/>
  <c r="EB17" i="23"/>
  <c r="BH17" i="23"/>
  <c r="BG17" i="23"/>
  <c r="BB17" i="23"/>
  <c r="AU17" i="23"/>
  <c r="AM17" i="23"/>
  <c r="AI17" i="23"/>
  <c r="AF17" i="23"/>
  <c r="AE17" i="23"/>
  <c r="AD17" i="23"/>
  <c r="AC17" i="23"/>
  <c r="AB17" i="23"/>
  <c r="AA17" i="23"/>
  <c r="Z17" i="23"/>
  <c r="Y17" i="23"/>
  <c r="V17" i="23"/>
  <c r="U17" i="23"/>
  <c r="S17" i="23"/>
  <c r="FP17" i="23" s="1"/>
  <c r="FP16" i="23"/>
  <c r="BF16" i="23"/>
  <c r="AR16" i="23"/>
  <c r="AQ16" i="23"/>
  <c r="AG16" i="23"/>
  <c r="T16" i="23"/>
  <c r="Q16" i="23"/>
  <c r="AE15" i="23"/>
  <c r="AD15" i="23"/>
  <c r="AC15" i="23"/>
  <c r="AB15" i="23"/>
  <c r="AA15" i="23"/>
  <c r="Z15" i="23"/>
  <c r="FP15" i="23" s="1"/>
  <c r="Y15" i="23"/>
  <c r="BH14" i="23"/>
  <c r="AU14" i="23"/>
  <c r="AE14" i="23"/>
  <c r="FP14" i="23" s="1"/>
  <c r="AB14" i="23"/>
  <c r="BF13" i="23"/>
  <c r="FP13" i="23" s="1"/>
  <c r="AH13" i="23"/>
  <c r="J12" i="23"/>
  <c r="FP12" i="23" s="1"/>
  <c r="FH11" i="23"/>
  <c r="FG11" i="23"/>
  <c r="EJ11" i="23"/>
  <c r="EG11" i="23"/>
  <c r="EF11" i="23"/>
  <c r="DX11" i="23"/>
  <c r="AF11" i="23"/>
  <c r="P11" i="23"/>
  <c r="O11" i="23"/>
  <c r="N11" i="23"/>
  <c r="L11" i="23"/>
  <c r="FP11" i="23" s="1"/>
  <c r="EA10" i="23"/>
  <c r="DZ10" i="23"/>
  <c r="DY10" i="23"/>
  <c r="DW10" i="23"/>
  <c r="DV10" i="23"/>
  <c r="DU10" i="23"/>
  <c r="K10" i="23"/>
  <c r="I10" i="23"/>
  <c r="FP10" i="23" s="1"/>
  <c r="FE9" i="23"/>
  <c r="FA9" i="23"/>
  <c r="EW9" i="23"/>
  <c r="ES9" i="23"/>
  <c r="CN9" i="23"/>
  <c r="FP9" i="23" s="1"/>
  <c r="FF8" i="23"/>
  <c r="FD8" i="23"/>
  <c r="FC8" i="23"/>
  <c r="FB8" i="23"/>
  <c r="EZ8" i="23"/>
  <c r="EY8" i="23"/>
  <c r="EX8" i="23"/>
  <c r="EV8" i="23"/>
  <c r="EU8" i="23"/>
  <c r="ET8" i="23"/>
  <c r="ER8" i="23"/>
  <c r="EQ8" i="23"/>
  <c r="EP8" i="23"/>
  <c r="EO8" i="23"/>
  <c r="EN8" i="23"/>
  <c r="EM8" i="23"/>
  <c r="EL8" i="23"/>
  <c r="EK8" i="23"/>
  <c r="EC8" i="23"/>
  <c r="EB8" i="23"/>
  <c r="DT8" i="23"/>
  <c r="DR8" i="23"/>
  <c r="DL8" i="23"/>
  <c r="DK8" i="23"/>
  <c r="DJ8" i="23"/>
  <c r="DI8" i="23"/>
  <c r="DH8" i="23"/>
  <c r="DG8" i="23"/>
  <c r="DF8" i="23"/>
  <c r="DE8" i="23"/>
  <c r="DD8" i="23"/>
  <c r="DC8" i="23"/>
  <c r="CV8" i="23"/>
  <c r="CU8" i="23"/>
  <c r="CT8" i="23"/>
  <c r="CS8" i="23"/>
  <c r="CR8" i="23"/>
  <c r="CQ8" i="23"/>
  <c r="CP8" i="23"/>
  <c r="CO8" i="23"/>
  <c r="CM8" i="23"/>
  <c r="CL8" i="23"/>
  <c r="CK8" i="23"/>
  <c r="CJ8" i="23"/>
  <c r="CI8" i="23"/>
  <c r="CG8" i="23"/>
  <c r="CF8" i="23"/>
  <c r="CE8" i="23"/>
  <c r="CD8" i="23"/>
  <c r="CC8" i="23"/>
  <c r="CB8" i="23"/>
  <c r="CA8" i="23"/>
  <c r="BY8" i="23"/>
  <c r="BX8" i="23"/>
  <c r="BW8" i="23"/>
  <c r="BV8" i="23"/>
  <c r="BU8" i="23"/>
  <c r="BS8" i="23"/>
  <c r="BR8" i="23"/>
  <c r="BP8" i="23"/>
  <c r="BO8" i="23"/>
  <c r="BM8" i="23"/>
  <c r="BL8" i="23"/>
  <c r="BK8" i="23"/>
  <c r="BH8" i="23"/>
  <c r="BG8" i="23"/>
  <c r="BF8" i="23"/>
  <c r="BD8" i="23"/>
  <c r="BC8" i="23"/>
  <c r="AU8" i="23"/>
  <c r="AT8" i="23"/>
  <c r="AS8" i="23"/>
  <c r="AN8" i="23"/>
  <c r="AM8" i="23"/>
  <c r="AL8" i="23"/>
  <c r="AK8" i="23"/>
  <c r="AJ8" i="23"/>
  <c r="AI8" i="23"/>
  <c r="AE8" i="23"/>
  <c r="AC8" i="23"/>
  <c r="AB8" i="23"/>
  <c r="AA8" i="23"/>
  <c r="Z8" i="23"/>
  <c r="X8" i="23"/>
  <c r="V8" i="23"/>
  <c r="U8" i="23"/>
  <c r="FP8" i="23" s="1"/>
  <c r="S8" i="23"/>
  <c r="BB7" i="23"/>
  <c r="AZ7" i="23"/>
  <c r="AY7" i="23"/>
  <c r="AR7" i="23"/>
  <c r="FP7" i="23" s="1"/>
  <c r="AQ7" i="23"/>
  <c r="AO7" i="23"/>
  <c r="AH7" i="23"/>
  <c r="AG7" i="23"/>
  <c r="AD7" i="23"/>
  <c r="FP97" i="22" l="1"/>
  <c r="FP96" i="22"/>
  <c r="FP95" i="22"/>
  <c r="FP94" i="22"/>
  <c r="FP93" i="22"/>
  <c r="FJ98" i="22" l="1"/>
  <c r="FF98" i="22"/>
  <c r="FB98" i="22"/>
  <c r="EY98" i="22"/>
  <c r="EX98" i="22"/>
  <c r="EP98" i="22"/>
  <c r="EO98" i="22"/>
  <c r="EI98" i="22"/>
  <c r="EF98" i="22"/>
  <c r="DW98" i="22"/>
  <c r="DP98" i="22"/>
  <c r="DO98" i="22"/>
  <c r="DI98" i="22"/>
  <c r="DH98" i="22"/>
  <c r="CX98" i="22"/>
  <c r="CW98" i="22"/>
  <c r="CN98" i="22"/>
  <c r="CM98" i="22"/>
  <c r="CG98" i="22"/>
  <c r="CF98" i="22"/>
  <c r="CD98" i="22"/>
  <c r="CC98" i="22"/>
  <c r="BY98" i="22"/>
  <c r="BV98" i="22"/>
  <c r="BU98" i="22"/>
  <c r="BR98" i="22"/>
  <c r="BQ98" i="22"/>
  <c r="BO98" i="22"/>
  <c r="BG86" i="22"/>
  <c r="BG80" i="22"/>
  <c r="BG91" i="22"/>
  <c r="AU91" i="22"/>
  <c r="AU74" i="22"/>
  <c r="AU86" i="22"/>
  <c r="AU80" i="22"/>
  <c r="FU90" i="22"/>
  <c r="AU90" i="22"/>
  <c r="DM89" i="22"/>
  <c r="CL89" i="22"/>
  <c r="AU89" i="22"/>
  <c r="AH89" i="22"/>
  <c r="AF89" i="22"/>
  <c r="AE89" i="22"/>
  <c r="AD89" i="22"/>
  <c r="Z89" i="22"/>
  <c r="FU89" i="22" s="1"/>
  <c r="DZ88" i="22"/>
  <c r="AH88" i="22"/>
  <c r="AG88" i="22"/>
  <c r="AD88" i="22"/>
  <c r="K88" i="22"/>
  <c r="FU88" i="22" s="1"/>
  <c r="FU87" i="22"/>
  <c r="J87" i="22"/>
  <c r="FM86" i="22"/>
  <c r="FK86" i="22"/>
  <c r="EY86" i="22"/>
  <c r="EY12" i="22" s="1"/>
  <c r="ES86" i="22"/>
  <c r="EQ86" i="22"/>
  <c r="EP86" i="22"/>
  <c r="EN86" i="22"/>
  <c r="EM86" i="22"/>
  <c r="EK86" i="22"/>
  <c r="EJ86" i="22"/>
  <c r="EI86" i="22"/>
  <c r="EH86" i="22"/>
  <c r="BN86" i="22"/>
  <c r="AX86" i="22"/>
  <c r="AT86" i="22"/>
  <c r="AS86" i="22"/>
  <c r="AO86" i="22"/>
  <c r="AH86" i="22"/>
  <c r="AE86" i="22"/>
  <c r="AC86" i="22"/>
  <c r="S86" i="22"/>
  <c r="P86" i="22"/>
  <c r="O86" i="22"/>
  <c r="N86" i="22"/>
  <c r="FU85" i="22"/>
  <c r="BG85" i="22"/>
  <c r="BA85" i="22"/>
  <c r="AY85" i="22"/>
  <c r="AT85" i="22"/>
  <c r="AQ85" i="22"/>
  <c r="AO85" i="22"/>
  <c r="AH85" i="22"/>
  <c r="AG85" i="22"/>
  <c r="N85" i="22"/>
  <c r="K85" i="22"/>
  <c r="I85" i="22"/>
  <c r="FU84" i="22"/>
  <c r="DW84" i="22"/>
  <c r="DJ84" i="22"/>
  <c r="CX84" i="22"/>
  <c r="CN84" i="22"/>
  <c r="CH84" i="22"/>
  <c r="CF84" i="22"/>
  <c r="CE84" i="22"/>
  <c r="CC84" i="22"/>
  <c r="BR84" i="22"/>
  <c r="BQ84" i="22"/>
  <c r="BQ8" i="22" s="1"/>
  <c r="BJ84" i="22"/>
  <c r="BG84" i="22"/>
  <c r="AU84" i="22"/>
  <c r="FU83" i="22"/>
  <c r="BG83" i="22"/>
  <c r="AR83" i="22"/>
  <c r="ES82" i="22"/>
  <c r="EQ82" i="22"/>
  <c r="AU82" i="22"/>
  <c r="AH82" i="22"/>
  <c r="AF82" i="22"/>
  <c r="FU82" i="22" s="1"/>
  <c r="AR81" i="22"/>
  <c r="FU81" i="22" s="1"/>
  <c r="AQ81" i="22"/>
  <c r="AH81" i="22"/>
  <c r="AG81" i="22"/>
  <c r="ES80" i="22"/>
  <c r="ER80" i="22"/>
  <c r="EQ80" i="22"/>
  <c r="EP80" i="22"/>
  <c r="EN80" i="22"/>
  <c r="EJ80" i="22"/>
  <c r="EI80" i="22"/>
  <c r="EF80" i="22"/>
  <c r="EE80" i="22"/>
  <c r="AO80" i="22"/>
  <c r="AM80" i="22"/>
  <c r="AI80" i="22"/>
  <c r="AH80" i="22"/>
  <c r="AF80" i="22"/>
  <c r="AE80" i="22"/>
  <c r="AD80" i="22"/>
  <c r="AC80" i="22"/>
  <c r="AB80" i="22"/>
  <c r="AA80" i="22"/>
  <c r="Z80" i="22"/>
  <c r="Y80" i="22"/>
  <c r="V80" i="22"/>
  <c r="U80" i="22"/>
  <c r="S80" i="22"/>
  <c r="FU80" i="22" s="1"/>
  <c r="BG79" i="22"/>
  <c r="AO79" i="22"/>
  <c r="AH79" i="22"/>
  <c r="AG79" i="22"/>
  <c r="T79" i="22"/>
  <c r="FU79" i="22" s="1"/>
  <c r="Q79" i="22"/>
  <c r="FU78" i="22"/>
  <c r="J78" i="22"/>
  <c r="FM77" i="22"/>
  <c r="FK77" i="22"/>
  <c r="ES77" i="22"/>
  <c r="ER77" i="22"/>
  <c r="EQ77" i="22"/>
  <c r="EJ77" i="22"/>
  <c r="EI77" i="22"/>
  <c r="EF77" i="22"/>
  <c r="EE77" i="22"/>
  <c r="BG77" i="22"/>
  <c r="BC77" i="22"/>
  <c r="AU77" i="22"/>
  <c r="AO77" i="22"/>
  <c r="AM77" i="22"/>
  <c r="AI77" i="22"/>
  <c r="AH77" i="22"/>
  <c r="AF77" i="22"/>
  <c r="AE77" i="22"/>
  <c r="AD77" i="22"/>
  <c r="AC77" i="22"/>
  <c r="AB77" i="22"/>
  <c r="Z77" i="22"/>
  <c r="Y77" i="22"/>
  <c r="P77" i="22"/>
  <c r="O77" i="22"/>
  <c r="N77" i="22"/>
  <c r="L77" i="22"/>
  <c r="FU77" i="22" s="1"/>
  <c r="BG76" i="22"/>
  <c r="AO76" i="22"/>
  <c r="AH76" i="22"/>
  <c r="AG76" i="22"/>
  <c r="N76" i="22"/>
  <c r="K76" i="22"/>
  <c r="FU76" i="22" s="1"/>
  <c r="I76" i="22"/>
  <c r="J75" i="22"/>
  <c r="FU75" i="22" s="1"/>
  <c r="FJ74" i="22"/>
  <c r="FG74" i="22"/>
  <c r="FF74" i="22"/>
  <c r="FD74" i="22"/>
  <c r="FB74" i="22"/>
  <c r="EZ74" i="22"/>
  <c r="EQ74" i="22"/>
  <c r="EP74" i="22"/>
  <c r="EA74" i="22"/>
  <c r="DL74" i="22"/>
  <c r="DK74" i="22"/>
  <c r="DJ74" i="22"/>
  <c r="DH74" i="22"/>
  <c r="DG74" i="22"/>
  <c r="DF74" i="22"/>
  <c r="DE74" i="22"/>
  <c r="DD74" i="22"/>
  <c r="DC74" i="22"/>
  <c r="DC12" i="22" s="1"/>
  <c r="DB74" i="22"/>
  <c r="DA74" i="22"/>
  <c r="DA12" i="22" s="1"/>
  <c r="CZ74" i="22"/>
  <c r="CY74" i="22"/>
  <c r="CN74" i="22"/>
  <c r="CK74" i="22"/>
  <c r="CH74" i="22"/>
  <c r="CG74" i="22"/>
  <c r="CF74" i="22"/>
  <c r="CE74" i="22"/>
  <c r="CE12" i="22" s="1"/>
  <c r="CD74" i="22"/>
  <c r="CD12" i="22" s="1"/>
  <c r="CC74" i="22"/>
  <c r="CC12" i="22" s="1"/>
  <c r="BZ74" i="22"/>
  <c r="BU74" i="22"/>
  <c r="BS74" i="22"/>
  <c r="BR74" i="22"/>
  <c r="BQ74" i="22"/>
  <c r="BP74" i="22"/>
  <c r="AH74" i="22"/>
  <c r="AF74" i="22"/>
  <c r="N74" i="22"/>
  <c r="AR73" i="22"/>
  <c r="FU73" i="22" s="1"/>
  <c r="AH73" i="22"/>
  <c r="AG73" i="22"/>
  <c r="Q73" i="22"/>
  <c r="N73" i="22"/>
  <c r="FI72" i="22"/>
  <c r="FU72" i="22" s="1"/>
  <c r="FM71" i="22"/>
  <c r="FF71" i="22"/>
  <c r="FD71" i="22"/>
  <c r="FB71" i="22"/>
  <c r="EZ71" i="22"/>
  <c r="EZ12" i="22" s="1"/>
  <c r="ES71" i="22"/>
  <c r="EQ71" i="22"/>
  <c r="EP71" i="22"/>
  <c r="EK71" i="22"/>
  <c r="DW71" i="22"/>
  <c r="DO71" i="22"/>
  <c r="DN71" i="22"/>
  <c r="DM71" i="22"/>
  <c r="DL71" i="22"/>
  <c r="DH71" i="22"/>
  <c r="DH12" i="22" s="1"/>
  <c r="CX71" i="22"/>
  <c r="CX12" i="22" s="1"/>
  <c r="CN71" i="22"/>
  <c r="CM71" i="22"/>
  <c r="CL71" i="22"/>
  <c r="CK71" i="22"/>
  <c r="CH71" i="22"/>
  <c r="CG71" i="22"/>
  <c r="CF71" i="22"/>
  <c r="CE71" i="22"/>
  <c r="CD71" i="22"/>
  <c r="CC71" i="22"/>
  <c r="BY71" i="22"/>
  <c r="BY12" i="22" s="1"/>
  <c r="BX71" i="22"/>
  <c r="BX12" i="22" s="1"/>
  <c r="BW71" i="22"/>
  <c r="BW12" i="22" s="1"/>
  <c r="BV71" i="22"/>
  <c r="BU71" i="22"/>
  <c r="AU71" i="22"/>
  <c r="AM71" i="22"/>
  <c r="AJ71" i="22"/>
  <c r="AH71" i="22"/>
  <c r="AF71" i="22"/>
  <c r="FU71" i="22" s="1"/>
  <c r="Y71" i="22"/>
  <c r="ED70" i="22"/>
  <c r="DX70" i="22"/>
  <c r="AR70" i="22"/>
  <c r="AQ70" i="22"/>
  <c r="AG70" i="22"/>
  <c r="FU70" i="22" s="1"/>
  <c r="K70" i="22"/>
  <c r="I70" i="22"/>
  <c r="AU69" i="22"/>
  <c r="AM69" i="22"/>
  <c r="AH69" i="22"/>
  <c r="AF69" i="22"/>
  <c r="AE69" i="22"/>
  <c r="Y69" i="22"/>
  <c r="FU69" i="22" s="1"/>
  <c r="FU68" i="22"/>
  <c r="AH68" i="22"/>
  <c r="AG68" i="22"/>
  <c r="ES67" i="22"/>
  <c r="EQ67" i="22"/>
  <c r="EJ67" i="22"/>
  <c r="EI67" i="22"/>
  <c r="BI67" i="22"/>
  <c r="BG67" i="22"/>
  <c r="AU67" i="22"/>
  <c r="AH67" i="22"/>
  <c r="AE67" i="22"/>
  <c r="AC67" i="22"/>
  <c r="U67" i="22"/>
  <c r="S67" i="22"/>
  <c r="FU67" i="22" s="1"/>
  <c r="N67" i="22"/>
  <c r="BG66" i="22"/>
  <c r="N66" i="22"/>
  <c r="FU66" i="22" s="1"/>
  <c r="ES65" i="22"/>
  <c r="EP65" i="22"/>
  <c r="EM65" i="22"/>
  <c r="EA65" i="22"/>
  <c r="FU65" i="22" s="1"/>
  <c r="AU65" i="22"/>
  <c r="FU64" i="22"/>
  <c r="AR64" i="22"/>
  <c r="K64" i="22"/>
  <c r="FU63" i="22"/>
  <c r="J63" i="22"/>
  <c r="FU62" i="22"/>
  <c r="AB62" i="22"/>
  <c r="K61" i="22"/>
  <c r="FU61" i="22" s="1"/>
  <c r="ES60" i="22"/>
  <c r="FU60" i="22" s="1"/>
  <c r="EP60" i="22"/>
  <c r="EM60" i="22"/>
  <c r="EA60" i="22"/>
  <c r="S60" i="22"/>
  <c r="AR59" i="22"/>
  <c r="K59" i="22"/>
  <c r="FU59" i="22" s="1"/>
  <c r="EP58" i="22"/>
  <c r="AA58" i="22"/>
  <c r="U58" i="22"/>
  <c r="FU58" i="22" s="1"/>
  <c r="FU57" i="22"/>
  <c r="AR57" i="22"/>
  <c r="FU56" i="22"/>
  <c r="J56" i="22"/>
  <c r="ES55" i="22"/>
  <c r="U55" i="22"/>
  <c r="FU55" i="22" s="1"/>
  <c r="EK54" i="22"/>
  <c r="EA54" i="22"/>
  <c r="AH54" i="22"/>
  <c r="FU54" i="22" s="1"/>
  <c r="AH53" i="22"/>
  <c r="FU53" i="22" s="1"/>
  <c r="I53" i="22"/>
  <c r="FU52" i="22"/>
  <c r="AG52" i="22"/>
  <c r="AG51" i="22"/>
  <c r="FU51" i="22" s="1"/>
  <c r="ES50" i="22"/>
  <c r="EQ50" i="22"/>
  <c r="EP50" i="22"/>
  <c r="EJ50" i="22"/>
  <c r="EI50" i="22"/>
  <c r="BI50" i="22"/>
  <c r="AE50" i="22"/>
  <c r="U50" i="22"/>
  <c r="FU50" i="22" s="1"/>
  <c r="S50" i="22"/>
  <c r="AR49" i="22"/>
  <c r="I49" i="22"/>
  <c r="FU49" i="22" s="1"/>
  <c r="FU48" i="22"/>
  <c r="J48" i="22"/>
  <c r="ES47" i="22"/>
  <c r="EP47" i="22"/>
  <c r="EA47" i="22"/>
  <c r="FU47" i="22" s="1"/>
  <c r="AB47" i="22"/>
  <c r="FU46" i="22"/>
  <c r="AR46" i="22"/>
  <c r="ES45" i="22"/>
  <c r="EM45" i="22"/>
  <c r="AA45" i="22"/>
  <c r="FU45" i="22" s="1"/>
  <c r="K44" i="22"/>
  <c r="FU44" i="22" s="1"/>
  <c r="ES43" i="22"/>
  <c r="EP43" i="22"/>
  <c r="FU43" i="22" s="1"/>
  <c r="EM43" i="22"/>
  <c r="FU42" i="22"/>
  <c r="ES42" i="22"/>
  <c r="EK42" i="22"/>
  <c r="FU41" i="22"/>
  <c r="AG41" i="22"/>
  <c r="FM40" i="22"/>
  <c r="FL40" i="22"/>
  <c r="FK40" i="22"/>
  <c r="EQ40" i="22"/>
  <c r="EM40" i="22"/>
  <c r="EL40" i="22"/>
  <c r="EK40" i="22"/>
  <c r="EJ40" i="22"/>
  <c r="EI40" i="22"/>
  <c r="EF40" i="22"/>
  <c r="EE40" i="22"/>
  <c r="AU40" i="22"/>
  <c r="AM40" i="22"/>
  <c r="AJ40" i="22"/>
  <c r="AI40" i="22"/>
  <c r="AH40" i="22"/>
  <c r="AF40" i="22"/>
  <c r="AE40" i="22"/>
  <c r="AD40" i="22"/>
  <c r="AC40" i="22"/>
  <c r="AB40" i="22"/>
  <c r="AA40" i="22"/>
  <c r="Z40" i="22"/>
  <c r="Y40" i="22"/>
  <c r="V40" i="22"/>
  <c r="U40" i="22"/>
  <c r="S40" i="22"/>
  <c r="P40" i="22"/>
  <c r="O40" i="22"/>
  <c r="N40" i="22"/>
  <c r="M40" i="22"/>
  <c r="FU40" i="22" s="1"/>
  <c r="AR39" i="22"/>
  <c r="AQ39" i="22"/>
  <c r="AH39" i="22"/>
  <c r="AG39" i="22"/>
  <c r="T39" i="22"/>
  <c r="Q39" i="22"/>
  <c r="N39" i="22"/>
  <c r="FU39" i="22" s="1"/>
  <c r="FM38" i="22"/>
  <c r="FK38" i="22"/>
  <c r="ES38" i="22"/>
  <c r="EQ38" i="22"/>
  <c r="EP38" i="22"/>
  <c r="EM38" i="22"/>
  <c r="EK38" i="22"/>
  <c r="EJ38" i="22"/>
  <c r="EI38" i="22"/>
  <c r="BI38" i="22"/>
  <c r="BG38" i="22"/>
  <c r="AU38" i="22"/>
  <c r="AH38" i="22"/>
  <c r="FU38" i="22" s="1"/>
  <c r="AE38" i="22"/>
  <c r="AC38" i="22"/>
  <c r="AB38" i="22"/>
  <c r="AA38" i="22"/>
  <c r="U38" i="22"/>
  <c r="S38" i="22"/>
  <c r="P38" i="22"/>
  <c r="O38" i="22"/>
  <c r="N38" i="22"/>
  <c r="BG37" i="22"/>
  <c r="AR37" i="22"/>
  <c r="FU37" i="22" s="1"/>
  <c r="AQ37" i="22"/>
  <c r="AH37" i="22"/>
  <c r="AG37" i="22"/>
  <c r="N37" i="22"/>
  <c r="ES36" i="22"/>
  <c r="EQ36" i="22"/>
  <c r="EJ36" i="22"/>
  <c r="EI36" i="22"/>
  <c r="BI36" i="22"/>
  <c r="BH36" i="22"/>
  <c r="BG36" i="22"/>
  <c r="BC36" i="22"/>
  <c r="AU36" i="22"/>
  <c r="AM36" i="22"/>
  <c r="AH36" i="22"/>
  <c r="AE36" i="22"/>
  <c r="AC36" i="22"/>
  <c r="AB36" i="22"/>
  <c r="P36" i="22"/>
  <c r="O36" i="22"/>
  <c r="N36" i="22"/>
  <c r="FU36" i="22" s="1"/>
  <c r="BG35" i="22"/>
  <c r="FU35" i="22" s="1"/>
  <c r="BC35" i="22"/>
  <c r="BA35" i="22"/>
  <c r="AH35" i="22"/>
  <c r="AG35" i="22"/>
  <c r="N35" i="22"/>
  <c r="K35" i="22"/>
  <c r="I35" i="22"/>
  <c r="AU34" i="22"/>
  <c r="AO34" i="22"/>
  <c r="AM34" i="22"/>
  <c r="AJ34" i="22"/>
  <c r="AI34" i="22"/>
  <c r="AE34" i="22"/>
  <c r="AB34" i="22"/>
  <c r="Y34" i="22"/>
  <c r="U34" i="22"/>
  <c r="FU34" i="22" s="1"/>
  <c r="AR33" i="22"/>
  <c r="AQ33" i="22"/>
  <c r="AO33" i="22"/>
  <c r="AG33" i="22"/>
  <c r="FU33" i="22" s="1"/>
  <c r="EM32" i="22"/>
  <c r="EL32" i="22"/>
  <c r="EK32" i="22"/>
  <c r="EJ32" i="22"/>
  <c r="EI32" i="22"/>
  <c r="EF32" i="22"/>
  <c r="EE32" i="22"/>
  <c r="BG32" i="22"/>
  <c r="BC32" i="22"/>
  <c r="AU32" i="22"/>
  <c r="AM32" i="22"/>
  <c r="AH32" i="22"/>
  <c r="AF32" i="22"/>
  <c r="FU32" i="22" s="1"/>
  <c r="AC32" i="22"/>
  <c r="AB32" i="22"/>
  <c r="BG31" i="22"/>
  <c r="BC31" i="22"/>
  <c r="AH31" i="22"/>
  <c r="AG31" i="22"/>
  <c r="FU31" i="22" s="1"/>
  <c r="FB30" i="22"/>
  <c r="DL30" i="22"/>
  <c r="DL12" i="22" s="1"/>
  <c r="CN30" i="22"/>
  <c r="CN12" i="22" s="1"/>
  <c r="CL30" i="22"/>
  <c r="CL12" i="22" s="1"/>
  <c r="CH30" i="22"/>
  <c r="FM29" i="22"/>
  <c r="FL29" i="22"/>
  <c r="FK29" i="22"/>
  <c r="ES29" i="22"/>
  <c r="ER29" i="22"/>
  <c r="EQ29" i="22"/>
  <c r="EM29" i="22"/>
  <c r="EL29" i="22"/>
  <c r="EK29" i="22"/>
  <c r="EJ29" i="22"/>
  <c r="EI29" i="22"/>
  <c r="EH29" i="22"/>
  <c r="EG29" i="22"/>
  <c r="EF29" i="22"/>
  <c r="EE29" i="22"/>
  <c r="AU29" i="22"/>
  <c r="AS29" i="22"/>
  <c r="AM29" i="22"/>
  <c r="AL29" i="22"/>
  <c r="AJ29" i="22"/>
  <c r="AI29" i="22"/>
  <c r="AH29" i="22"/>
  <c r="AF29" i="22"/>
  <c r="AE29" i="22"/>
  <c r="AD29" i="22"/>
  <c r="AC29" i="22"/>
  <c r="AB29" i="22"/>
  <c r="AA29" i="22"/>
  <c r="Z29" i="22"/>
  <c r="Y29" i="22"/>
  <c r="X29" i="22"/>
  <c r="W29" i="22"/>
  <c r="U29" i="22"/>
  <c r="FU29" i="22" s="1"/>
  <c r="FU28" i="22"/>
  <c r="AR28" i="22"/>
  <c r="AQ28" i="22"/>
  <c r="AH28" i="22"/>
  <c r="AG28" i="22"/>
  <c r="R28" i="22"/>
  <c r="ES27" i="22"/>
  <c r="EM27" i="22"/>
  <c r="EL27" i="22"/>
  <c r="EK27" i="22"/>
  <c r="EE27" i="22"/>
  <c r="BG27" i="22"/>
  <c r="AU27" i="22"/>
  <c r="AM27" i="22"/>
  <c r="AJ27" i="22"/>
  <c r="AI27" i="22"/>
  <c r="AE27" i="22"/>
  <c r="AB27" i="22"/>
  <c r="Y27" i="22"/>
  <c r="U27" i="22"/>
  <c r="O27" i="22"/>
  <c r="N27" i="22"/>
  <c r="FU27" i="22" s="1"/>
  <c r="BG26" i="22"/>
  <c r="FU26" i="22" s="1"/>
  <c r="AR26" i="22"/>
  <c r="AQ26" i="22"/>
  <c r="N26" i="22"/>
  <c r="ES25" i="22"/>
  <c r="BG25" i="22"/>
  <c r="AU25" i="22"/>
  <c r="AM25" i="22"/>
  <c r="AH25" i="22"/>
  <c r="AC25" i="22"/>
  <c r="AB25" i="22"/>
  <c r="FU25" i="22" s="1"/>
  <c r="FU24" i="22"/>
  <c r="BG24" i="22"/>
  <c r="AH24" i="22"/>
  <c r="FF23" i="22"/>
  <c r="FC23" i="22"/>
  <c r="FB23" i="22"/>
  <c r="EZ23" i="22"/>
  <c r="AU23" i="22"/>
  <c r="AH23" i="22"/>
  <c r="AE23" i="22"/>
  <c r="AA23" i="22"/>
  <c r="FU23" i="22" s="1"/>
  <c r="FU22" i="22"/>
  <c r="AR22" i="22"/>
  <c r="AQ22" i="22"/>
  <c r="AH22" i="22"/>
  <c r="AG22" i="22"/>
  <c r="FI21" i="22"/>
  <c r="FE21" i="22"/>
  <c r="FU21" i="22" s="1"/>
  <c r="FA21" i="22"/>
  <c r="FA12" i="22" s="1"/>
  <c r="FJ20" i="22"/>
  <c r="FF20" i="22"/>
  <c r="FD20" i="22"/>
  <c r="FC20" i="22"/>
  <c r="FB20" i="22"/>
  <c r="EZ20" i="22"/>
  <c r="ES20" i="22"/>
  <c r="ER20" i="22"/>
  <c r="EQ20" i="22"/>
  <c r="EP20" i="22"/>
  <c r="EN20" i="22"/>
  <c r="EM20" i="22"/>
  <c r="EL20" i="22"/>
  <c r="EK20" i="22"/>
  <c r="EJ20" i="22"/>
  <c r="EI20" i="22"/>
  <c r="EH20" i="22"/>
  <c r="EG20" i="22"/>
  <c r="EF20" i="22"/>
  <c r="EE20" i="22"/>
  <c r="BI20" i="22"/>
  <c r="BH20" i="22"/>
  <c r="BG20" i="22"/>
  <c r="BC20" i="22"/>
  <c r="AU20" i="22"/>
  <c r="AM20" i="22"/>
  <c r="AI20" i="22"/>
  <c r="AH20" i="22"/>
  <c r="AF20" i="22"/>
  <c r="AE20" i="22"/>
  <c r="AD20" i="22"/>
  <c r="AC20" i="22"/>
  <c r="AB20" i="22"/>
  <c r="AA20" i="22"/>
  <c r="Z20" i="22"/>
  <c r="Y20" i="22"/>
  <c r="V20" i="22"/>
  <c r="U20" i="22"/>
  <c r="S20" i="22"/>
  <c r="FU20" i="22" s="1"/>
  <c r="BG19" i="22"/>
  <c r="BC19" i="22"/>
  <c r="AR19" i="22"/>
  <c r="AQ19" i="22"/>
  <c r="AH19" i="22"/>
  <c r="AG19" i="22"/>
  <c r="T19" i="22"/>
  <c r="Q19" i="22"/>
  <c r="FU19" i="22" s="1"/>
  <c r="FI18" i="22"/>
  <c r="FI12" i="22" s="1"/>
  <c r="FE18" i="22"/>
  <c r="FU18" i="22" s="1"/>
  <c r="FA18" i="22"/>
  <c r="FJ17" i="22"/>
  <c r="FF17" i="22"/>
  <c r="FD17" i="22"/>
  <c r="FD12" i="22" s="1"/>
  <c r="FC17" i="22"/>
  <c r="FB17" i="22"/>
  <c r="FB12" i="22" s="1"/>
  <c r="EZ17" i="22"/>
  <c r="ES17" i="22"/>
  <c r="ER17" i="22"/>
  <c r="ER12" i="22" s="1"/>
  <c r="EQ17" i="22"/>
  <c r="EQ12" i="22" s="1"/>
  <c r="EP17" i="22"/>
  <c r="EP12" i="22" s="1"/>
  <c r="EN17" i="22"/>
  <c r="EM17" i="22"/>
  <c r="EL17" i="22"/>
  <c r="EK17" i="22"/>
  <c r="EJ17" i="22"/>
  <c r="EI17" i="22"/>
  <c r="EH17" i="22"/>
  <c r="EG17" i="22"/>
  <c r="EF17" i="22"/>
  <c r="EE17" i="22"/>
  <c r="BI17" i="22"/>
  <c r="BH17" i="22"/>
  <c r="BG17" i="22"/>
  <c r="BC17" i="22"/>
  <c r="AU17" i="22"/>
  <c r="AM17" i="22"/>
  <c r="AI17" i="22"/>
  <c r="AH17" i="22"/>
  <c r="AF17" i="22"/>
  <c r="AE17" i="22"/>
  <c r="AD17" i="22"/>
  <c r="AC17" i="22"/>
  <c r="AB17" i="22"/>
  <c r="AA17" i="22"/>
  <c r="Z17" i="22"/>
  <c r="Y17" i="22"/>
  <c r="FU17" i="22" s="1"/>
  <c r="V17" i="22"/>
  <c r="U17" i="22"/>
  <c r="S17" i="22"/>
  <c r="BG16" i="22"/>
  <c r="AR16" i="22"/>
  <c r="AQ16" i="22"/>
  <c r="AH16" i="22"/>
  <c r="AG16" i="22"/>
  <c r="T16" i="22"/>
  <c r="FU16" i="22" s="1"/>
  <c r="Q16" i="22"/>
  <c r="FU15" i="22"/>
  <c r="AE15" i="22"/>
  <c r="AD15" i="22"/>
  <c r="AC15" i="22"/>
  <c r="AB15" i="22"/>
  <c r="AA15" i="22"/>
  <c r="Z15" i="22"/>
  <c r="Y15" i="22"/>
  <c r="FJ14" i="22"/>
  <c r="FJ12" i="22" s="1"/>
  <c r="FF14" i="22"/>
  <c r="FF12" i="22" s="1"/>
  <c r="FD14" i="22"/>
  <c r="FC14" i="22"/>
  <c r="FB14" i="22"/>
  <c r="EZ14" i="22"/>
  <c r="ES14" i="22"/>
  <c r="EQ14" i="22"/>
  <c r="BG14" i="22"/>
  <c r="AU14" i="22"/>
  <c r="U14" i="22"/>
  <c r="P14" i="22"/>
  <c r="O14" i="22"/>
  <c r="N14" i="22"/>
  <c r="FU14" i="22" s="1"/>
  <c r="BG13" i="22"/>
  <c r="AR13" i="22"/>
  <c r="AG13" i="22"/>
  <c r="N13" i="22"/>
  <c r="FU13" i="22" s="1"/>
  <c r="FH12" i="22"/>
  <c r="FG12" i="22"/>
  <c r="FE12" i="22"/>
  <c r="FC12" i="22"/>
  <c r="EX12" i="22"/>
  <c r="EW12" i="22"/>
  <c r="EV12" i="22"/>
  <c r="EU12" i="22"/>
  <c r="ET12" i="22"/>
  <c r="ES12" i="22"/>
  <c r="EO12" i="22"/>
  <c r="DW12" i="22"/>
  <c r="DV12" i="22"/>
  <c r="DU12" i="22"/>
  <c r="DT12" i="22"/>
  <c r="DS12" i="22"/>
  <c r="DR12" i="22"/>
  <c r="DQ12" i="22"/>
  <c r="DP12" i="22"/>
  <c r="DO12" i="22"/>
  <c r="DN12" i="22"/>
  <c r="DM12" i="22"/>
  <c r="DK12" i="22"/>
  <c r="DJ12" i="22"/>
  <c r="DI12" i="22"/>
  <c r="DG12" i="22"/>
  <c r="DF12" i="22"/>
  <c r="DE12" i="22"/>
  <c r="DD12" i="22"/>
  <c r="DB12" i="22"/>
  <c r="CZ12" i="22"/>
  <c r="CY12" i="22"/>
  <c r="CW12" i="22"/>
  <c r="CV12" i="22"/>
  <c r="CU12" i="22"/>
  <c r="CT12" i="22"/>
  <c r="CS12" i="22"/>
  <c r="CR12" i="22"/>
  <c r="CQ12" i="22"/>
  <c r="CP12" i="22"/>
  <c r="CO12" i="22"/>
  <c r="CM12" i="22"/>
  <c r="CK12" i="22"/>
  <c r="CJ12" i="22"/>
  <c r="CI12" i="22"/>
  <c r="CH12" i="22"/>
  <c r="CG12" i="22"/>
  <c r="CF12" i="22"/>
  <c r="CB12" i="22"/>
  <c r="CA12" i="22"/>
  <c r="BZ12" i="22"/>
  <c r="BV12" i="22"/>
  <c r="BU12" i="22"/>
  <c r="BT12" i="22"/>
  <c r="BS12" i="22"/>
  <c r="BR12" i="22"/>
  <c r="J12" i="22"/>
  <c r="FM11" i="22"/>
  <c r="FK11" i="22"/>
  <c r="EM11" i="22"/>
  <c r="EJ11" i="22"/>
  <c r="EI11" i="22"/>
  <c r="EA11" i="22"/>
  <c r="AF11" i="22"/>
  <c r="P11" i="22"/>
  <c r="O11" i="22"/>
  <c r="N11" i="22"/>
  <c r="L11" i="22"/>
  <c r="FU11" i="22" s="1"/>
  <c r="ED10" i="22"/>
  <c r="EC10" i="22"/>
  <c r="EB10" i="22"/>
  <c r="DZ10" i="22"/>
  <c r="DY10" i="22"/>
  <c r="DX10" i="22"/>
  <c r="K10" i="22"/>
  <c r="I10" i="22"/>
  <c r="FU10" i="22" s="1"/>
  <c r="FI9" i="22"/>
  <c r="FE9" i="22"/>
  <c r="FA9" i="22"/>
  <c r="EW9" i="22"/>
  <c r="CN9" i="22"/>
  <c r="BN9" i="22"/>
  <c r="FU9" i="22" s="1"/>
  <c r="FJ8" i="22"/>
  <c r="FH8" i="22"/>
  <c r="FG8" i="22"/>
  <c r="FF8" i="22"/>
  <c r="FD8" i="22"/>
  <c r="FC8" i="22"/>
  <c r="FB8" i="22"/>
  <c r="EZ8" i="22"/>
  <c r="EY8" i="22"/>
  <c r="EX8" i="22"/>
  <c r="EV8" i="22"/>
  <c r="EU8" i="22"/>
  <c r="ET8" i="22"/>
  <c r="ES8" i="22"/>
  <c r="ER8" i="22"/>
  <c r="EQ8" i="22"/>
  <c r="EP8" i="22"/>
  <c r="EN8" i="22"/>
  <c r="EF8" i="22"/>
  <c r="EE8" i="22"/>
  <c r="DW8" i="22"/>
  <c r="DU8" i="22"/>
  <c r="DO8" i="22"/>
  <c r="DN8" i="22"/>
  <c r="DM8" i="22"/>
  <c r="DL8" i="22"/>
  <c r="DK8" i="22"/>
  <c r="DJ8" i="22"/>
  <c r="DH8" i="22"/>
  <c r="CX8" i="22"/>
  <c r="CW8" i="22"/>
  <c r="CP8" i="22"/>
  <c r="CO8" i="22"/>
  <c r="CM8" i="22"/>
  <c r="CL8" i="22"/>
  <c r="CK8" i="22"/>
  <c r="CJ8" i="22"/>
  <c r="CI8" i="22"/>
  <c r="CH8" i="22"/>
  <c r="CG8" i="22"/>
  <c r="CF8" i="22"/>
  <c r="CE8" i="22"/>
  <c r="CD8" i="22"/>
  <c r="CC8" i="22"/>
  <c r="CA8" i="22"/>
  <c r="BZ8" i="22"/>
  <c r="BY8" i="22"/>
  <c r="BX8" i="22"/>
  <c r="BW8" i="22"/>
  <c r="BU8" i="22"/>
  <c r="BS8" i="22"/>
  <c r="BR8" i="22"/>
  <c r="BP8" i="22"/>
  <c r="BO8" i="22"/>
  <c r="BI8" i="22"/>
  <c r="BH8" i="22"/>
  <c r="BG8" i="22"/>
  <c r="BE8" i="22"/>
  <c r="BD8" i="22"/>
  <c r="AU8" i="22"/>
  <c r="AS8" i="22"/>
  <c r="AN8" i="22"/>
  <c r="AM8" i="22"/>
  <c r="AL8" i="22"/>
  <c r="AK8" i="22"/>
  <c r="AJ8" i="22"/>
  <c r="AI8" i="22"/>
  <c r="AE8" i="22"/>
  <c r="AC8" i="22"/>
  <c r="AB8" i="22"/>
  <c r="AA8" i="22"/>
  <c r="Z8" i="22"/>
  <c r="X8" i="22"/>
  <c r="V8" i="22"/>
  <c r="U8" i="22"/>
  <c r="S8" i="22"/>
  <c r="H8" i="22"/>
  <c r="BV7" i="22"/>
  <c r="BC7" i="22"/>
  <c r="BB7" i="22"/>
  <c r="BA7" i="22"/>
  <c r="AT7" i="22"/>
  <c r="AR7" i="22"/>
  <c r="AQ7" i="22"/>
  <c r="AO7" i="22"/>
  <c r="AH7" i="22"/>
  <c r="AG7" i="22"/>
  <c r="AD7" i="22"/>
  <c r="FU7" i="22" s="1"/>
  <c r="FU91" i="22" l="1"/>
  <c r="FU86" i="22"/>
  <c r="FU74" i="22"/>
  <c r="FU8" i="22"/>
  <c r="FU12" i="22"/>
  <c r="FU30" i="22"/>
  <c r="Q27" i="21"/>
  <c r="L26" i="21"/>
  <c r="L25" i="21"/>
  <c r="L24" i="21"/>
  <c r="L23" i="21"/>
  <c r="L22" i="21"/>
  <c r="L21" i="21"/>
  <c r="L20" i="21"/>
  <c r="L19" i="21"/>
  <c r="L18" i="21"/>
  <c r="L17" i="21"/>
  <c r="L16" i="21"/>
  <c r="L15" i="21"/>
  <c r="L14" i="21"/>
  <c r="L13" i="21"/>
  <c r="L12" i="21"/>
  <c r="L11" i="21"/>
  <c r="L10" i="21"/>
  <c r="L9" i="21"/>
  <c r="L8" i="21"/>
  <c r="L7" i="21"/>
  <c r="L6" i="21"/>
  <c r="L5" i="21"/>
  <c r="L4" i="21"/>
  <c r="L3" i="21"/>
  <c r="L2" i="21"/>
  <c r="P27" i="21"/>
  <c r="O27" i="21"/>
  <c r="N27" i="21"/>
  <c r="M27" i="21"/>
  <c r="K27" i="21"/>
  <c r="J27" i="21"/>
  <c r="I27" i="21"/>
  <c r="H27" i="21"/>
  <c r="G27" i="21"/>
  <c r="F27" i="21"/>
  <c r="D27" i="21"/>
  <c r="E27" i="21"/>
  <c r="Q26" i="21"/>
  <c r="Q25" i="21"/>
  <c r="Q24" i="21"/>
  <c r="Q23" i="21"/>
  <c r="Q22" i="21"/>
  <c r="Q21" i="21"/>
  <c r="Q20" i="21"/>
  <c r="Q19" i="21"/>
  <c r="Q18" i="21"/>
  <c r="Q17" i="21"/>
  <c r="Q16" i="21"/>
  <c r="Q15" i="21"/>
  <c r="Q14" i="21"/>
  <c r="Q13" i="21"/>
  <c r="Q12" i="21"/>
  <c r="Q11" i="21"/>
  <c r="Q10" i="21"/>
  <c r="Q9" i="21"/>
  <c r="Q8" i="21"/>
  <c r="Q7" i="21"/>
  <c r="Q6" i="21"/>
  <c r="Q5" i="21"/>
  <c r="Q4" i="21"/>
  <c r="Q3" i="21"/>
  <c r="Q2" i="21"/>
  <c r="L27" i="21" l="1"/>
  <c r="R37" i="20"/>
  <c r="Q37" i="20"/>
  <c r="P37" i="20"/>
  <c r="O37" i="20"/>
  <c r="N37" i="20"/>
  <c r="M37" i="20"/>
  <c r="L37" i="20"/>
  <c r="K37" i="20"/>
  <c r="J37" i="20"/>
  <c r="I37" i="20"/>
  <c r="H37" i="20"/>
  <c r="F37" i="20"/>
  <c r="E37" i="20"/>
  <c r="D37" i="20"/>
  <c r="G37" i="20"/>
  <c r="M36" i="20"/>
  <c r="M35" i="20"/>
  <c r="M34" i="20"/>
  <c r="M33" i="20"/>
  <c r="M32" i="20"/>
  <c r="M31" i="20"/>
  <c r="M30" i="20"/>
  <c r="M29" i="20"/>
  <c r="M28" i="20"/>
  <c r="M27" i="20"/>
  <c r="M26" i="20"/>
  <c r="M25" i="20"/>
  <c r="M24" i="20"/>
  <c r="M23" i="20"/>
  <c r="M22" i="20"/>
  <c r="M21" i="20"/>
  <c r="M20" i="20"/>
  <c r="M19" i="20"/>
  <c r="M18" i="20"/>
  <c r="M17" i="20"/>
  <c r="M16" i="20"/>
  <c r="M15" i="20"/>
  <c r="M14" i="20"/>
  <c r="M13" i="20"/>
  <c r="M12" i="20"/>
  <c r="M11" i="20"/>
  <c r="M10" i="20"/>
  <c r="M9" i="20"/>
  <c r="M8" i="20"/>
  <c r="M7" i="20"/>
  <c r="M6" i="20"/>
  <c r="M5" i="20"/>
  <c r="M4" i="20"/>
  <c r="M3" i="20"/>
  <c r="R36" i="20"/>
  <c r="R35" i="20"/>
  <c r="R34" i="20"/>
  <c r="R33" i="20"/>
  <c r="R32" i="20"/>
  <c r="R31" i="20"/>
  <c r="R30" i="20"/>
  <c r="R29" i="20"/>
  <c r="R28" i="20"/>
  <c r="R27" i="20"/>
  <c r="R26" i="20"/>
  <c r="R25" i="20"/>
  <c r="R24" i="20"/>
  <c r="R23" i="20"/>
  <c r="R22" i="20"/>
  <c r="R21" i="20"/>
  <c r="R20" i="20"/>
  <c r="R19" i="20"/>
  <c r="R18" i="20"/>
  <c r="R17" i="20"/>
  <c r="R16" i="20"/>
  <c r="R15" i="20"/>
  <c r="R14" i="20"/>
  <c r="R13" i="20"/>
  <c r="R12" i="20"/>
  <c r="R11" i="20"/>
  <c r="R10" i="20"/>
  <c r="R9" i="20"/>
  <c r="R8" i="20"/>
  <c r="R7" i="20"/>
  <c r="R6" i="20"/>
  <c r="R5" i="20"/>
  <c r="R4" i="20"/>
  <c r="R3" i="20"/>
  <c r="R2" i="20"/>
  <c r="M2" i="20"/>
  <c r="D14" i="20"/>
  <c r="X23" i="19" l="1"/>
  <c r="X22" i="19"/>
  <c r="X21" i="19"/>
  <c r="X20" i="19"/>
  <c r="X19" i="19"/>
  <c r="X18" i="19"/>
  <c r="X17" i="19"/>
  <c r="X15" i="19"/>
  <c r="X14" i="19"/>
  <c r="X13" i="19"/>
  <c r="X12" i="19"/>
  <c r="X11" i="19"/>
  <c r="X10" i="19"/>
  <c r="X9" i="19"/>
  <c r="X7" i="19"/>
  <c r="X6" i="19"/>
  <c r="X5" i="19"/>
  <c r="X4" i="19"/>
  <c r="X3" i="19"/>
  <c r="X2" i="19"/>
  <c r="L29" i="19"/>
  <c r="L28" i="19"/>
  <c r="L27" i="19"/>
  <c r="L26" i="19"/>
  <c r="L25" i="19"/>
  <c r="L24" i="19"/>
  <c r="L23" i="19"/>
  <c r="L22" i="19"/>
  <c r="L21" i="19"/>
  <c r="L20" i="19"/>
  <c r="L19" i="19"/>
  <c r="L18" i="19"/>
  <c r="L17" i="19"/>
  <c r="L16" i="19"/>
  <c r="L15" i="19"/>
  <c r="L14" i="19"/>
  <c r="L13" i="19"/>
  <c r="L12" i="19"/>
  <c r="L11" i="19"/>
  <c r="L10" i="19"/>
  <c r="L9" i="19"/>
  <c r="L8" i="19"/>
  <c r="L7" i="19"/>
  <c r="L6" i="19"/>
  <c r="L5" i="19"/>
  <c r="L4" i="19"/>
  <c r="L3" i="19"/>
  <c r="L2" i="19"/>
  <c r="P30" i="19"/>
  <c r="O30" i="19"/>
  <c r="N30" i="19"/>
  <c r="M30" i="19"/>
  <c r="K30" i="19"/>
  <c r="J30" i="19"/>
  <c r="I30" i="19"/>
  <c r="H30" i="19"/>
  <c r="G30" i="19"/>
  <c r="F30" i="19"/>
  <c r="D30" i="19"/>
  <c r="Q29" i="19"/>
  <c r="Q28" i="19"/>
  <c r="Q27" i="19"/>
  <c r="Q26" i="19"/>
  <c r="Q25" i="19"/>
  <c r="Q24" i="19"/>
  <c r="Q23" i="19"/>
  <c r="Q22" i="19"/>
  <c r="Q21" i="19"/>
  <c r="Q20" i="19"/>
  <c r="Q19" i="19"/>
  <c r="Q18" i="19"/>
  <c r="Q17" i="19"/>
  <c r="Q16" i="19"/>
  <c r="Q15" i="19"/>
  <c r="Q14" i="19"/>
  <c r="Q13" i="19"/>
  <c r="Q12" i="19"/>
  <c r="Q11" i="19"/>
  <c r="Q10" i="19"/>
  <c r="Q9" i="19"/>
  <c r="Q8" i="19"/>
  <c r="Q7" i="19"/>
  <c r="Q6" i="19"/>
  <c r="Q5" i="19"/>
  <c r="Q4" i="19"/>
  <c r="Q3" i="19"/>
  <c r="Q2" i="19"/>
  <c r="Q30" i="19" l="1"/>
  <c r="L30" i="19"/>
  <c r="E30" i="19"/>
  <c r="X23" i="18"/>
  <c r="X22" i="18"/>
  <c r="X21" i="18"/>
  <c r="X20" i="18"/>
  <c r="X19" i="18"/>
  <c r="X18" i="18"/>
  <c r="X17" i="18"/>
  <c r="L26" i="18"/>
  <c r="L25" i="18"/>
  <c r="L24" i="18"/>
  <c r="L23" i="18"/>
  <c r="L22" i="18"/>
  <c r="L21" i="18"/>
  <c r="L20" i="18"/>
  <c r="L19" i="18"/>
  <c r="L18" i="18"/>
  <c r="L17" i="18"/>
  <c r="L16" i="18"/>
  <c r="L15" i="18"/>
  <c r="L14" i="18"/>
  <c r="L13" i="18"/>
  <c r="L12" i="18"/>
  <c r="L11" i="18"/>
  <c r="L10" i="18"/>
  <c r="L9" i="18"/>
  <c r="L8" i="18"/>
  <c r="L7" i="18"/>
  <c r="L6" i="18"/>
  <c r="L5" i="18"/>
  <c r="L4" i="18"/>
  <c r="L3" i="18"/>
  <c r="L2" i="18"/>
  <c r="P27" i="18"/>
  <c r="O27" i="18"/>
  <c r="N27" i="18"/>
  <c r="M27" i="18"/>
  <c r="K27" i="18"/>
  <c r="J27" i="18"/>
  <c r="I27" i="18"/>
  <c r="H27" i="18"/>
  <c r="G27" i="18"/>
  <c r="F27" i="18"/>
  <c r="E27" i="18"/>
  <c r="D27" i="18"/>
  <c r="Q2" i="18"/>
  <c r="X15" i="18"/>
  <c r="X14" i="18"/>
  <c r="X13" i="18"/>
  <c r="X12" i="18"/>
  <c r="X11" i="18"/>
  <c r="X10" i="18"/>
  <c r="X9" i="18"/>
  <c r="X7" i="18"/>
  <c r="X6" i="18"/>
  <c r="X5" i="18"/>
  <c r="X4" i="18"/>
  <c r="X3" i="18"/>
  <c r="X2" i="18"/>
  <c r="Q26" i="18"/>
  <c r="Q25" i="18"/>
  <c r="Q24" i="18"/>
  <c r="Q23" i="18"/>
  <c r="Q22" i="18"/>
  <c r="Q21" i="18"/>
  <c r="Q20" i="18"/>
  <c r="Q19" i="18"/>
  <c r="Q18" i="18"/>
  <c r="Q17" i="18"/>
  <c r="Q16" i="18"/>
  <c r="Q15" i="18"/>
  <c r="Q14" i="18"/>
  <c r="Q13" i="18"/>
  <c r="Q12" i="18"/>
  <c r="Q11" i="18"/>
  <c r="Q10" i="18"/>
  <c r="Q9" i="18"/>
  <c r="Q8" i="18"/>
  <c r="Q7" i="18"/>
  <c r="Q6" i="18"/>
  <c r="Q5" i="18"/>
  <c r="Q4" i="18"/>
  <c r="Q3" i="18"/>
  <c r="L27" i="18" l="1"/>
  <c r="Q27" i="18"/>
  <c r="X23" i="17"/>
  <c r="X22" i="17"/>
  <c r="X21" i="17"/>
  <c r="X20" i="17"/>
  <c r="X19" i="17"/>
  <c r="X18" i="17"/>
  <c r="X17" i="17"/>
  <c r="X15" i="17"/>
  <c r="X14" i="17"/>
  <c r="X13" i="17"/>
  <c r="X12" i="17"/>
  <c r="X11" i="17"/>
  <c r="X10" i="17"/>
  <c r="X9" i="17"/>
  <c r="X7" i="17"/>
  <c r="X6" i="17"/>
  <c r="X5" i="17"/>
  <c r="X4" i="17"/>
  <c r="X3" i="17"/>
  <c r="X2" i="17"/>
  <c r="L17" i="17"/>
  <c r="L16" i="17"/>
  <c r="L15" i="17"/>
  <c r="L14" i="17"/>
  <c r="L13" i="17"/>
  <c r="L12" i="17"/>
  <c r="L11" i="17"/>
  <c r="L10" i="17"/>
  <c r="L9" i="17"/>
  <c r="L8" i="17"/>
  <c r="L7" i="17"/>
  <c r="L6" i="17"/>
  <c r="L5" i="17"/>
  <c r="L4" i="17"/>
  <c r="L3" i="17"/>
  <c r="L2" i="17"/>
  <c r="P18" i="17"/>
  <c r="O18" i="17"/>
  <c r="N18" i="17"/>
  <c r="M18" i="17"/>
  <c r="K18" i="17"/>
  <c r="J18" i="17"/>
  <c r="I18" i="17"/>
  <c r="H18" i="17"/>
  <c r="G18" i="17"/>
  <c r="F18" i="17"/>
  <c r="E18" i="17"/>
  <c r="D18" i="17"/>
  <c r="Q17" i="17"/>
  <c r="Q16" i="17"/>
  <c r="Q15" i="17"/>
  <c r="Q14" i="17"/>
  <c r="Q13" i="17"/>
  <c r="Q12" i="17"/>
  <c r="Q11" i="17"/>
  <c r="Q10" i="17"/>
  <c r="Q9" i="17"/>
  <c r="Q8" i="17"/>
  <c r="Q7" i="17"/>
  <c r="Q6" i="17"/>
  <c r="Q5" i="17"/>
  <c r="Q4" i="17"/>
  <c r="Q3" i="17"/>
  <c r="Q2" i="17"/>
  <c r="Q18" i="17" l="1"/>
  <c r="L18" i="17"/>
  <c r="Y14" i="16"/>
  <c r="Y7" i="16"/>
  <c r="Y6" i="16"/>
  <c r="Y15" i="16" l="1"/>
  <c r="Y13" i="16"/>
  <c r="Y12" i="16"/>
  <c r="Y11" i="16"/>
  <c r="Y10" i="16"/>
  <c r="Y9" i="16"/>
  <c r="Y5" i="16"/>
  <c r="Y4" i="16"/>
  <c r="Y3" i="16"/>
  <c r="Y2" i="16"/>
  <c r="L30" i="16"/>
  <c r="L29" i="16"/>
  <c r="L28" i="16"/>
  <c r="L27" i="16"/>
  <c r="L26" i="16"/>
  <c r="L25" i="16"/>
  <c r="L24" i="16"/>
  <c r="L23" i="16"/>
  <c r="L22" i="16"/>
  <c r="L21" i="16"/>
  <c r="L20" i="16"/>
  <c r="L19" i="16"/>
  <c r="L18" i="16"/>
  <c r="L17" i="16"/>
  <c r="L16" i="16"/>
  <c r="L15" i="16"/>
  <c r="L14" i="16"/>
  <c r="L13" i="16"/>
  <c r="L12" i="16"/>
  <c r="L11" i="16"/>
  <c r="L10" i="16"/>
  <c r="L9" i="16"/>
  <c r="L8" i="16"/>
  <c r="L7" i="16"/>
  <c r="L6" i="16"/>
  <c r="L5" i="16"/>
  <c r="L4" i="16"/>
  <c r="L3" i="16"/>
  <c r="L2" i="16"/>
  <c r="D31" i="16"/>
  <c r="P31" i="16"/>
  <c r="O31" i="16"/>
  <c r="N31" i="16"/>
  <c r="M31" i="16"/>
  <c r="K31" i="16"/>
  <c r="J31" i="16"/>
  <c r="I31" i="16"/>
  <c r="H31" i="16"/>
  <c r="G31" i="16"/>
  <c r="F31" i="16"/>
  <c r="E31" i="16"/>
  <c r="Q30" i="16"/>
  <c r="Q29" i="16"/>
  <c r="Q28" i="16"/>
  <c r="Q27" i="16"/>
  <c r="Q26" i="16"/>
  <c r="Q25" i="16"/>
  <c r="Q24" i="16"/>
  <c r="Q23" i="16"/>
  <c r="Q22" i="16"/>
  <c r="Q21" i="16"/>
  <c r="Q20" i="16"/>
  <c r="Q19" i="16"/>
  <c r="Q18" i="16"/>
  <c r="Q17" i="16"/>
  <c r="Q16" i="16"/>
  <c r="Q15" i="16"/>
  <c r="Q14" i="16"/>
  <c r="Q13" i="16"/>
  <c r="Q12" i="16"/>
  <c r="Q11" i="16"/>
  <c r="Q10" i="16"/>
  <c r="Q9" i="16"/>
  <c r="Q8" i="16"/>
  <c r="Q7" i="16"/>
  <c r="Q6" i="16"/>
  <c r="Q5" i="16"/>
  <c r="Q4" i="16"/>
  <c r="Q3" i="16"/>
  <c r="Q2" i="16"/>
  <c r="L31" i="16" l="1"/>
  <c r="Q31" i="16"/>
  <c r="Q22" i="15"/>
  <c r="O22" i="15"/>
  <c r="N22" i="15"/>
  <c r="M22" i="15"/>
  <c r="L22" i="15"/>
  <c r="K22" i="15"/>
  <c r="J22" i="15"/>
  <c r="I22" i="15"/>
  <c r="H22" i="15"/>
  <c r="G22" i="15"/>
  <c r="F22" i="15"/>
  <c r="E22" i="15"/>
  <c r="D22" i="15"/>
  <c r="P22" i="15"/>
  <c r="L21" i="15"/>
  <c r="L20" i="15"/>
  <c r="L19" i="15"/>
  <c r="L18" i="15"/>
  <c r="L17" i="15"/>
  <c r="L16" i="15"/>
  <c r="L15" i="15"/>
  <c r="L14" i="15"/>
  <c r="L13" i="15"/>
  <c r="L12" i="15"/>
  <c r="L11" i="15"/>
  <c r="L10" i="15"/>
  <c r="L9" i="15"/>
  <c r="L8" i="15"/>
  <c r="L7" i="15"/>
  <c r="L6" i="15"/>
  <c r="L5" i="15"/>
  <c r="L4" i="15"/>
  <c r="L3" i="15"/>
  <c r="L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Q5" i="15"/>
  <c r="Q4" i="15"/>
  <c r="Q3" i="15"/>
  <c r="Q2" i="15"/>
  <c r="L23" i="13" l="1"/>
  <c r="L22" i="13"/>
  <c r="L21" i="13"/>
  <c r="L20" i="13"/>
  <c r="L19" i="13"/>
  <c r="Q23" i="13"/>
  <c r="Q22" i="13"/>
  <c r="Q21" i="13"/>
  <c r="Q20" i="13"/>
  <c r="Q19" i="13"/>
  <c r="P24" i="13"/>
  <c r="O24" i="13"/>
  <c r="N24" i="13"/>
  <c r="M24" i="13"/>
  <c r="K24" i="13"/>
  <c r="J24" i="13"/>
  <c r="I24" i="13"/>
  <c r="H24" i="13"/>
  <c r="G24" i="13"/>
  <c r="F24" i="13"/>
  <c r="E24" i="13"/>
  <c r="D24" i="13"/>
  <c r="L24" i="13" l="1"/>
  <c r="Q24" i="13"/>
  <c r="P16" i="13"/>
  <c r="O16" i="13"/>
  <c r="N16" i="13"/>
  <c r="M16" i="13"/>
  <c r="K16" i="13"/>
  <c r="J16" i="13"/>
  <c r="I16" i="13"/>
  <c r="H16" i="13"/>
  <c r="G16" i="13"/>
  <c r="F16" i="13"/>
  <c r="E16" i="13"/>
  <c r="D16" i="13"/>
  <c r="Q15" i="13"/>
  <c r="Q14" i="13"/>
  <c r="Q13" i="13"/>
  <c r="Q12" i="13"/>
  <c r="Q11" i="13"/>
  <c r="Q10" i="13"/>
  <c r="Q9" i="13"/>
  <c r="Q8" i="13"/>
  <c r="Q7" i="13"/>
  <c r="Q6" i="13"/>
  <c r="Q5" i="13"/>
  <c r="Q4" i="13"/>
  <c r="Q3" i="13"/>
  <c r="Q2" i="13"/>
  <c r="L15" i="13"/>
  <c r="L14" i="13"/>
  <c r="L13" i="13"/>
  <c r="L12" i="13"/>
  <c r="L11" i="13"/>
  <c r="L10" i="13"/>
  <c r="L9" i="13"/>
  <c r="L8" i="13"/>
  <c r="L7" i="13"/>
  <c r="L6" i="13"/>
  <c r="L5" i="13"/>
  <c r="L3" i="13"/>
  <c r="L2" i="13"/>
  <c r="L4" i="13"/>
  <c r="L16" i="13" l="1"/>
  <c r="Q16" i="13"/>
  <c r="J46" i="12"/>
  <c r="H46" i="12"/>
  <c r="G46" i="12"/>
  <c r="F46" i="12"/>
  <c r="E46" i="12"/>
  <c r="L45" i="12"/>
  <c r="L44" i="12"/>
  <c r="L43" i="12"/>
  <c r="L42" i="12"/>
  <c r="L41" i="12"/>
  <c r="L40" i="12"/>
  <c r="L38" i="12"/>
  <c r="L37" i="12"/>
  <c r="L36" i="12"/>
  <c r="L35" i="12"/>
  <c r="L34" i="12"/>
  <c r="L33" i="12"/>
  <c r="L31" i="12"/>
  <c r="L30" i="12"/>
  <c r="L29" i="12"/>
  <c r="L28" i="12"/>
  <c r="L27" i="12"/>
  <c r="L25" i="12"/>
  <c r="L24" i="12"/>
  <c r="L23" i="12"/>
  <c r="L22" i="12"/>
  <c r="L20" i="12"/>
  <c r="L19" i="12"/>
  <c r="L18" i="12"/>
  <c r="L17" i="12"/>
  <c r="Q45" i="12"/>
  <c r="Q42" i="12"/>
  <c r="Q40" i="12"/>
  <c r="Q38" i="12"/>
  <c r="Q37" i="12"/>
  <c r="Q36" i="12"/>
  <c r="Q35" i="12"/>
  <c r="Q33" i="12"/>
  <c r="Q28" i="12"/>
  <c r="Q27" i="12"/>
  <c r="Q44" i="12"/>
  <c r="Q43" i="12"/>
  <c r="Q41" i="12"/>
  <c r="Q34" i="12"/>
  <c r="Q31" i="12"/>
  <c r="Q30" i="12"/>
  <c r="Q29" i="12"/>
  <c r="Q25" i="12"/>
  <c r="Q24" i="12"/>
  <c r="Q23" i="12"/>
  <c r="Q22" i="12"/>
  <c r="Q20" i="12"/>
  <c r="Q19" i="12"/>
  <c r="Q18" i="12"/>
  <c r="Q17" i="12"/>
  <c r="Q16" i="12"/>
  <c r="F6" i="12"/>
  <c r="E6" i="12"/>
  <c r="D6" i="12"/>
  <c r="C6" i="12"/>
  <c r="F10" i="12"/>
  <c r="E10" i="12"/>
  <c r="D10" i="12"/>
  <c r="C10" i="12"/>
  <c r="B10" i="12"/>
  <c r="B6" i="12"/>
  <c r="L16" i="12"/>
  <c r="D45" i="12"/>
  <c r="D44" i="12"/>
  <c r="D43" i="12"/>
  <c r="D42" i="12"/>
  <c r="D41" i="12"/>
  <c r="D40" i="12"/>
  <c r="D38" i="12"/>
  <c r="D37" i="12"/>
  <c r="D36" i="12"/>
  <c r="D35" i="12"/>
  <c r="D34" i="12"/>
  <c r="D33" i="12"/>
  <c r="D31" i="12"/>
  <c r="D30" i="12"/>
  <c r="D29" i="12"/>
  <c r="D28" i="12"/>
  <c r="D27" i="12"/>
  <c r="D25" i="12"/>
  <c r="D24" i="12"/>
  <c r="D23" i="12"/>
  <c r="D22" i="12"/>
  <c r="D20" i="12"/>
  <c r="D19" i="12"/>
  <c r="D18" i="12"/>
  <c r="D17" i="12"/>
  <c r="D16" i="12"/>
  <c r="Q46" i="12" l="1"/>
  <c r="L26" i="11"/>
  <c r="L25" i="11"/>
  <c r="L24" i="11"/>
  <c r="L23" i="11"/>
  <c r="L22" i="11"/>
  <c r="L21" i="11"/>
  <c r="L20" i="11"/>
  <c r="L19" i="11"/>
  <c r="L18" i="11"/>
  <c r="L17" i="11"/>
  <c r="L16" i="11"/>
  <c r="L15" i="11"/>
  <c r="L14" i="11"/>
  <c r="L13" i="11"/>
  <c r="L12" i="11"/>
  <c r="P27" i="11"/>
  <c r="O27" i="11"/>
  <c r="N27" i="11"/>
  <c r="M27" i="11"/>
  <c r="K27" i="11"/>
  <c r="J27" i="11"/>
  <c r="I27" i="11"/>
  <c r="H27" i="11"/>
  <c r="G27" i="11"/>
  <c r="F27" i="11"/>
  <c r="E27" i="11"/>
  <c r="D27" i="11"/>
  <c r="L11" i="11"/>
  <c r="Q26" i="11"/>
  <c r="Q25" i="11"/>
  <c r="Q24" i="11"/>
  <c r="Q23" i="11"/>
  <c r="Q22" i="11"/>
  <c r="Q21" i="11"/>
  <c r="Q20" i="11"/>
  <c r="Q19" i="11"/>
  <c r="Q18" i="11"/>
  <c r="Q17" i="11"/>
  <c r="Q16" i="11"/>
  <c r="Q15" i="11"/>
  <c r="Q14" i="11"/>
  <c r="Q13" i="11"/>
  <c r="Q12" i="11"/>
  <c r="Q11" i="11"/>
  <c r="L27" i="11" l="1"/>
  <c r="Q27" i="11"/>
  <c r="M37" i="9" l="1"/>
  <c r="H37" i="9"/>
  <c r="G37" i="9"/>
  <c r="F37" i="9"/>
  <c r="N37" i="9"/>
  <c r="O37" i="9"/>
  <c r="L35" i="9"/>
  <c r="L34" i="9"/>
  <c r="L33" i="9"/>
  <c r="E37" i="9"/>
  <c r="Q35" i="9"/>
  <c r="Q37" i="9" s="1"/>
  <c r="Q34" i="9"/>
  <c r="Q33" i="9"/>
  <c r="L32" i="9" l="1"/>
  <c r="L31" i="9"/>
  <c r="L30" i="9"/>
  <c r="L29" i="9"/>
  <c r="L28" i="9"/>
  <c r="L27" i="9"/>
  <c r="L26" i="9"/>
  <c r="L25" i="9"/>
  <c r="L24" i="9"/>
  <c r="L23" i="9"/>
  <c r="L22" i="9"/>
  <c r="L21" i="9"/>
  <c r="L20" i="9"/>
  <c r="L19" i="9"/>
  <c r="L18" i="9"/>
  <c r="L17" i="9"/>
  <c r="L16" i="9"/>
  <c r="L15" i="9"/>
  <c r="L14" i="9"/>
  <c r="L13" i="9"/>
  <c r="L12" i="9"/>
  <c r="Q32" i="9"/>
  <c r="Q31" i="9"/>
  <c r="Q30" i="9"/>
  <c r="Q29" i="9"/>
  <c r="Q28" i="9"/>
  <c r="Q27" i="9"/>
  <c r="Q26" i="9"/>
  <c r="Q25" i="9"/>
  <c r="Q24" i="9"/>
  <c r="Q23" i="9"/>
  <c r="Q22" i="9"/>
  <c r="Q21" i="9"/>
  <c r="Q20" i="9"/>
  <c r="Q19" i="9"/>
  <c r="Q18" i="9"/>
  <c r="Q17" i="9"/>
  <c r="Q16" i="9"/>
  <c r="Q15" i="9"/>
  <c r="Q14" i="9"/>
  <c r="Q13" i="9"/>
  <c r="Q12" i="9"/>
  <c r="P37" i="9"/>
  <c r="K37" i="9"/>
  <c r="J37" i="9"/>
  <c r="I37" i="9"/>
  <c r="D37" i="9"/>
  <c r="L37" i="9" l="1"/>
  <c r="L31" i="8" l="1"/>
  <c r="L30" i="8"/>
  <c r="L29" i="8"/>
  <c r="L28" i="8"/>
  <c r="L27" i="8"/>
  <c r="L26" i="8"/>
  <c r="L25" i="8"/>
  <c r="L24" i="8"/>
  <c r="L23" i="8"/>
  <c r="L22" i="8"/>
  <c r="L21" i="8"/>
  <c r="L20" i="8"/>
  <c r="L19" i="8"/>
  <c r="L18" i="8"/>
  <c r="L17" i="8"/>
  <c r="L16" i="8"/>
  <c r="L15" i="8"/>
  <c r="L14" i="8"/>
  <c r="L13" i="8"/>
  <c r="Q13" i="8"/>
  <c r="Q31" i="8"/>
  <c r="Q30" i="8"/>
  <c r="Q29" i="8"/>
  <c r="Q28" i="8"/>
  <c r="Q27" i="8"/>
  <c r="Q26" i="8"/>
  <c r="Q25" i="8"/>
  <c r="Q24" i="8"/>
  <c r="Q23" i="8"/>
  <c r="Q22" i="8"/>
  <c r="Q21" i="8"/>
  <c r="Q20" i="8"/>
  <c r="Q19" i="8"/>
  <c r="Q18" i="8"/>
  <c r="Q17" i="8"/>
  <c r="Q16" i="8"/>
  <c r="Q15" i="8"/>
  <c r="Q14" i="8"/>
  <c r="P32" i="8"/>
  <c r="O32" i="8"/>
  <c r="N32" i="8"/>
  <c r="M32" i="8"/>
  <c r="K32" i="8"/>
  <c r="J32" i="8"/>
  <c r="I32" i="8"/>
  <c r="H32" i="8"/>
  <c r="G32" i="8"/>
  <c r="F32" i="8"/>
  <c r="E32" i="8"/>
  <c r="D32" i="8"/>
  <c r="Q32" i="8" l="1"/>
  <c r="L32" i="8"/>
  <c r="H31" i="7"/>
  <c r="G31" i="7"/>
  <c r="F31" i="7"/>
  <c r="E31" i="7"/>
  <c r="D31" i="7"/>
  <c r="I30" i="7"/>
  <c r="I29" i="7"/>
  <c r="I31" i="7" s="1"/>
  <c r="I28" i="7"/>
  <c r="I27" i="7"/>
  <c r="I26" i="7"/>
  <c r="I25" i="7"/>
  <c r="I24" i="7"/>
  <c r="I23" i="7"/>
  <c r="I22" i="7"/>
  <c r="I21" i="7"/>
  <c r="I20" i="7"/>
  <c r="I19" i="7"/>
  <c r="I18" i="7"/>
  <c r="L14" i="7"/>
  <c r="L13" i="7"/>
  <c r="L12" i="7"/>
  <c r="L11" i="7"/>
  <c r="L10" i="7"/>
  <c r="L9" i="7"/>
  <c r="L8" i="7"/>
  <c r="L7" i="7"/>
  <c r="L6" i="7"/>
  <c r="L5" i="7"/>
  <c r="L4" i="7"/>
  <c r="L3" i="7"/>
  <c r="L2" i="7"/>
  <c r="J34" i="6" l="1"/>
  <c r="L33" i="6" l="1"/>
  <c r="L32" i="6"/>
  <c r="L31" i="6"/>
  <c r="L30" i="6"/>
  <c r="L29" i="6"/>
  <c r="L28" i="6"/>
  <c r="L27" i="6"/>
  <c r="L26" i="6"/>
  <c r="L25" i="6"/>
  <c r="L24" i="6"/>
  <c r="L23" i="6"/>
  <c r="L22" i="6"/>
  <c r="L21" i="6"/>
  <c r="L20" i="6"/>
  <c r="L19" i="6"/>
  <c r="L18" i="6"/>
  <c r="L17" i="6"/>
  <c r="L16" i="6"/>
  <c r="L15" i="6"/>
  <c r="L14" i="6"/>
  <c r="L13" i="6"/>
  <c r="Q33" i="6"/>
  <c r="Q32" i="6"/>
  <c r="Q31" i="6"/>
  <c r="Q30" i="6"/>
  <c r="Q29" i="6"/>
  <c r="Q28" i="6"/>
  <c r="Q27" i="6"/>
  <c r="Q26" i="6"/>
  <c r="Q25" i="6"/>
  <c r="Q24" i="6"/>
  <c r="Q23" i="6"/>
  <c r="Q22" i="6"/>
  <c r="Q21" i="6"/>
  <c r="Q20" i="6"/>
  <c r="Q19" i="6"/>
  <c r="Q18" i="6"/>
  <c r="Q17" i="6"/>
  <c r="Q16" i="6"/>
  <c r="Q15" i="6"/>
  <c r="Q14" i="6"/>
  <c r="Q13" i="6"/>
  <c r="P34" i="6"/>
  <c r="O34" i="6"/>
  <c r="N34" i="6"/>
  <c r="M34" i="6"/>
  <c r="K34" i="6"/>
  <c r="I34" i="6"/>
  <c r="H34" i="6"/>
  <c r="G34" i="6"/>
  <c r="F34" i="6"/>
  <c r="E34" i="6"/>
  <c r="L34" i="6" l="1"/>
  <c r="Q34" i="6"/>
  <c r="K29" i="5"/>
  <c r="K28" i="5"/>
  <c r="K27" i="5"/>
  <c r="K26" i="5"/>
  <c r="K25" i="5"/>
  <c r="K24" i="5"/>
  <c r="K23" i="5"/>
  <c r="K22" i="5"/>
  <c r="K21" i="5"/>
  <c r="K20" i="5"/>
  <c r="K19" i="5"/>
  <c r="K18" i="5"/>
  <c r="K17" i="5"/>
  <c r="K16" i="5"/>
  <c r="K15" i="5"/>
  <c r="K14" i="5"/>
  <c r="K13" i="5"/>
  <c r="J30" i="5"/>
  <c r="I30" i="5"/>
  <c r="H30" i="5"/>
  <c r="G30" i="5"/>
  <c r="F30" i="5"/>
  <c r="O30" i="5"/>
  <c r="N30" i="5"/>
  <c r="M30" i="5"/>
  <c r="L30" i="5"/>
  <c r="P30" i="5" s="1"/>
  <c r="E30" i="5"/>
  <c r="P29" i="5"/>
  <c r="P28" i="5"/>
  <c r="P27" i="5"/>
  <c r="P26" i="5"/>
  <c r="P25" i="5"/>
  <c r="P24" i="5"/>
  <c r="P23" i="5"/>
  <c r="P22" i="5"/>
  <c r="P21" i="5"/>
  <c r="P20" i="5"/>
  <c r="P19" i="5"/>
  <c r="P18" i="5"/>
  <c r="P17" i="5"/>
  <c r="P16" i="5"/>
  <c r="P15" i="5"/>
  <c r="P14" i="5"/>
  <c r="P13" i="5"/>
  <c r="K30" i="5" l="1"/>
  <c r="K22" i="4"/>
  <c r="K21" i="4"/>
  <c r="K20" i="4"/>
  <c r="K19" i="4"/>
  <c r="K18" i="4"/>
  <c r="K17" i="4"/>
  <c r="K16" i="4"/>
  <c r="K15" i="4"/>
  <c r="K14" i="4"/>
  <c r="K13" i="4"/>
  <c r="K12" i="4"/>
  <c r="K11" i="4"/>
  <c r="K10" i="4"/>
  <c r="K9" i="4"/>
  <c r="K8" i="4"/>
  <c r="K7" i="4"/>
  <c r="O23" i="4"/>
  <c r="N23" i="4"/>
  <c r="M23" i="4"/>
  <c r="L23" i="4"/>
  <c r="J23" i="4"/>
  <c r="I23" i="4"/>
  <c r="H23" i="4"/>
  <c r="G23" i="4"/>
  <c r="F23" i="4"/>
  <c r="E23" i="4"/>
  <c r="D23" i="4"/>
  <c r="P22" i="4"/>
  <c r="P21" i="4"/>
  <c r="P20" i="4"/>
  <c r="P19" i="4"/>
  <c r="P18" i="4"/>
  <c r="P17" i="4"/>
  <c r="P16" i="4"/>
  <c r="P15" i="4"/>
  <c r="P14" i="4"/>
  <c r="P13" i="4"/>
  <c r="P12" i="4"/>
  <c r="P11" i="4"/>
  <c r="P10" i="4"/>
  <c r="P9" i="4"/>
  <c r="P8" i="4"/>
  <c r="P7" i="4"/>
  <c r="K23" i="4" l="1"/>
  <c r="O22" i="3"/>
  <c r="N22" i="3"/>
  <c r="M22" i="3"/>
  <c r="L22" i="3"/>
  <c r="K22" i="3"/>
  <c r="J22" i="3"/>
  <c r="I22" i="3"/>
  <c r="H22" i="3"/>
  <c r="G22" i="3"/>
  <c r="E22" i="3"/>
  <c r="D22" i="3"/>
  <c r="F22" i="3"/>
  <c r="P21" i="3"/>
  <c r="P20" i="3"/>
  <c r="P19" i="3"/>
  <c r="P18" i="3"/>
  <c r="P17" i="3"/>
  <c r="P16" i="3"/>
  <c r="P15" i="3"/>
  <c r="P14" i="3"/>
  <c r="P13" i="3"/>
  <c r="P12" i="3"/>
  <c r="P11" i="3"/>
  <c r="P10" i="3"/>
  <c r="P9" i="3"/>
  <c r="P8" i="3"/>
  <c r="P7" i="3"/>
  <c r="L9" i="2" l="1"/>
  <c r="J9" i="2"/>
  <c r="I9" i="2"/>
  <c r="H9" i="2"/>
  <c r="K9" i="2"/>
  <c r="M9" i="2"/>
  <c r="N8" i="2"/>
  <c r="N7" i="2"/>
  <c r="N6" i="2"/>
  <c r="N5" i="2"/>
  <c r="N4" i="2"/>
  <c r="N3" i="2"/>
  <c r="N2" i="2"/>
  <c r="W17" i="1" l="1"/>
  <c r="W16" i="1"/>
  <c r="W15" i="1"/>
  <c r="W13" i="1"/>
  <c r="W12" i="1"/>
  <c r="W11" i="1"/>
  <c r="W10" i="1"/>
  <c r="W9" i="1"/>
  <c r="W8" i="1"/>
  <c r="C14" i="1" l="1"/>
  <c r="D14" i="1"/>
  <c r="E14" i="1"/>
  <c r="F14" i="1"/>
  <c r="W14" i="1" s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</calcChain>
</file>

<file path=xl/comments1.xml><?xml version="1.0" encoding="utf-8"?>
<comments xmlns="http://schemas.openxmlformats.org/spreadsheetml/2006/main">
  <authors>
    <author>carol.c (陳瀅涵)</author>
    <author>peiying.huang (黃焙瑩)</author>
  </authors>
  <commentList>
    <comment ref="EM5" authorId="0" shapeId="0">
      <text>
        <r>
          <rPr>
            <b/>
            <sz val="9"/>
            <color indexed="81"/>
            <rFont val="Tahoma"/>
            <family val="2"/>
          </rPr>
          <t>carol.c (</t>
        </r>
        <r>
          <rPr>
            <b/>
            <sz val="9"/>
            <color indexed="81"/>
            <rFont val="細明體"/>
            <family val="3"/>
            <charset val="136"/>
          </rPr>
          <t>陳瀅涵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中國製</t>
        </r>
      </text>
    </comment>
    <comment ref="AW114" authorId="1" shapeId="0">
      <text>
        <r>
          <rPr>
            <b/>
            <sz val="9"/>
            <color indexed="81"/>
            <rFont val="Tahoma"/>
            <family val="2"/>
          </rPr>
          <t>peiying.huang (</t>
        </r>
        <r>
          <rPr>
            <b/>
            <sz val="9"/>
            <color indexed="81"/>
            <rFont val="細明體"/>
            <family val="3"/>
            <charset val="136"/>
          </rPr>
          <t>黃焙瑩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1k from Robin reservation
110 DNS
2400 3L $400</t>
        </r>
      </text>
    </comment>
    <comment ref="BG114" authorId="1" shapeId="0">
      <text>
        <r>
          <rPr>
            <b/>
            <sz val="9"/>
            <color indexed="81"/>
            <rFont val="Tahoma"/>
            <family val="2"/>
          </rPr>
          <t>peiying.huang (</t>
        </r>
        <r>
          <rPr>
            <b/>
            <sz val="9"/>
            <color indexed="81"/>
            <rFont val="細明體"/>
            <family val="3"/>
            <charset val="136"/>
          </rPr>
          <t>黃焙瑩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1k from Robin reservation
2k 3Logic $420</t>
        </r>
      </text>
    </comment>
    <comment ref="FC114" authorId="1" shapeId="0">
      <text>
        <r>
          <rPr>
            <b/>
            <sz val="9"/>
            <color indexed="81"/>
            <rFont val="Tahoma"/>
            <family val="2"/>
          </rPr>
          <t>peiying.huang (</t>
        </r>
        <r>
          <rPr>
            <b/>
            <sz val="9"/>
            <color indexed="81"/>
            <rFont val="細明體"/>
            <family val="3"/>
            <charset val="136"/>
          </rPr>
          <t>黃焙瑩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330 3L $350</t>
        </r>
      </text>
    </comment>
    <comment ref="FD114" authorId="1" shapeId="0">
      <text>
        <r>
          <rPr>
            <b/>
            <sz val="9"/>
            <color indexed="81"/>
            <rFont val="Tahoma"/>
            <family val="2"/>
          </rPr>
          <t>peiying.huang (</t>
        </r>
        <r>
          <rPr>
            <b/>
            <sz val="9"/>
            <color indexed="81"/>
            <rFont val="細明體"/>
            <family val="3"/>
            <charset val="136"/>
          </rPr>
          <t>黃焙瑩</t>
        </r>
        <r>
          <rPr>
            <b/>
            <sz val="9"/>
            <color indexed="81"/>
            <rFont val="Tahoma"/>
            <family val="2"/>
          </rPr>
          <t xml:space="preserve">):
</t>
        </r>
        <r>
          <rPr>
            <sz val="9"/>
            <color indexed="81"/>
            <rFont val="Tahoma"/>
            <family val="2"/>
          </rPr>
          <t>650 3L $360</t>
        </r>
      </text>
    </comment>
    <comment ref="AW115" authorId="1" shapeId="0">
      <text>
        <r>
          <rPr>
            <b/>
            <sz val="9"/>
            <color indexed="81"/>
            <rFont val="Tahoma"/>
            <family val="2"/>
          </rPr>
          <t>peiying.huang (</t>
        </r>
        <r>
          <rPr>
            <b/>
            <sz val="9"/>
            <color indexed="81"/>
            <rFont val="細明體"/>
            <family val="3"/>
            <charset val="136"/>
          </rPr>
          <t>黃焙瑩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gaming club 40pcs</t>
        </r>
      </text>
    </comment>
    <comment ref="CH115" authorId="1" shapeId="0">
      <text>
        <r>
          <rPr>
            <b/>
            <sz val="9"/>
            <color indexed="81"/>
            <rFont val="Tahoma"/>
            <family val="2"/>
          </rPr>
          <t>peiying.huang (</t>
        </r>
        <r>
          <rPr>
            <b/>
            <sz val="9"/>
            <color indexed="81"/>
            <rFont val="細明體"/>
            <family val="3"/>
            <charset val="136"/>
          </rPr>
          <t>黃焙瑩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gaming club 36pcs</t>
        </r>
      </text>
    </comment>
    <comment ref="CP115" authorId="1" shapeId="0">
      <text>
        <r>
          <rPr>
            <b/>
            <sz val="9"/>
            <color indexed="81"/>
            <rFont val="Tahoma"/>
            <family val="2"/>
          </rPr>
          <t>peiying.huang (</t>
        </r>
        <r>
          <rPr>
            <b/>
            <sz val="9"/>
            <color indexed="81"/>
            <rFont val="細明體"/>
            <family val="3"/>
            <charset val="136"/>
          </rPr>
          <t>黃焙瑩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gaming club 8pcs</t>
        </r>
      </text>
    </comment>
  </commentList>
</comments>
</file>

<file path=xl/comments2.xml><?xml version="1.0" encoding="utf-8"?>
<comments xmlns="http://schemas.openxmlformats.org/spreadsheetml/2006/main">
  <authors>
    <author>peiying.huang (黃焙瑩)</author>
  </authors>
  <commentList>
    <comment ref="AT113" authorId="0" shapeId="0">
      <text>
        <r>
          <rPr>
            <b/>
            <sz val="9"/>
            <color indexed="81"/>
            <rFont val="Tahoma"/>
            <family val="2"/>
          </rPr>
          <t>peiying.huang (</t>
        </r>
        <r>
          <rPr>
            <b/>
            <sz val="9"/>
            <color indexed="81"/>
            <rFont val="細明體"/>
            <family val="3"/>
            <charset val="136"/>
          </rPr>
          <t>黃焙瑩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3L 1.2k</t>
        </r>
      </text>
    </comment>
    <comment ref="BD113" authorId="0" shapeId="0">
      <text>
        <r>
          <rPr>
            <b/>
            <sz val="9"/>
            <color indexed="81"/>
            <rFont val="Tahoma"/>
            <family val="2"/>
          </rPr>
          <t>peiying.huang (</t>
        </r>
        <r>
          <rPr>
            <b/>
            <sz val="9"/>
            <color indexed="81"/>
            <rFont val="細明體"/>
            <family val="3"/>
            <charset val="136"/>
          </rPr>
          <t>黃焙瑩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3L 0.4k</t>
        </r>
      </text>
    </comment>
    <comment ref="CF113" authorId="0" shapeId="0">
      <text>
        <r>
          <rPr>
            <b/>
            <sz val="9"/>
            <color indexed="81"/>
            <rFont val="Tahoma"/>
            <family val="2"/>
          </rPr>
          <t>peiying.huang (</t>
        </r>
        <r>
          <rPr>
            <b/>
            <sz val="9"/>
            <color indexed="81"/>
            <rFont val="細明體"/>
            <family val="3"/>
            <charset val="136"/>
          </rPr>
          <t>黃焙瑩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Mail.ru tender 20pcs through 3Logic</t>
        </r>
      </text>
    </comment>
    <comment ref="CN113" authorId="0" shapeId="0">
      <text>
        <r>
          <rPr>
            <b/>
            <sz val="9"/>
            <color indexed="81"/>
            <rFont val="Tahoma"/>
            <family val="2"/>
          </rPr>
          <t>peiying.huang (</t>
        </r>
        <r>
          <rPr>
            <b/>
            <sz val="9"/>
            <color indexed="81"/>
            <rFont val="細明體"/>
            <family val="3"/>
            <charset val="136"/>
          </rPr>
          <t>黃焙瑩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Mail.ru tender 15pcs through 3Logic</t>
        </r>
      </text>
    </comment>
    <comment ref="FC113" authorId="0" shapeId="0">
      <text>
        <r>
          <rPr>
            <b/>
            <sz val="9"/>
            <color indexed="81"/>
            <rFont val="Tahoma"/>
            <family val="2"/>
          </rPr>
          <t>peiying.huang (</t>
        </r>
        <r>
          <rPr>
            <b/>
            <sz val="9"/>
            <color indexed="81"/>
            <rFont val="細明體"/>
            <family val="3"/>
            <charset val="136"/>
          </rPr>
          <t>黃焙瑩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3Logic 330pcs</t>
        </r>
      </text>
    </comment>
    <comment ref="AT114" authorId="0" shapeId="0">
      <text>
        <r>
          <rPr>
            <b/>
            <sz val="9"/>
            <color indexed="81"/>
            <rFont val="Tahoma"/>
            <family val="2"/>
          </rPr>
          <t>peiying.huang (</t>
        </r>
        <r>
          <rPr>
            <b/>
            <sz val="9"/>
            <color indexed="81"/>
            <rFont val="細明體"/>
            <family val="3"/>
            <charset val="136"/>
          </rPr>
          <t>黃焙瑩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BDC 1k
Logycom 1k</t>
        </r>
      </text>
    </comment>
    <comment ref="BD114" authorId="0" shapeId="0">
      <text>
        <r>
          <rPr>
            <b/>
            <sz val="9"/>
            <color indexed="81"/>
            <rFont val="Tahoma"/>
            <family val="2"/>
          </rPr>
          <t>peiying.huang (</t>
        </r>
        <r>
          <rPr>
            <b/>
            <sz val="9"/>
            <color indexed="81"/>
            <rFont val="細明體"/>
            <family val="3"/>
            <charset val="136"/>
          </rPr>
          <t>黃焙瑩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BDC 1k</t>
        </r>
      </text>
    </comment>
    <comment ref="CN118" authorId="0" shapeId="0">
      <text>
        <r>
          <rPr>
            <b/>
            <sz val="9"/>
            <color indexed="81"/>
            <rFont val="Tahoma"/>
            <family val="2"/>
          </rPr>
          <t>peiying.huang (</t>
        </r>
        <r>
          <rPr>
            <b/>
            <sz val="9"/>
            <color indexed="81"/>
            <rFont val="細明體"/>
            <family val="3"/>
            <charset val="136"/>
          </rPr>
          <t>黃焙瑩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NP!!</t>
        </r>
      </text>
    </comment>
    <comment ref="DF118" authorId="0" shapeId="0">
      <text>
        <r>
          <rPr>
            <b/>
            <sz val="9"/>
            <color indexed="81"/>
            <rFont val="Tahoma"/>
            <family val="2"/>
          </rPr>
          <t>peiying.huang (</t>
        </r>
        <r>
          <rPr>
            <b/>
            <sz val="9"/>
            <color indexed="81"/>
            <rFont val="細明體"/>
            <family val="3"/>
            <charset val="136"/>
          </rPr>
          <t>黃焙瑩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NP!!</t>
        </r>
      </text>
    </comment>
  </commentList>
</comments>
</file>

<file path=xl/comments3.xml><?xml version="1.0" encoding="utf-8"?>
<comments xmlns="http://schemas.openxmlformats.org/spreadsheetml/2006/main">
  <authors>
    <author>carol.c (陳瀅涵)</author>
    <author>peiying.huang (黃焙瑩)</author>
  </authors>
  <commentList>
    <comment ref="EW5" authorId="0" shapeId="0">
      <text>
        <r>
          <rPr>
            <b/>
            <sz val="9"/>
            <color rgb="FF000000"/>
            <rFont val="Tahoma"/>
            <family val="2"/>
          </rPr>
          <t>carol.c (</t>
        </r>
        <r>
          <rPr>
            <b/>
            <sz val="9"/>
            <color rgb="FF000000"/>
            <rFont val="細明體"/>
            <family val="1"/>
            <charset val="136"/>
          </rPr>
          <t>陳瀅涵</t>
        </r>
        <r>
          <rPr>
            <b/>
            <sz val="9"/>
            <color rgb="FF000000"/>
            <rFont val="Tahoma"/>
            <family val="2"/>
          </rPr>
          <t>):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細明體"/>
            <family val="1"/>
            <charset val="136"/>
          </rPr>
          <t>產地</t>
        </r>
        <r>
          <rPr>
            <sz val="9"/>
            <color rgb="FF000000"/>
            <rFont val="細明體"/>
            <family val="1"/>
            <charset val="136"/>
          </rPr>
          <t>CN</t>
        </r>
      </text>
    </comment>
    <comment ref="AW105" authorId="1" shapeId="0">
      <text>
        <r>
          <rPr>
            <b/>
            <sz val="9"/>
            <color indexed="81"/>
            <rFont val="Tahoma"/>
            <family val="2"/>
          </rPr>
          <t>peiying.huang (</t>
        </r>
        <r>
          <rPr>
            <b/>
            <sz val="9"/>
            <color indexed="81"/>
            <rFont val="細明體"/>
            <family val="3"/>
            <charset val="136"/>
          </rPr>
          <t>黃焙瑩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3Logic 500pcs</t>
        </r>
      </text>
    </comment>
    <comment ref="BG105" authorId="1" shapeId="0">
      <text>
        <r>
          <rPr>
            <b/>
            <sz val="9"/>
            <color indexed="81"/>
            <rFont val="Tahoma"/>
            <family val="2"/>
          </rPr>
          <t>peiying.huang (</t>
        </r>
        <r>
          <rPr>
            <b/>
            <sz val="9"/>
            <color indexed="81"/>
            <rFont val="細明體"/>
            <family val="3"/>
            <charset val="136"/>
          </rPr>
          <t>黃焙瑩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3Logic 200pcs</t>
        </r>
      </text>
    </comment>
    <comment ref="BP105" authorId="1" shapeId="0">
      <text>
        <r>
          <rPr>
            <b/>
            <sz val="9"/>
            <color indexed="81"/>
            <rFont val="Tahoma"/>
            <family val="2"/>
          </rPr>
          <t>peiying.huang (</t>
        </r>
        <r>
          <rPr>
            <b/>
            <sz val="9"/>
            <color indexed="81"/>
            <rFont val="細明體"/>
            <family val="3"/>
            <charset val="136"/>
          </rPr>
          <t>黃焙瑩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To enable MSRP 
DNS 100
Merlion 80</t>
        </r>
      </text>
    </comment>
    <comment ref="BV105" authorId="1" shapeId="0">
      <text>
        <r>
          <rPr>
            <b/>
            <sz val="9"/>
            <color indexed="81"/>
            <rFont val="Tahoma"/>
            <family val="2"/>
          </rPr>
          <t>peiying.huang (</t>
        </r>
        <r>
          <rPr>
            <b/>
            <sz val="9"/>
            <color indexed="81"/>
            <rFont val="細明體"/>
            <family val="3"/>
            <charset val="136"/>
          </rPr>
          <t>黃焙瑩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MSRP sku 
DNS 20pcs
Citilink 12pcs</t>
        </r>
      </text>
    </comment>
    <comment ref="CD105" authorId="1" shapeId="0">
      <text>
        <r>
          <rPr>
            <b/>
            <sz val="9"/>
            <color indexed="81"/>
            <rFont val="Tahoma"/>
            <family val="2"/>
          </rPr>
          <t>peiying.huang (</t>
        </r>
        <r>
          <rPr>
            <b/>
            <sz val="9"/>
            <color indexed="81"/>
            <rFont val="細明體"/>
            <family val="3"/>
            <charset val="136"/>
          </rPr>
          <t>黃焙瑩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MSRP sku
DNS 100pcs
Merlion 70pcs</t>
        </r>
      </text>
    </comment>
    <comment ref="CL105" authorId="1" shapeId="0">
      <text>
        <r>
          <rPr>
            <b/>
            <sz val="9"/>
            <color indexed="81"/>
            <rFont val="Tahoma"/>
            <family val="2"/>
          </rPr>
          <t>peiying.huang (</t>
        </r>
        <r>
          <rPr>
            <b/>
            <sz val="9"/>
            <color indexed="81"/>
            <rFont val="細明體"/>
            <family val="3"/>
            <charset val="136"/>
          </rPr>
          <t>黃焙瑩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MSRP sku
Merlion 10pcs</t>
        </r>
      </text>
    </comment>
    <comment ref="AW106" authorId="1" shapeId="0">
      <text>
        <r>
          <rPr>
            <b/>
            <sz val="9"/>
            <color indexed="81"/>
            <rFont val="Tahoma"/>
            <family val="2"/>
          </rPr>
          <t>peiying.huang (</t>
        </r>
        <r>
          <rPr>
            <b/>
            <sz val="9"/>
            <color indexed="81"/>
            <rFont val="細明體"/>
            <family val="3"/>
            <charset val="136"/>
          </rPr>
          <t>黃焙瑩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Bernar club 45pcs through ELCO, reminding to CIS
don’t allocate to UA</t>
        </r>
      </text>
    </comment>
    <comment ref="BG106" authorId="1" shapeId="0">
      <text>
        <r>
          <rPr>
            <b/>
            <sz val="9"/>
            <color indexed="81"/>
            <rFont val="Tahoma"/>
            <family val="2"/>
          </rPr>
          <t>peiying.huang (</t>
        </r>
        <r>
          <rPr>
            <b/>
            <sz val="9"/>
            <color indexed="81"/>
            <rFont val="細明體"/>
            <family val="3"/>
            <charset val="136"/>
          </rPr>
          <t>黃焙瑩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CIS Alstyle 1000pcs
Don’t allocate to UA</t>
        </r>
      </text>
    </comment>
    <comment ref="BQ106" authorId="1" shapeId="0">
      <text>
        <r>
          <rPr>
            <b/>
            <sz val="9"/>
            <color indexed="81"/>
            <rFont val="Tahoma"/>
            <family val="2"/>
          </rPr>
          <t>peiying.huang (</t>
        </r>
        <r>
          <rPr>
            <b/>
            <sz val="9"/>
            <color indexed="81"/>
            <rFont val="細明體"/>
            <family val="3"/>
            <charset val="136"/>
          </rPr>
          <t>黃焙瑩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GT Arena gamign clubs 25pcs</t>
        </r>
      </text>
    </comment>
    <comment ref="CE106" authorId="1" shapeId="0">
      <text>
        <r>
          <rPr>
            <b/>
            <sz val="9"/>
            <color indexed="81"/>
            <rFont val="Tahoma"/>
            <family val="2"/>
          </rPr>
          <t>peiying.huang (</t>
        </r>
        <r>
          <rPr>
            <b/>
            <sz val="9"/>
            <color indexed="81"/>
            <rFont val="細明體"/>
            <family val="3"/>
            <charset val="136"/>
          </rPr>
          <t>黃焙瑩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Logycom 50pcs and LEGION gaming club 20pcs</t>
        </r>
      </text>
    </comment>
  </commentList>
</comments>
</file>

<file path=xl/comments4.xml><?xml version="1.0" encoding="utf-8"?>
<comments xmlns="http://schemas.openxmlformats.org/spreadsheetml/2006/main">
  <authors>
    <author>peiying.huang (黃焙瑩)</author>
  </authors>
  <commentList>
    <comment ref="CB103" authorId="0" shapeId="0">
      <text>
        <r>
          <rPr>
            <b/>
            <sz val="9"/>
            <color indexed="81"/>
            <rFont val="Tahoma"/>
            <family val="2"/>
          </rPr>
          <t>peiying.huang (</t>
        </r>
        <r>
          <rPr>
            <b/>
            <sz val="9"/>
            <color indexed="81"/>
            <rFont val="細明體"/>
            <family val="3"/>
            <charset val="136"/>
          </rPr>
          <t>黃焙瑩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3Logic Russian Railway 62pcs</t>
        </r>
      </text>
    </comment>
    <comment ref="N104" authorId="0" shapeId="0">
      <text>
        <r>
          <rPr>
            <b/>
            <sz val="9"/>
            <color indexed="81"/>
            <rFont val="Tahoma"/>
            <family val="2"/>
          </rPr>
          <t>peiying.huang (</t>
        </r>
        <r>
          <rPr>
            <b/>
            <sz val="9"/>
            <color indexed="81"/>
            <rFont val="細明體"/>
            <family val="3"/>
            <charset val="136"/>
          </rPr>
          <t>黃焙瑩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ELCO 20pcs</t>
        </r>
      </text>
    </comment>
    <comment ref="BM104" authorId="0" shapeId="0">
      <text>
        <r>
          <rPr>
            <b/>
            <sz val="9"/>
            <color indexed="81"/>
            <rFont val="Tahoma"/>
            <family val="2"/>
          </rPr>
          <t>peiying.huang (</t>
        </r>
        <r>
          <rPr>
            <b/>
            <sz val="9"/>
            <color indexed="81"/>
            <rFont val="細明體"/>
            <family val="3"/>
            <charset val="136"/>
          </rPr>
          <t>黃焙瑩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KZ Clarity club 5pcs
KZ Smartbox Turkestan club 20pcs
UA GT Arena gamign clubs 20pcs</t>
        </r>
      </text>
    </comment>
    <comment ref="CB104" authorId="0" shapeId="0">
      <text>
        <r>
          <rPr>
            <b/>
            <sz val="9"/>
            <color indexed="81"/>
            <rFont val="Tahoma"/>
            <family val="2"/>
          </rPr>
          <t>peiying.huang (</t>
        </r>
        <r>
          <rPr>
            <b/>
            <sz val="9"/>
            <color indexed="81"/>
            <rFont val="細明體"/>
            <family val="3"/>
            <charset val="136"/>
          </rPr>
          <t>黃焙瑩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KZ Smartbox Turkestan club 10pcs
UA Pari-Match 11pcs
UA LEGION gaming club 10pcs</t>
        </r>
      </text>
    </comment>
    <comment ref="DC104" authorId="0" shapeId="0">
      <text>
        <r>
          <rPr>
            <b/>
            <sz val="9"/>
            <color indexed="81"/>
            <rFont val="Tahoma"/>
            <family val="2"/>
          </rPr>
          <t>peiying.huang (</t>
        </r>
        <r>
          <rPr>
            <b/>
            <sz val="9"/>
            <color indexed="81"/>
            <rFont val="細明體"/>
            <family val="3"/>
            <charset val="136"/>
          </rPr>
          <t>黃焙瑩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KZ Last Game Club 6pcs</t>
        </r>
      </text>
    </comment>
    <comment ref="U107" authorId="0" shapeId="0">
      <text>
        <r>
          <rPr>
            <b/>
            <sz val="9"/>
            <color indexed="81"/>
            <rFont val="Tahoma"/>
            <family val="2"/>
          </rPr>
          <t>peiying.huang (</t>
        </r>
        <r>
          <rPr>
            <b/>
            <sz val="9"/>
            <color indexed="81"/>
            <rFont val="細明體"/>
            <family val="3"/>
            <charset val="136"/>
          </rPr>
          <t>黃焙瑩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Rectron 100pcs</t>
        </r>
      </text>
    </comment>
    <comment ref="BM107" authorId="0" shapeId="0">
      <text>
        <r>
          <rPr>
            <b/>
            <sz val="9"/>
            <color indexed="81"/>
            <rFont val="Tahoma"/>
            <family val="2"/>
          </rPr>
          <t>peiying.huang (</t>
        </r>
        <r>
          <rPr>
            <b/>
            <sz val="9"/>
            <color indexed="81"/>
            <rFont val="細明體"/>
            <family val="3"/>
            <charset val="136"/>
          </rPr>
          <t>黃焙瑩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Rectron 50pcs</t>
        </r>
      </text>
    </comment>
    <comment ref="CB107" authorId="0" shapeId="0">
      <text>
        <r>
          <rPr>
            <b/>
            <sz val="9"/>
            <color indexed="81"/>
            <rFont val="Tahoma"/>
            <family val="2"/>
          </rPr>
          <t>peiying.huang (</t>
        </r>
        <r>
          <rPr>
            <b/>
            <sz val="9"/>
            <color indexed="81"/>
            <rFont val="細明體"/>
            <family val="3"/>
            <charset val="136"/>
          </rPr>
          <t>黃焙瑩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Rectron 20pcs</t>
        </r>
      </text>
    </comment>
  </commentList>
</comments>
</file>

<file path=xl/comments5.xml><?xml version="1.0" encoding="utf-8"?>
<comments xmlns="http://schemas.openxmlformats.org/spreadsheetml/2006/main">
  <authors>
    <author>peiying.huang (黃焙瑩)</author>
  </authors>
  <commentList>
    <comment ref="CB92" authorId="0" shapeId="0">
      <text>
        <r>
          <rPr>
            <b/>
            <sz val="9"/>
            <color indexed="81"/>
            <rFont val="Tahoma"/>
            <family val="2"/>
          </rPr>
          <t>peiying.huang (</t>
        </r>
        <r>
          <rPr>
            <b/>
            <sz val="9"/>
            <color indexed="81"/>
            <rFont val="細明體"/>
            <family val="3"/>
            <charset val="136"/>
          </rPr>
          <t>黃焙瑩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Alstyle: Last Game Club 40pcs</t>
        </r>
      </text>
    </comment>
    <comment ref="T95" authorId="0" shapeId="0">
      <text>
        <r>
          <rPr>
            <b/>
            <sz val="9"/>
            <color indexed="81"/>
            <rFont val="Tahoma"/>
            <family val="2"/>
          </rPr>
          <t>peiying.huang (</t>
        </r>
        <r>
          <rPr>
            <b/>
            <sz val="9"/>
            <color indexed="81"/>
            <rFont val="細明體"/>
            <family val="3"/>
            <charset val="136"/>
          </rPr>
          <t>黃焙瑩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Rectron 100pcs</t>
        </r>
      </text>
    </comment>
    <comment ref="BN95" authorId="0" shapeId="0">
      <text>
        <r>
          <rPr>
            <b/>
            <sz val="9"/>
            <color indexed="81"/>
            <rFont val="Tahoma"/>
            <family val="2"/>
          </rPr>
          <t>peiying.huang (</t>
        </r>
        <r>
          <rPr>
            <b/>
            <sz val="9"/>
            <color indexed="81"/>
            <rFont val="細明體"/>
            <family val="3"/>
            <charset val="136"/>
          </rPr>
          <t>黃焙瑩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Rectron 50pcs</t>
        </r>
      </text>
    </comment>
    <comment ref="CB95" authorId="0" shapeId="0">
      <text>
        <r>
          <rPr>
            <b/>
            <sz val="9"/>
            <color indexed="81"/>
            <rFont val="Tahoma"/>
            <family val="2"/>
          </rPr>
          <t>peiying.huang (</t>
        </r>
        <r>
          <rPr>
            <b/>
            <sz val="9"/>
            <color indexed="81"/>
            <rFont val="細明體"/>
            <family val="3"/>
            <charset val="136"/>
          </rPr>
          <t>黃焙瑩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Rectron 30pcs</t>
        </r>
      </text>
    </comment>
  </commentList>
</comments>
</file>

<file path=xl/comments6.xml><?xml version="1.0" encoding="utf-8"?>
<comments xmlns="http://schemas.openxmlformats.org/spreadsheetml/2006/main">
  <authors>
    <author>peiying.huang (黃焙瑩)</author>
  </authors>
  <commentList>
    <comment ref="BY107" authorId="0" shapeId="0">
      <text>
        <r>
          <rPr>
            <b/>
            <sz val="9"/>
            <color indexed="81"/>
            <rFont val="Tahoma"/>
            <family val="2"/>
          </rPr>
          <t>peiying.huang (</t>
        </r>
        <r>
          <rPr>
            <b/>
            <sz val="9"/>
            <color indexed="81"/>
            <rFont val="細明體"/>
            <family val="3"/>
            <charset val="136"/>
          </rPr>
          <t>黃焙瑩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Logycom 50pcs</t>
        </r>
      </text>
    </comment>
  </commentList>
</comments>
</file>

<file path=xl/comments7.xml><?xml version="1.0" encoding="utf-8"?>
<comments xmlns="http://schemas.openxmlformats.org/spreadsheetml/2006/main">
  <authors>
    <author>doris.ting (丁姿月)</author>
    <author>Robin</author>
    <author>peiying.huang (黃焙瑩)</author>
  </authors>
  <commentList>
    <comment ref="DM4" authorId="0" shapeId="0">
      <text>
        <r>
          <rPr>
            <b/>
            <sz val="9"/>
            <color indexed="81"/>
            <rFont val="Tahoma"/>
            <family val="2"/>
          </rPr>
          <t>doris.ting (</t>
        </r>
        <r>
          <rPr>
            <b/>
            <sz val="9"/>
            <color indexed="81"/>
            <rFont val="細明體"/>
            <family val="3"/>
            <charset val="136"/>
          </rPr>
          <t>丁姿月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web bom</t>
        </r>
        <r>
          <rPr>
            <sz val="9"/>
            <color indexed="81"/>
            <rFont val="細明體"/>
            <family val="3"/>
            <charset val="136"/>
          </rPr>
          <t xml:space="preserve">未好
</t>
        </r>
      </text>
    </comment>
    <comment ref="BQ14" authorId="1" shapeId="0">
      <text>
        <r>
          <rPr>
            <b/>
            <sz val="10"/>
            <color rgb="FF000000"/>
            <rFont val="Microsoft JhengHei UI"/>
            <family val="2"/>
            <charset val="1"/>
          </rPr>
          <t>Robin:</t>
        </r>
        <r>
          <rPr>
            <sz val="10"/>
            <color rgb="FF000000"/>
            <rFont val="Microsoft JhengHei UI"/>
            <family val="2"/>
            <charset val="1"/>
          </rPr>
          <t xml:space="preserve">
</t>
        </r>
        <r>
          <rPr>
            <sz val="10"/>
            <color rgb="FF000000"/>
            <rFont val="Microsoft JhengHei UI"/>
            <family val="2"/>
            <charset val="1"/>
          </rPr>
          <t>Marketing</t>
        </r>
      </text>
    </comment>
    <comment ref="AP122" authorId="2" shapeId="0">
      <text>
        <r>
          <rPr>
            <b/>
            <sz val="9"/>
            <color indexed="81"/>
            <rFont val="Tahoma"/>
            <family val="2"/>
          </rPr>
          <t>peiying.huang (</t>
        </r>
        <r>
          <rPr>
            <b/>
            <sz val="9"/>
            <color indexed="81"/>
            <rFont val="細明體"/>
            <family val="3"/>
            <charset val="136"/>
          </rPr>
          <t>黃焙瑩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3Logic $</t>
        </r>
      </text>
    </comment>
    <comment ref="CP122" authorId="2" shapeId="0">
      <text>
        <r>
          <rPr>
            <b/>
            <sz val="9"/>
            <color indexed="81"/>
            <rFont val="Tahoma"/>
            <family val="2"/>
          </rPr>
          <t>peiying.huang (</t>
        </r>
        <r>
          <rPr>
            <b/>
            <sz val="9"/>
            <color indexed="81"/>
            <rFont val="細明體"/>
            <family val="3"/>
            <charset val="136"/>
          </rPr>
          <t>黃焙瑩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ELKO bundle monitor</t>
        </r>
      </text>
    </comment>
    <comment ref="CQ122" authorId="2" shapeId="0">
      <text>
        <r>
          <rPr>
            <b/>
            <sz val="9"/>
            <color indexed="81"/>
            <rFont val="Tahoma"/>
            <family val="2"/>
          </rPr>
          <t>peiying.huang (</t>
        </r>
        <r>
          <rPr>
            <b/>
            <sz val="9"/>
            <color indexed="81"/>
            <rFont val="細明體"/>
            <family val="3"/>
            <charset val="136"/>
          </rPr>
          <t>黃焙瑩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ELKO bundle monitor</t>
        </r>
      </text>
    </comment>
    <comment ref="CW122" authorId="2" shapeId="0">
      <text>
        <r>
          <rPr>
            <b/>
            <sz val="9"/>
            <color indexed="81"/>
            <rFont val="Tahoma"/>
            <family val="2"/>
          </rPr>
          <t>peiying.huang (</t>
        </r>
        <r>
          <rPr>
            <b/>
            <sz val="9"/>
            <color indexed="81"/>
            <rFont val="細明體"/>
            <family val="3"/>
            <charset val="136"/>
          </rPr>
          <t>黃焙瑩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ELKO bundle monitor</t>
        </r>
      </text>
    </comment>
    <comment ref="DD122" authorId="2" shapeId="0">
      <text>
        <r>
          <rPr>
            <b/>
            <sz val="9"/>
            <color indexed="81"/>
            <rFont val="Tahoma"/>
            <family val="2"/>
          </rPr>
          <t>peiying.huang (</t>
        </r>
        <r>
          <rPr>
            <b/>
            <sz val="9"/>
            <color indexed="81"/>
            <rFont val="細明體"/>
            <family val="3"/>
            <charset val="136"/>
          </rPr>
          <t>黃焙瑩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ELKO bundle monitor</t>
        </r>
      </text>
    </comment>
    <comment ref="DE122" authorId="2" shapeId="0">
      <text>
        <r>
          <rPr>
            <b/>
            <sz val="9"/>
            <color indexed="81"/>
            <rFont val="Tahoma"/>
            <family val="2"/>
          </rPr>
          <t>peiying.huang (</t>
        </r>
        <r>
          <rPr>
            <b/>
            <sz val="9"/>
            <color indexed="81"/>
            <rFont val="細明體"/>
            <family val="3"/>
            <charset val="136"/>
          </rPr>
          <t>黃焙瑩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ELKO bundle monitor</t>
        </r>
      </text>
    </comment>
    <comment ref="EQ122" authorId="2" shapeId="0">
      <text>
        <r>
          <rPr>
            <b/>
            <sz val="9"/>
            <color indexed="81"/>
            <rFont val="Tahoma"/>
            <family val="2"/>
          </rPr>
          <t>peiying.huang (</t>
        </r>
        <r>
          <rPr>
            <b/>
            <sz val="9"/>
            <color indexed="81"/>
            <rFont val="細明體"/>
            <family val="3"/>
            <charset val="136"/>
          </rPr>
          <t>黃焙瑩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3Logic Lime</t>
        </r>
      </text>
    </comment>
  </commentList>
</comments>
</file>

<file path=xl/sharedStrings.xml><?xml version="1.0" encoding="utf-8"?>
<sst xmlns="http://schemas.openxmlformats.org/spreadsheetml/2006/main" count="17001" uniqueCount="1376">
  <si>
    <t>WK43</t>
  </si>
  <si>
    <t>GBM</t>
  </si>
  <si>
    <t>GV-N3080EAGLE OC-10GD</t>
  </si>
  <si>
    <t>GV-N3080GAMING OC-10GD</t>
  </si>
  <si>
    <t>GV-N3090EAGLE OC-24GD</t>
  </si>
  <si>
    <t>GV-N3090GAMING OC-24GD</t>
  </si>
  <si>
    <t>GV-N3070EAGLE OC-8GD</t>
  </si>
  <si>
    <t>GV-N3070GAMING OC-8GD</t>
  </si>
  <si>
    <t>GV-N3080AORUS M-10GD</t>
  </si>
  <si>
    <t>GV-N3080VISION OC-10GD</t>
  </si>
  <si>
    <t>GV-N3090TURBO-24GD</t>
  </si>
  <si>
    <t>GV-N306TEAGLE-8GD</t>
  </si>
  <si>
    <t>GV-N306TEAGLE OC-8GD</t>
  </si>
  <si>
    <t>GV-N306TGAMING OC-8GD</t>
  </si>
  <si>
    <t>GV-N3070EAGLE-8GD</t>
  </si>
  <si>
    <t>GV-N3090AORUS M-24GD</t>
  </si>
  <si>
    <t>GV-N3080AORUS X-10GD</t>
  </si>
  <si>
    <t>GV-N3070AORUS M-8GD</t>
  </si>
  <si>
    <t>GV-N3070VISION OC-8GD</t>
  </si>
  <si>
    <t>GV-N3090VISION OC-24GD</t>
  </si>
  <si>
    <t>GV-N306TAORUS M-8GD</t>
  </si>
  <si>
    <t>9VN3080EO-00-10</t>
  </si>
  <si>
    <t>9VN3080GO-00-10</t>
  </si>
  <si>
    <t>9VN3090EO-00-10</t>
  </si>
  <si>
    <t>9VN3090GO-00-10</t>
  </si>
  <si>
    <t>9VN3070EO-00-10</t>
  </si>
  <si>
    <t>9VN3070GO-00-10</t>
  </si>
  <si>
    <t>9VN3080AM-00-10</t>
  </si>
  <si>
    <t>9VN3080VO-00-10</t>
  </si>
  <si>
    <t>9VN3090T-00-10</t>
  </si>
  <si>
    <t>9VN306TE-00-10</t>
  </si>
  <si>
    <t>9VN306TEO-00-10</t>
  </si>
  <si>
    <t>9VN306TGO-00-10</t>
  </si>
  <si>
    <t>9VN3070E-00-10</t>
  </si>
  <si>
    <t>9VN3090AM-00-10</t>
  </si>
  <si>
    <t>9VN3080AX-00-10</t>
  </si>
  <si>
    <t>9VN3070AM-00-10</t>
  </si>
  <si>
    <t>9VN3070AM-00-11</t>
  </si>
  <si>
    <t>9VN3070VO-00-10</t>
  </si>
  <si>
    <t>9VN3090VO-00-10</t>
  </si>
  <si>
    <t>9VN306TAM-00-10</t>
  </si>
  <si>
    <t>RM</t>
  </si>
  <si>
    <t>Russia</t>
  </si>
  <si>
    <t>Ukraine</t>
  </si>
  <si>
    <t>Baltic</t>
  </si>
  <si>
    <t>UAE</t>
  </si>
  <si>
    <t>KW</t>
  </si>
  <si>
    <t>EG</t>
  </si>
  <si>
    <t>KSA</t>
  </si>
  <si>
    <t>South Africa</t>
  </si>
  <si>
    <t>DNS</t>
    <phoneticPr fontId="1" type="noConversion"/>
  </si>
  <si>
    <t>ELKO</t>
    <phoneticPr fontId="1" type="noConversion"/>
  </si>
  <si>
    <t>HASKEL</t>
    <phoneticPr fontId="1" type="noConversion"/>
  </si>
  <si>
    <t>ISOLIN</t>
    <phoneticPr fontId="1" type="noConversion"/>
  </si>
  <si>
    <t>NEW IT</t>
    <phoneticPr fontId="1" type="noConversion"/>
  </si>
  <si>
    <t>SUM</t>
    <phoneticPr fontId="1" type="noConversion"/>
  </si>
  <si>
    <t>ELKO AlliExpress</t>
    <phoneticPr fontId="1" type="noConversion"/>
  </si>
  <si>
    <t>Citilink AlliExpress</t>
    <phoneticPr fontId="1" type="noConversion"/>
  </si>
  <si>
    <t>3L AlliExpress</t>
    <phoneticPr fontId="1" type="noConversion"/>
  </si>
  <si>
    <t>Model Name</t>
  </si>
  <si>
    <t>VER</t>
  </si>
  <si>
    <t>tiptopname</t>
  </si>
  <si>
    <t>Pcs per Carton</t>
  </si>
  <si>
    <t>TTL</t>
  </si>
  <si>
    <t>SUM</t>
  </si>
  <si>
    <t>RM TOTAL</t>
  </si>
  <si>
    <t>1.6% 1.4%
Brain</t>
    <phoneticPr fontId="1" type="noConversion"/>
  </si>
  <si>
    <t>3% 2%
Gorden</t>
    <phoneticPr fontId="1" type="noConversion"/>
  </si>
  <si>
    <t>3Logic</t>
    <phoneticPr fontId="1" type="noConversion"/>
  </si>
  <si>
    <t>Rectron</t>
    <phoneticPr fontId="1" type="noConversion"/>
  </si>
  <si>
    <t>GV-N306TGAMINGOC PRO-8GD</t>
  </si>
  <si>
    <t>GV-N3080AORUSX WB-10GD</t>
  </si>
  <si>
    <t>GV-N3080EAGLE-10GD</t>
  </si>
  <si>
    <t>9VN306TGOP-00-10</t>
  </si>
  <si>
    <t>9VN3080AWB-00-10</t>
  </si>
  <si>
    <t>9VN3080E-00-10</t>
  </si>
  <si>
    <t>306T %</t>
  </si>
  <si>
    <t>Pcs per Carton</t>
    <phoneticPr fontId="1" type="noConversion"/>
  </si>
  <si>
    <t>Model Name</t>
    <phoneticPr fontId="1" type="noConversion"/>
  </si>
  <si>
    <t>tiptopname</t>
    <phoneticPr fontId="1" type="noConversion"/>
  </si>
  <si>
    <t>TTL</t>
    <phoneticPr fontId="1" type="noConversion"/>
  </si>
  <si>
    <t>Merlion</t>
    <phoneticPr fontId="1" type="noConversion"/>
  </si>
  <si>
    <t>OCS</t>
    <phoneticPr fontId="1" type="noConversion"/>
  </si>
  <si>
    <t>UA+CIS</t>
    <phoneticPr fontId="1" type="noConversion"/>
  </si>
  <si>
    <t>Arthur</t>
    <phoneticPr fontId="1" type="noConversion"/>
  </si>
  <si>
    <t>Francis</t>
    <phoneticPr fontId="1" type="noConversion"/>
  </si>
  <si>
    <t>RU SUM</t>
    <phoneticPr fontId="1" type="noConversion"/>
  </si>
  <si>
    <t>GV-N3080AORUSX W-10GD</t>
  </si>
  <si>
    <t>9VN3080AW-00-10</t>
  </si>
  <si>
    <t>GBT</t>
  </si>
  <si>
    <t>GV-N3090EAGLE-24GD</t>
    <phoneticPr fontId="1" type="noConversion"/>
  </si>
  <si>
    <t>9VN3090E-00-10</t>
    <phoneticPr fontId="1" type="noConversion"/>
  </si>
  <si>
    <t>9VN306TGOP-00-10</t>
    <phoneticPr fontId="1" type="noConversion"/>
  </si>
  <si>
    <t>9VN3080GO-00-10</t>
    <phoneticPr fontId="1" type="noConversion"/>
  </si>
  <si>
    <t>GV-N3080GAMING OC-10GD</t>
    <phoneticPr fontId="1" type="noConversion"/>
  </si>
  <si>
    <t>QTY</t>
  </si>
  <si>
    <t>South Africa</t>
    <phoneticPr fontId="1" type="noConversion"/>
  </si>
  <si>
    <t>306T%</t>
    <phoneticPr fontId="1" type="noConversion"/>
  </si>
  <si>
    <t>EE</t>
    <phoneticPr fontId="1" type="noConversion"/>
  </si>
  <si>
    <t>Nordic</t>
    <phoneticPr fontId="1" type="noConversion"/>
  </si>
  <si>
    <t>GV-N3090GAMING OC-24GD</t>
    <phoneticPr fontId="1" type="noConversion"/>
  </si>
  <si>
    <t>GV-N3090AORUS X-24GD</t>
  </si>
  <si>
    <t>9VN3090AX-00-10</t>
  </si>
  <si>
    <t>9VN3070AM-00-11</t>
    <phoneticPr fontId="1" type="noConversion"/>
  </si>
  <si>
    <t>GV-N3080VISION OC-10GD</t>
    <phoneticPr fontId="1" type="noConversion"/>
  </si>
  <si>
    <t>9VN3080VO-00-10</t>
    <phoneticPr fontId="1" type="noConversion"/>
  </si>
  <si>
    <t>GV-N3090EAGLE OC-24GD</t>
    <phoneticPr fontId="1" type="noConversion"/>
  </si>
  <si>
    <t>9VN3090EO-00-10</t>
    <phoneticPr fontId="1" type="noConversion"/>
  </si>
  <si>
    <t>9VN3090GO-00-10</t>
    <phoneticPr fontId="1" type="noConversion"/>
  </si>
  <si>
    <t>NL HUB</t>
    <phoneticPr fontId="1" type="noConversion"/>
  </si>
  <si>
    <t>Tiptop</t>
    <phoneticPr fontId="1" type="noConversion"/>
  </si>
  <si>
    <t>PCS/CTN</t>
    <phoneticPr fontId="1" type="noConversion"/>
  </si>
  <si>
    <t>BNL</t>
    <phoneticPr fontId="1" type="noConversion"/>
  </si>
  <si>
    <t>11/4 36-23=13</t>
    <phoneticPr fontId="1" type="noConversion"/>
  </si>
  <si>
    <t>11/6 47-24=23</t>
    <phoneticPr fontId="1" type="noConversion"/>
  </si>
  <si>
    <t>GV-N3080IXEB-10GD</t>
  </si>
  <si>
    <t>9VN3090AM-00-20</t>
  </si>
  <si>
    <t>9VN306TEO-00-10</t>
    <phoneticPr fontId="1" type="noConversion"/>
  </si>
  <si>
    <t>9VN3070EO-00-10</t>
    <phoneticPr fontId="1" type="noConversion"/>
  </si>
  <si>
    <t>9VN3080AW-00-10</t>
    <phoneticPr fontId="1" type="noConversion"/>
  </si>
  <si>
    <t>9AN3080IE-00-10</t>
    <phoneticPr fontId="1" type="noConversion"/>
  </si>
  <si>
    <t>OCS</t>
    <phoneticPr fontId="1" type="noConversion"/>
  </si>
  <si>
    <t>NE TOTAL</t>
  </si>
  <si>
    <t>CE TOTAL</t>
  </si>
  <si>
    <t>SE TOTAL</t>
  </si>
  <si>
    <t>EE TOTAL</t>
  </si>
  <si>
    <t>N3080AWB</t>
  </si>
  <si>
    <t>N3080AX</t>
  </si>
  <si>
    <t>N3080GO</t>
  </si>
  <si>
    <t>N3080VO</t>
  </si>
  <si>
    <t>N3070GO</t>
  </si>
  <si>
    <t>N3070VO</t>
  </si>
  <si>
    <t>N3070EO</t>
  </si>
  <si>
    <t>306T</t>
  </si>
  <si>
    <t>N306TAM</t>
  </si>
  <si>
    <t>N306TGOP</t>
  </si>
  <si>
    <t>N306TGO</t>
  </si>
  <si>
    <t>N306TEO</t>
  </si>
  <si>
    <t>N306TE</t>
  </si>
  <si>
    <r>
      <rPr>
        <b/>
        <sz val="10"/>
        <color rgb="FFFF0000"/>
        <rFont val="細明體"/>
        <family val="3"/>
        <charset val="136"/>
      </rPr>
      <t>挪到</t>
    </r>
    <r>
      <rPr>
        <b/>
        <sz val="10"/>
        <color rgb="FFFF0000"/>
        <rFont val="Calibri"/>
        <family val="2"/>
      </rPr>
      <t>RU</t>
    </r>
  </si>
  <si>
    <r>
      <t>105</t>
    </r>
    <r>
      <rPr>
        <sz val="10"/>
        <color rgb="FF1F497D"/>
        <rFont val="Calibri"/>
        <family val="2"/>
      </rPr>
      <t>-30(75)</t>
    </r>
  </si>
  <si>
    <r>
      <t>135</t>
    </r>
    <r>
      <rPr>
        <sz val="10"/>
        <color rgb="FF1F497D"/>
        <rFont val="Calibri"/>
        <family val="2"/>
      </rPr>
      <t>-20(115)</t>
    </r>
  </si>
  <si>
    <r>
      <t>170</t>
    </r>
    <r>
      <rPr>
        <sz val="10"/>
        <color rgb="FF1F497D"/>
        <rFont val="Calibri"/>
        <family val="2"/>
      </rPr>
      <t>-10(160)</t>
    </r>
  </si>
  <si>
    <r>
      <t>N3070AM-00-</t>
    </r>
    <r>
      <rPr>
        <b/>
        <sz val="10"/>
        <color rgb="FFFF0000"/>
        <rFont val="Calibri"/>
        <family val="2"/>
      </rPr>
      <t>11</t>
    </r>
  </si>
  <si>
    <r>
      <t>590</t>
    </r>
    <r>
      <rPr>
        <sz val="10"/>
        <color rgb="FF1F497D"/>
        <rFont val="Calibri"/>
        <family val="2"/>
      </rPr>
      <t>-100(490)</t>
    </r>
  </si>
  <si>
    <r>
      <t>545</t>
    </r>
    <r>
      <rPr>
        <sz val="10"/>
        <color rgb="FF1F497D"/>
        <rFont val="Calibri"/>
        <family val="2"/>
      </rPr>
      <t>-45(500)</t>
    </r>
  </si>
  <si>
    <r>
      <t>290</t>
    </r>
    <r>
      <rPr>
        <sz val="10"/>
        <color rgb="FF1F497D"/>
        <rFont val="Calibri"/>
        <family val="2"/>
      </rPr>
      <t>-20(270)</t>
    </r>
  </si>
  <si>
    <r>
      <t>270</t>
    </r>
    <r>
      <rPr>
        <sz val="10"/>
        <color rgb="FF1F497D"/>
        <rFont val="Calibri"/>
        <family val="2"/>
      </rPr>
      <t>-10(260)</t>
    </r>
  </si>
  <si>
    <r>
      <t>285</t>
    </r>
    <r>
      <rPr>
        <sz val="10"/>
        <color rgb="FF1F497D"/>
        <rFont val="Calibri"/>
        <family val="2"/>
      </rPr>
      <t>-20(265)</t>
    </r>
  </si>
  <si>
    <r>
      <t>265</t>
    </r>
    <r>
      <rPr>
        <sz val="10"/>
        <color rgb="FF1F497D"/>
        <rFont val="Calibri"/>
        <family val="2"/>
      </rPr>
      <t>-15(250)</t>
    </r>
  </si>
  <si>
    <r>
      <t>420</t>
    </r>
    <r>
      <rPr>
        <sz val="10"/>
        <color rgb="FF1F497D"/>
        <rFont val="Calibri"/>
        <family val="2"/>
      </rPr>
      <t>-20(400)</t>
    </r>
  </si>
  <si>
    <r>
      <t>45</t>
    </r>
    <r>
      <rPr>
        <sz val="10"/>
        <color rgb="FF1F497D"/>
        <rFont val="Calibri"/>
        <family val="2"/>
      </rPr>
      <t>-15(30)</t>
    </r>
  </si>
  <si>
    <r>
      <t>70</t>
    </r>
    <r>
      <rPr>
        <sz val="10"/>
        <color rgb="FF1F497D"/>
        <rFont val="Calibri"/>
        <family val="2"/>
      </rPr>
      <t>-20(50)</t>
    </r>
  </si>
  <si>
    <t>260-30(230)</t>
    <phoneticPr fontId="1" type="noConversion"/>
  </si>
  <si>
    <t>330-30(300)</t>
    <phoneticPr fontId="1" type="noConversion"/>
  </si>
  <si>
    <t>1060-200(860)</t>
    <phoneticPr fontId="1" type="noConversion"/>
  </si>
  <si>
    <t>525-75(450)</t>
    <phoneticPr fontId="1" type="noConversion"/>
  </si>
  <si>
    <t>520-120(400)</t>
    <phoneticPr fontId="1" type="noConversion"/>
  </si>
  <si>
    <t>530-30(500)</t>
    <phoneticPr fontId="1" type="noConversion"/>
  </si>
  <si>
    <t>420-20(400)</t>
    <phoneticPr fontId="1" type="noConversion"/>
  </si>
  <si>
    <t>90-30(60)</t>
    <phoneticPr fontId="1" type="noConversion"/>
  </si>
  <si>
    <t>RM SUM</t>
  </si>
  <si>
    <t>RM SUM</t>
    <phoneticPr fontId="1" type="noConversion"/>
  </si>
  <si>
    <t>GV-N306TAORUS M-8GD</t>
    <phoneticPr fontId="1" type="noConversion"/>
  </si>
  <si>
    <t>GV-N306TGAMINGOC PRO-8GD</t>
    <phoneticPr fontId="1" type="noConversion"/>
  </si>
  <si>
    <t>GV-N306TEAGLE-8GD</t>
    <phoneticPr fontId="1" type="noConversion"/>
  </si>
  <si>
    <t>11/17 GV-N3090GAMING OC-24GD 6pcs</t>
    <phoneticPr fontId="1" type="noConversion"/>
  </si>
  <si>
    <t>GV-N3090AORUSX W-24GD</t>
  </si>
  <si>
    <t>9VN3090AW-00-10</t>
  </si>
  <si>
    <t>9VN3090AWB-00-10</t>
  </si>
  <si>
    <t>9AN3090IE-00-10</t>
  </si>
  <si>
    <t>GV-N3070EAGLE-8GD</t>
    <phoneticPr fontId="1" type="noConversion"/>
  </si>
  <si>
    <t>GV-N3080AORUS M-10GD</t>
    <phoneticPr fontId="1" type="noConversion"/>
  </si>
  <si>
    <t>GV-N3090AORUSX WB-24GD</t>
    <phoneticPr fontId="1" type="noConversion"/>
  </si>
  <si>
    <t>GV-N3090VISION OC-24GD</t>
    <phoneticPr fontId="1" type="noConversion"/>
  </si>
  <si>
    <t>GV-N3090IXEB-24GD</t>
    <phoneticPr fontId="1" type="noConversion"/>
  </si>
  <si>
    <t>GV-N3070GAMING OC-8GD</t>
    <phoneticPr fontId="1" type="noConversion"/>
  </si>
  <si>
    <t>RXT3060ti to exchange R6800</t>
    <phoneticPr fontId="1" type="noConversion"/>
  </si>
  <si>
    <t>GV-N3080AORUSX WB-10GD</t>
    <phoneticPr fontId="1" type="noConversion"/>
  </si>
  <si>
    <t>11/6 47-24=23
11/20 23-7=16</t>
    <phoneticPr fontId="1" type="noConversion"/>
  </si>
  <si>
    <t>GV-N3080EAGLE-10GD</t>
    <phoneticPr fontId="1" type="noConversion"/>
  </si>
  <si>
    <t>11/20 160pcs</t>
    <phoneticPr fontId="1" type="noConversion"/>
  </si>
  <si>
    <t>GV-N3080VISION OC-10GD</t>
    <phoneticPr fontId="1" type="noConversion"/>
  </si>
  <si>
    <t>11/19 91-5=86
11/20 GV-N3070VISION OC-8GD 10pcs=76
11/20 76-5=71
11/23 71-20=51
11/26 GV-N3070VISION OC-8GD 10pcs=41</t>
    <phoneticPr fontId="1" type="noConversion"/>
  </si>
  <si>
    <t>GV-N3070EAGLE-8GD</t>
    <phoneticPr fontId="1" type="noConversion"/>
  </si>
  <si>
    <t>11/4 36-23=13
11/26 GV-N3070EAGLE OC-8GD 13-13=0</t>
    <phoneticPr fontId="1" type="noConversion"/>
  </si>
  <si>
    <t>11/24 GV-N3080GAMING OC-10GD 7pcs=30
11/26 GV-N3080VISION OC-10GD 10pcs=20</t>
    <phoneticPr fontId="1" type="noConversion"/>
  </si>
  <si>
    <t>11/20 GV-N3080GAMING OC-10GD 10pcs=50
11/26 50-10-20=20</t>
    <phoneticPr fontId="1" type="noConversion"/>
  </si>
  <si>
    <t>9AN3080IE-00-10</t>
  </si>
  <si>
    <t>9VN3090E-00-10</t>
  </si>
  <si>
    <t>GV-N306TEAGLE OC-8GD</t>
    <phoneticPr fontId="1" type="noConversion"/>
  </si>
  <si>
    <t>GV-N3070EAGLE OC-8GD</t>
    <phoneticPr fontId="1" type="noConversion"/>
  </si>
  <si>
    <t>GV-N3090AORUS M-24GD</t>
    <phoneticPr fontId="1" type="noConversion"/>
  </si>
  <si>
    <t>GV-N3090TURBO-24GD</t>
    <phoneticPr fontId="1" type="noConversion"/>
  </si>
  <si>
    <t>9VN3090T-00-10</t>
    <phoneticPr fontId="1" type="noConversion"/>
  </si>
  <si>
    <t>GV-N3090AORUS X-24GD</t>
    <phoneticPr fontId="1" type="noConversion"/>
  </si>
  <si>
    <t>GV-N3070VISION OC-8GD</t>
    <phoneticPr fontId="1" type="noConversion"/>
  </si>
  <si>
    <t>9VR68GO-00-10</t>
  </si>
  <si>
    <t>9VR69XTB-00-10</t>
  </si>
  <si>
    <t>GV-R68GAMING OC-16GD</t>
    <phoneticPr fontId="1" type="noConversion"/>
  </si>
  <si>
    <t>GV-R68XTGAMING OC-16GD</t>
    <phoneticPr fontId="1" type="noConversion"/>
  </si>
  <si>
    <t>9VR68XTGO-00-10</t>
    <phoneticPr fontId="1" type="noConversion"/>
  </si>
  <si>
    <t>GV-R69XT-16GC-B</t>
    <phoneticPr fontId="1" type="noConversion"/>
  </si>
  <si>
    <t>ELKO</t>
  </si>
  <si>
    <t>11/19 91-5=86
11/20 GV-N3070VISION OC-8GD 10pcs=76
11/20 76-5=71
11/23 71-20=51
11/26 GV-N3070VISION OC-8GD 10pcs=41
11/27 GV-N3070EAGLE OC-8GD 1pcs =40
11/27 40-10=30
11/27 GV-N3070VISION OC-8GD 5pcs = 25</t>
    <phoneticPr fontId="1" type="noConversion"/>
  </si>
  <si>
    <t>30 series</t>
    <phoneticPr fontId="1" type="noConversion"/>
  </si>
  <si>
    <t xml:space="preserve"> </t>
  </si>
  <si>
    <t>GV-N3090EAGLE-24GD</t>
  </si>
  <si>
    <t>GV-R68GAMING OC-16GD</t>
  </si>
  <si>
    <t>GV-R68XTAORUS M-16GC</t>
  </si>
  <si>
    <t>9VR68AM-00-10</t>
  </si>
  <si>
    <t>9VR68XTAM-00-10</t>
  </si>
  <si>
    <t>9VR68XTAMC-00-10</t>
  </si>
  <si>
    <t>9VR68XTGO-00-10</t>
  </si>
  <si>
    <t>9VR69XTGO-00-10</t>
  </si>
  <si>
    <t>AMD</t>
  </si>
  <si>
    <t>GPU</t>
  </si>
  <si>
    <t>Big Navi</t>
    <phoneticPr fontId="1" type="noConversion"/>
  </si>
  <si>
    <t>GV-N3070AORUS M-8GD</t>
    <phoneticPr fontId="1" type="noConversion"/>
  </si>
  <si>
    <t>GV-N3080AORUSX W-10GD</t>
    <phoneticPr fontId="1" type="noConversion"/>
  </si>
  <si>
    <t>GV-R68AORUS M-16GD</t>
    <phoneticPr fontId="1" type="noConversion"/>
  </si>
  <si>
    <t>GV-R68XTAORUS M-16GD</t>
    <phoneticPr fontId="1" type="noConversion"/>
  </si>
  <si>
    <t>GV-R69XTGAMING OC-16GD</t>
    <phoneticPr fontId="1" type="noConversion"/>
  </si>
  <si>
    <t>12/15 GV-N306TGAMING OC-8GD 26pcs</t>
    <phoneticPr fontId="1" type="noConversion"/>
  </si>
  <si>
    <t>11/19 91-5=86
11/20 GV-N3070VISION OC-8GD 10pcs=76
11/20 76-5=71
11/23 71-20=51
11/26 GV-N3070VISION OC-8GD 10pcs=41
11/27 GV-N3070EAGLE OC-8GD 1pcs =40
11/27 40-10=30
11/27 GV-N3070VISION OC-8GD 5pcs = 25
12/15 41-41=0</t>
    <phoneticPr fontId="1" type="noConversion"/>
  </si>
  <si>
    <t>11/24 GV-N3080GAMING OC-10GD 7pcs=30
11/26 GV-N3080VISION OC-10GD 10pcs=20
12/15 GV-N3070EAGLE OC-8GD 20pcs=0</t>
    <phoneticPr fontId="1" type="noConversion"/>
  </si>
  <si>
    <t>11/20 GV-N3080GAMING OC-10GD 10pcs=50
11/26 50-10-20=20
12/15 GV-N3070VISION OC-8GD 20pcs =0</t>
    <phoneticPr fontId="1" type="noConversion"/>
  </si>
  <si>
    <t>GV-N3090IXEB-24GD</t>
  </si>
  <si>
    <t>GV-R68XTAORUS M-16GD</t>
  </si>
  <si>
    <t>GV-R68XTGAMING OC-16GD</t>
  </si>
  <si>
    <t>GV-R69XTGAMING OC-16GD</t>
  </si>
  <si>
    <t>GV-N306TVISION OC-8GD</t>
  </si>
  <si>
    <t>9VN306TVO-00-10</t>
  </si>
  <si>
    <t>9VN3080AM-00-20</t>
  </si>
  <si>
    <t>Total</t>
  </si>
  <si>
    <t>Comino</t>
    <phoneticPr fontId="1" type="noConversion"/>
  </si>
  <si>
    <t>IRU
 (Merlion)</t>
    <phoneticPr fontId="1" type="noConversion"/>
  </si>
  <si>
    <t>HyperPC 
(3Logic/ELKO)</t>
    <phoneticPr fontId="1" type="noConversion"/>
  </si>
  <si>
    <t>Mvideo 
(ELKO)</t>
    <phoneticPr fontId="1" type="noConversion"/>
  </si>
  <si>
    <t>iCafe</t>
    <phoneticPr fontId="1" type="noConversion"/>
  </si>
  <si>
    <t>GV-N3090AORUSX WB-24GD</t>
  </si>
  <si>
    <t>Comino</t>
    <phoneticPr fontId="1" type="noConversion"/>
  </si>
  <si>
    <t>WK02</t>
    <phoneticPr fontId="1" type="noConversion"/>
  </si>
  <si>
    <t>iCafe
(ELKO)</t>
    <phoneticPr fontId="1" type="noConversion"/>
  </si>
  <si>
    <t>Request</t>
    <phoneticPr fontId="1" type="noConversion"/>
  </si>
  <si>
    <t>Total</t>
    <phoneticPr fontId="1" type="noConversion"/>
  </si>
  <si>
    <t>GV-R68GAMING OC-16GD</t>
    <phoneticPr fontId="1" type="noConversion"/>
  </si>
  <si>
    <t>GV-3090TURBO-24GD</t>
    <phoneticPr fontId="1" type="noConversion"/>
  </si>
  <si>
    <t>HyperPC 
(ELKO)</t>
    <phoneticPr fontId="1" type="noConversion"/>
  </si>
  <si>
    <t>9VN306TGOP-00-20</t>
  </si>
  <si>
    <t>WK03</t>
    <phoneticPr fontId="1" type="noConversion"/>
  </si>
  <si>
    <t>50-10</t>
    <phoneticPr fontId="1" type="noConversion"/>
  </si>
  <si>
    <t>30-10</t>
    <phoneticPr fontId="1" type="noConversion"/>
  </si>
  <si>
    <t>30-30</t>
    <phoneticPr fontId="1" type="noConversion"/>
  </si>
  <si>
    <t>51-51</t>
    <phoneticPr fontId="1" type="noConversion"/>
  </si>
  <si>
    <t>26-26</t>
    <phoneticPr fontId="1" type="noConversion"/>
  </si>
  <si>
    <t>350-20</t>
    <phoneticPr fontId="1" type="noConversion"/>
  </si>
  <si>
    <t>GV-N3060EAGLE OC-12GD</t>
  </si>
  <si>
    <t>GV-N3060GAMING OC-12GD</t>
  </si>
  <si>
    <t>9VN3060EO-00-10</t>
  </si>
  <si>
    <t>9VN3060GO-00-10</t>
  </si>
  <si>
    <t>GV-R68AORUS M-16GD</t>
  </si>
  <si>
    <t>WK04</t>
    <phoneticPr fontId="1" type="noConversion"/>
  </si>
  <si>
    <t>50-10-40</t>
    <phoneticPr fontId="1" type="noConversion"/>
  </si>
  <si>
    <t>20-20</t>
    <phoneticPr fontId="1" type="noConversion"/>
  </si>
  <si>
    <t>30-10-10</t>
    <phoneticPr fontId="1" type="noConversion"/>
  </si>
  <si>
    <t>600</t>
    <phoneticPr fontId="1" type="noConversion"/>
  </si>
  <si>
    <t>10-10</t>
    <phoneticPr fontId="1" type="noConversion"/>
  </si>
  <si>
    <t>350-20-20</t>
    <phoneticPr fontId="1" type="noConversion"/>
  </si>
  <si>
    <t>100-20</t>
    <phoneticPr fontId="1" type="noConversion"/>
  </si>
  <si>
    <t>50-3</t>
    <phoneticPr fontId="1" type="noConversion"/>
  </si>
  <si>
    <t>100-40-60</t>
    <phoneticPr fontId="1" type="noConversion"/>
  </si>
  <si>
    <t>GV-N3060EAGLE-12GD</t>
  </si>
  <si>
    <t>GV-N3060VISION OC-12GD</t>
  </si>
  <si>
    <t>9VN3060E-00-10</t>
  </si>
  <si>
    <t>9VN3060VO-00-10</t>
  </si>
  <si>
    <t>ALSTYLE</t>
    <phoneticPr fontId="1" type="noConversion"/>
  </si>
  <si>
    <t>WK05</t>
    <phoneticPr fontId="1" type="noConversion"/>
  </si>
  <si>
    <t>30-10-10-5</t>
    <phoneticPr fontId="1" type="noConversion"/>
  </si>
  <si>
    <t>GV-R69XTAORUS M-16GD</t>
  </si>
  <si>
    <t>9VR67XTGO-00-10</t>
  </si>
  <si>
    <t>9VR69XTAM-00-10</t>
  </si>
  <si>
    <t>SOHO</t>
    <phoneticPr fontId="1" type="noConversion"/>
  </si>
  <si>
    <t>COMINO</t>
    <phoneticPr fontId="1" type="noConversion"/>
  </si>
  <si>
    <t>GV-R67XTGAMING OC-12GD</t>
    <phoneticPr fontId="1" type="noConversion"/>
  </si>
  <si>
    <t>GV-N3060AORUS E-12GD</t>
  </si>
  <si>
    <t>9VN3060AE-00-10</t>
  </si>
  <si>
    <t>GV-R67XTEAGLE-12GD</t>
  </si>
  <si>
    <t>9VR67XTE-00-10</t>
  </si>
  <si>
    <t>備註</t>
  </si>
  <si>
    <t>廠區</t>
  </si>
  <si>
    <t>DG</t>
  </si>
  <si>
    <t>DG/GBM</t>
  </si>
  <si>
    <t>NP</t>
  </si>
  <si>
    <t>GBM/NP</t>
  </si>
  <si>
    <t>DG/GBM/NP</t>
  </si>
  <si>
    <t>PCS/CTN</t>
  </si>
  <si>
    <t>GV-N1030D4-2GL</t>
  </si>
  <si>
    <t>GV-N105TD5-4GD</t>
  </si>
  <si>
    <t>GV-N1656OC-4GD</t>
  </si>
  <si>
    <t>GV-N1656WF2-4GD</t>
  </si>
  <si>
    <t>GV-N165SWF2OC-4GD</t>
  </si>
  <si>
    <t>GV-N166SD6-6GD</t>
  </si>
  <si>
    <t>GV-N166SIX-6GD</t>
  </si>
  <si>
    <t>GV-N166SOC-6GD</t>
  </si>
  <si>
    <t>GV-N2060D6-6GD</t>
  </si>
  <si>
    <t>GV-N2060OC-6GD</t>
  </si>
  <si>
    <t>GV-N207SWF3-8GD</t>
  </si>
  <si>
    <t>GV-N3080TURBO-10GD</t>
  </si>
  <si>
    <t>GV-N710D3-2GL</t>
  </si>
  <si>
    <t>GV-N710D5-1GL</t>
  </si>
  <si>
    <t>GV-R55XTD6-4GD</t>
  </si>
  <si>
    <t>GV-R55XTOC-8GD</t>
  </si>
  <si>
    <t>GV-R57GAMING OC-8GD</t>
  </si>
  <si>
    <t>GV-R67XTGAMING OC-12GD</t>
  </si>
  <si>
    <t>GV-RX580GAMING-8GD</t>
  </si>
  <si>
    <t>ACCOUNT</t>
  </si>
  <si>
    <t>ORDER NO.</t>
  </si>
  <si>
    <t>9VN103D42L-00-10</t>
  </si>
  <si>
    <t>9VN105TD4D-00-12</t>
  </si>
  <si>
    <t>9VN1656O4-00-20</t>
  </si>
  <si>
    <t>9VN1656W24-00-10</t>
  </si>
  <si>
    <t>9VN165SWO4-00-10</t>
  </si>
  <si>
    <t>9VN166SD6-00-10</t>
  </si>
  <si>
    <t>9VN166SIX6-00-10</t>
  </si>
  <si>
    <t>9VN166SO6-00-10</t>
  </si>
  <si>
    <t>9VN2060D6-00-10</t>
  </si>
  <si>
    <t>9VN2060O6-00-20</t>
  </si>
  <si>
    <t>9VN207SW-00-10</t>
  </si>
  <si>
    <t>9VN3080T-00-10</t>
  </si>
  <si>
    <t>9VN710D32L-00-20</t>
  </si>
  <si>
    <t>9VN710D5GL-00-20</t>
  </si>
  <si>
    <t>9VR55XTD64-00-20</t>
  </si>
  <si>
    <t>9VR55XTOC-00-20</t>
  </si>
  <si>
    <t>9VR57GO-00-10</t>
  </si>
  <si>
    <t>9VR57GO-00-11</t>
  </si>
  <si>
    <t>9VRX580G8-00-20</t>
  </si>
  <si>
    <t>UA1(EMEA)</t>
  </si>
  <si>
    <t>MODEL</t>
  </si>
  <si>
    <t>N103D42L-00</t>
  </si>
  <si>
    <t>N105TD4D-00</t>
  </si>
  <si>
    <t>N1656O4-00</t>
  </si>
  <si>
    <t>N1656W24-00</t>
  </si>
  <si>
    <t>N165SWO4-00</t>
  </si>
  <si>
    <t>N166SD6-00</t>
  </si>
  <si>
    <t>N166SIX6-00</t>
  </si>
  <si>
    <t>N166SO6-00</t>
  </si>
  <si>
    <t>N2060D6-00</t>
  </si>
  <si>
    <t>N2060O6-00</t>
  </si>
  <si>
    <t>N207SW-00</t>
  </si>
  <si>
    <t>N3060AE-00</t>
  </si>
  <si>
    <t>N3060EO-00</t>
  </si>
  <si>
    <t>N3060GO-00</t>
  </si>
  <si>
    <t>N306TAM-00</t>
  </si>
  <si>
    <t>N306TE-00</t>
  </si>
  <si>
    <t>N306TEO-00</t>
  </si>
  <si>
    <t>N306TGOP-00</t>
  </si>
  <si>
    <t>N3070AM-00</t>
  </si>
  <si>
    <t>N3070E-00</t>
  </si>
  <si>
    <t>N3070GO-00</t>
  </si>
  <si>
    <t>N3070VO-00</t>
  </si>
  <si>
    <t>N3080E-00</t>
  </si>
  <si>
    <t>N3080EO-00</t>
  </si>
  <si>
    <t>N3080GO-00</t>
  </si>
  <si>
    <t>N3080T-00</t>
  </si>
  <si>
    <t>N3080VO-00</t>
  </si>
  <si>
    <t>N3090AM-00</t>
  </si>
  <si>
    <t>N3090E-00</t>
  </si>
  <si>
    <t>N3090GO-00</t>
  </si>
  <si>
    <t>N3090IE-00</t>
  </si>
  <si>
    <t>N3090VO-00</t>
  </si>
  <si>
    <t>N710D32L-00</t>
  </si>
  <si>
    <t>N710D5GL-00</t>
  </si>
  <si>
    <t>R55XTD64-00</t>
  </si>
  <si>
    <t>R55XTOC-00</t>
  </si>
  <si>
    <t>R57GO-00</t>
  </si>
  <si>
    <t>R67XTE-00</t>
  </si>
  <si>
    <t>R67XTGO-00</t>
  </si>
  <si>
    <t>R68GO-00</t>
  </si>
  <si>
    <t>R68XTGO-00</t>
  </si>
  <si>
    <t>R69XTGO-00</t>
  </si>
  <si>
    <t>RX580G8-00</t>
  </si>
  <si>
    <t>DEL.</t>
  </si>
  <si>
    <t>P.</t>
  </si>
  <si>
    <t>製單人</t>
  </si>
  <si>
    <t>A</t>
  </si>
  <si>
    <t>UA1K</t>
  </si>
  <si>
    <t>GTWHUB</t>
  </si>
  <si>
    <t>N</t>
  </si>
  <si>
    <t>彩盒</t>
  </si>
  <si>
    <t>NETHERLANDS</t>
  </si>
  <si>
    <t>吳佳芊#811359</t>
  </si>
  <si>
    <t>S</t>
  </si>
  <si>
    <t>B</t>
  </si>
  <si>
    <t>UA1E</t>
  </si>
  <si>
    <t>ARENA IFZE</t>
  </si>
  <si>
    <t>&lt;ARENA&gt;</t>
  </si>
  <si>
    <t>TURKEY</t>
  </si>
  <si>
    <t>郭宜芳#811396</t>
  </si>
  <si>
    <t>CASPER</t>
  </si>
  <si>
    <t>&lt;CASPER&gt;</t>
  </si>
  <si>
    <t>CD-LOG</t>
  </si>
  <si>
    <t>ISRAEL</t>
  </si>
  <si>
    <t>林家儀#813326</t>
  </si>
  <si>
    <t>MOR</t>
  </si>
  <si>
    <t>VEKTRON</t>
  </si>
  <si>
    <t>&lt;VEKTRON&gt;</t>
  </si>
  <si>
    <t>UA1G</t>
  </si>
  <si>
    <t>VIP</t>
  </si>
  <si>
    <t>U.K.</t>
  </si>
  <si>
    <t>何湉歆#811372</t>
  </si>
  <si>
    <t>UA1J</t>
  </si>
  <si>
    <t>AL-STYLE</t>
  </si>
  <si>
    <t>KAZAKHSTAN</t>
  </si>
  <si>
    <t>許家恩#811370</t>
  </si>
  <si>
    <t>ASBISC</t>
  </si>
  <si>
    <t>BELARUS</t>
  </si>
  <si>
    <t>C</t>
  </si>
  <si>
    <t>DISTIMA</t>
  </si>
  <si>
    <t>&lt;DISTIMA&gt;</t>
  </si>
  <si>
    <t>U.A.E.</t>
  </si>
  <si>
    <t>吳怡萱#813335</t>
  </si>
  <si>
    <t>DNS LODZ</t>
  </si>
  <si>
    <t>RUSSIA</t>
  </si>
  <si>
    <t>樊宇珊#813305</t>
  </si>
  <si>
    <t>ELCO.KZ</t>
  </si>
  <si>
    <t>LATVIA</t>
  </si>
  <si>
    <t>ELKO-RU</t>
  </si>
  <si>
    <t>ERC</t>
  </si>
  <si>
    <t>UKRAINE</t>
  </si>
  <si>
    <t>FRONTOSA</t>
  </si>
  <si>
    <t>&lt;FRONTOSA&gt;</t>
  </si>
  <si>
    <t>R.S.A.</t>
  </si>
  <si>
    <t>劉麗森#811306</t>
  </si>
  <si>
    <t>GSME</t>
  </si>
  <si>
    <t>&lt;GSME-D&gt;</t>
  </si>
  <si>
    <t>&lt;GSME-DI&gt;</t>
  </si>
  <si>
    <t>GSME-EG</t>
  </si>
  <si>
    <t>&lt;GAMMA&gt;</t>
  </si>
  <si>
    <t>EGYPT</t>
  </si>
  <si>
    <t>HASKEL</t>
  </si>
  <si>
    <t>ISOLIN</t>
  </si>
  <si>
    <t>LogyCom</t>
  </si>
  <si>
    <t>MEMORY</t>
  </si>
  <si>
    <t>&lt;MTC&gt;</t>
  </si>
  <si>
    <t>SAUDI ARABIA</t>
  </si>
  <si>
    <t>NEW IT</t>
  </si>
  <si>
    <t>WINTEK</t>
  </si>
  <si>
    <t>&lt;WINTEK&gt;</t>
  </si>
  <si>
    <t>TUNISIA</t>
  </si>
  <si>
    <t>巨力</t>
  </si>
  <si>
    <t>&lt;MUSTEK&gt;</t>
  </si>
  <si>
    <t>DG/NP</t>
  </si>
  <si>
    <t>GC-ANVLINK</t>
  </si>
  <si>
    <t>GV-N1030D5-2GL</t>
  </si>
  <si>
    <t>GV-N1030SL-2GL</t>
  </si>
  <si>
    <t>GV-N1030OC-2GI</t>
  </si>
  <si>
    <t>GV-N105T-4GL</t>
  </si>
  <si>
    <t>GV-N105TOC-4GD</t>
  </si>
  <si>
    <t>GV-N105TOC-4GL</t>
  </si>
  <si>
    <t>GV-N1650D5-4GL</t>
  </si>
  <si>
    <t>GV-N1650GAMING OC-4GD</t>
  </si>
  <si>
    <t>GV-N1650IXOC-4GD</t>
  </si>
  <si>
    <t>GV-N1650IX-4GD</t>
  </si>
  <si>
    <t>GV-N1650OC-4GD</t>
  </si>
  <si>
    <t>GV-N1650OC-4GL</t>
  </si>
  <si>
    <t>GV-N1650WF2-4GD</t>
  </si>
  <si>
    <t>GV-N1650WF2OC-4GD</t>
  </si>
  <si>
    <t>GV-N1656D6-4GD</t>
  </si>
  <si>
    <t>GV-N1656D6-4GL</t>
  </si>
  <si>
    <t>GV-N1656EAGLE OC-4GD</t>
  </si>
  <si>
    <t>GV-N1656OC-4GL</t>
  </si>
  <si>
    <t>GV-N1656WF2OC-4GD</t>
  </si>
  <si>
    <t>GV-N165SD6-4GD</t>
  </si>
  <si>
    <t>GV-N165SOC-4GD</t>
  </si>
  <si>
    <t>GV-N1660D5-6GD</t>
  </si>
  <si>
    <t>GV-N1660GAMING-6GD</t>
  </si>
  <si>
    <t>GV-N1660GAMING OC-6GD</t>
  </si>
  <si>
    <t>GV-N1660IXOC-6GD</t>
  </si>
  <si>
    <t>GV-N1660OC-6GD</t>
  </si>
  <si>
    <t>GV-N166SAORUS-6GD</t>
  </si>
  <si>
    <t>GV-N166SD6 V-6GD</t>
  </si>
  <si>
    <t>GV-N166SGAMING-6GD</t>
  </si>
  <si>
    <t>GV-N166SGAMING OC-6GD</t>
  </si>
  <si>
    <t>GV-N166SIXOC-6GD</t>
  </si>
  <si>
    <t>GV-N166SOC V-6GD</t>
  </si>
  <si>
    <t>GV-N166TGAMING OC-6GD</t>
  </si>
  <si>
    <t>GV-N166TIXOC-6GD</t>
  </si>
  <si>
    <t>GV-N166TIX-6GD</t>
  </si>
  <si>
    <t>GV-N166TOC-6GD</t>
  </si>
  <si>
    <t>GV-N166TWF2-6GD</t>
  </si>
  <si>
    <t>GV-N2060GAMINGOC PRO-6GD</t>
  </si>
  <si>
    <t>GV-N2060IXOC-6GD</t>
  </si>
  <si>
    <t>GV-N2060IX-6GD</t>
  </si>
  <si>
    <t>GV-N2060WF2-6GD</t>
  </si>
  <si>
    <t>GV-N2060WF2OC-6GD</t>
  </si>
  <si>
    <t>GV-N206SGAMING OC-8GD</t>
  </si>
  <si>
    <t>GV-N206SWF2-8GD</t>
  </si>
  <si>
    <t>GV-N206SWF2OC-8GD</t>
  </si>
  <si>
    <t>GV-N2070WF2-8GD</t>
  </si>
  <si>
    <t>GV-N306TAORUS E-8GD</t>
  </si>
  <si>
    <t>GV-N306TGAMING PRO-8GD</t>
  </si>
  <si>
    <t>GV-N3080GAMINGOC WB-10GD</t>
  </si>
  <si>
    <t>GV-N308TAORUS M-20GD</t>
  </si>
  <si>
    <t>GV-N308TAORUSX W-20GD</t>
  </si>
  <si>
    <t>GV-N308TAORUSX WB-20GD</t>
  </si>
  <si>
    <t>GV-N308TAORUS X-20GD</t>
  </si>
  <si>
    <t>GV-N308TEAGLE-20GD</t>
  </si>
  <si>
    <t>GV-N308TEAGLE OC-20GD</t>
  </si>
  <si>
    <t>GV-N308TGAMING OC-20GD</t>
  </si>
  <si>
    <t>GV-N308TTURBO-20GD</t>
  </si>
  <si>
    <t>GV-N308TVISION OC-20GD</t>
  </si>
  <si>
    <t>GV-N710D5-2GIL</t>
  </si>
  <si>
    <t>GV-N710D5SL-2GL</t>
  </si>
  <si>
    <t>GV-N710D5-2GL</t>
  </si>
  <si>
    <t>GV-N730D5-2GI</t>
  </si>
  <si>
    <t>GV-N730D5-2GL</t>
  </si>
  <si>
    <t>GV-R55XTD6-8GD</t>
  </si>
  <si>
    <t>GV-R55XTGAMING OC-8GD</t>
  </si>
  <si>
    <t>GV-R55XTGAMING OC-4GD</t>
  </si>
  <si>
    <t>GV-R55XTOC-4GD</t>
  </si>
  <si>
    <t>GV-R56XTGAMING OC-6GD</t>
  </si>
  <si>
    <t>GV-R56XTWF2-6GD</t>
  </si>
  <si>
    <t>GV-R56XTWF2OC-6GD</t>
  </si>
  <si>
    <t>GV-R57GAMING-8GD</t>
  </si>
  <si>
    <t>GV-R57XTAORUS-8GD</t>
  </si>
  <si>
    <t>GV-R57XTGAMING-8GD</t>
  </si>
  <si>
    <t>GV-R57XTGAMING OC-8GD</t>
  </si>
  <si>
    <t>GV-R67EAGLE-6GD</t>
  </si>
  <si>
    <t>GV-R67GAMING OC-6GD</t>
  </si>
  <si>
    <t>GV-R67XTAORUS E-12GD</t>
  </si>
  <si>
    <t>GV-R67XT-12GD-B</t>
  </si>
  <si>
    <t>GV-R68-16GC-B</t>
  </si>
  <si>
    <t>GV-R68XT-16GC-B</t>
  </si>
  <si>
    <t>GV-R69XTAORUSX WB-16GD</t>
  </si>
  <si>
    <t>GV-R69XT-16GC-B</t>
  </si>
  <si>
    <t>GV-RX570GAMING-8GD</t>
  </si>
  <si>
    <t>GV-RX580D5-8GD</t>
  </si>
  <si>
    <t>GV-RX580 2048SP-8GD</t>
  </si>
  <si>
    <t>GV-RX590 GME-8GD</t>
  </si>
  <si>
    <t>9CANVLINK-00-10</t>
  </si>
  <si>
    <t>9VN1030D2L-00-10</t>
  </si>
  <si>
    <t>9VN1030L2L-00-10</t>
  </si>
  <si>
    <t>9VN1030O2I-00-10</t>
  </si>
  <si>
    <t>9VN105T4L-00-10</t>
  </si>
  <si>
    <t>9VN105TO4D-00-12</t>
  </si>
  <si>
    <t>9VN105TO4L-00-10</t>
  </si>
  <si>
    <t>9VN1650D4L-00-10</t>
  </si>
  <si>
    <t>9VN1650GO4-00-20</t>
  </si>
  <si>
    <t>9VN1650IO4-00-10</t>
  </si>
  <si>
    <t>9VN1650IX4-00-10</t>
  </si>
  <si>
    <t>9VN1650O4-00-10</t>
  </si>
  <si>
    <t>9VN1650O4L-00-10</t>
  </si>
  <si>
    <t>9VN1650W24-00-10</t>
  </si>
  <si>
    <t>9VN1650WO4-00-10</t>
  </si>
  <si>
    <t>9VN1656D4-00-20</t>
  </si>
  <si>
    <t>9VN1656D4L-00-10</t>
  </si>
  <si>
    <t>9VN1656EO4-00-10</t>
  </si>
  <si>
    <t>9VN1656O4L-00-10</t>
  </si>
  <si>
    <t>9VN1656WO4-00-20</t>
  </si>
  <si>
    <t>9VN165SD4-00-10</t>
  </si>
  <si>
    <t>9VN165SO4-00-10</t>
  </si>
  <si>
    <t>9VN1660D6-00-10</t>
  </si>
  <si>
    <t>9VN1660G6-00-10</t>
  </si>
  <si>
    <t>9VN1660GO6-00-10</t>
  </si>
  <si>
    <t>9VN1660IO6-00-10</t>
  </si>
  <si>
    <t>9VN1660O6-00-10</t>
  </si>
  <si>
    <t>9VN166SA-00-10</t>
  </si>
  <si>
    <t>9VN166SDV6-EC-10</t>
  </si>
  <si>
    <t>9VN166SG6-00-10</t>
  </si>
  <si>
    <t>9VN166SGO6-00-10</t>
  </si>
  <si>
    <t>9VN166SIO6-00-10</t>
  </si>
  <si>
    <t>9VN166SO6-EC-10</t>
  </si>
  <si>
    <t>9VN166SOV6-EC-10</t>
  </si>
  <si>
    <t>9VN166TGO6-00-10</t>
  </si>
  <si>
    <t>9VN166TIO6-00-10</t>
  </si>
  <si>
    <t>9VN166TIX6-00-10</t>
  </si>
  <si>
    <t>9VN166TO6-00-10</t>
  </si>
  <si>
    <t>9VN166TW26-00-10</t>
  </si>
  <si>
    <t>9VN2060GP-00-20</t>
  </si>
  <si>
    <t>9VN2060IO6-00-20</t>
  </si>
  <si>
    <t>9VN2060IX6-00-10</t>
  </si>
  <si>
    <t>9VN2060W26-00-20</t>
  </si>
  <si>
    <t>9VN2060WO6-00-20</t>
  </si>
  <si>
    <t>9VN206SGOD-00-20</t>
  </si>
  <si>
    <t>9VN206SW2-00-11</t>
  </si>
  <si>
    <t>9VN206SW2O-00-20</t>
  </si>
  <si>
    <t>9VN2070WF2-00-10</t>
  </si>
  <si>
    <t>9VN306TAE-00-10</t>
  </si>
  <si>
    <t>9VN306TGP-00-10</t>
  </si>
  <si>
    <t>9VN3080GWB-00-10</t>
  </si>
  <si>
    <t>9AN3080IE-AU-10</t>
  </si>
  <si>
    <t>9AN3080IE-CN-10</t>
  </si>
  <si>
    <t>9AN3080IE-JP-10</t>
  </si>
  <si>
    <t>9AN3080IE-KR-10</t>
  </si>
  <si>
    <t>9AN3080IE-TW-10</t>
  </si>
  <si>
    <t>9AN3080IE-US-10</t>
  </si>
  <si>
    <t>9VN308TAM-00-10</t>
  </si>
  <si>
    <t>9VN308TAW-00-10</t>
  </si>
  <si>
    <t>9VN308TAWB-00-10</t>
  </si>
  <si>
    <t>9VN308TAX-00-10</t>
  </si>
  <si>
    <t>9VN308TE-00-10</t>
  </si>
  <si>
    <t>9VN308TEO-00-10</t>
  </si>
  <si>
    <t>9VN308TGO-00-10</t>
  </si>
  <si>
    <t>9VN308TT-00-10</t>
  </si>
  <si>
    <t>9VN308TVO-00-10</t>
  </si>
  <si>
    <t>9AN3090IE-CN-10</t>
  </si>
  <si>
    <t>9AN3090IE-JP-10</t>
  </si>
  <si>
    <t>9AN3090IE-KR-10</t>
  </si>
  <si>
    <t>9AN3090IE-US-10</t>
  </si>
  <si>
    <t>9VN3090T-EC-10</t>
  </si>
  <si>
    <t>9VN71052IL-00-10</t>
  </si>
  <si>
    <t>9VN7105S2L-00-10</t>
  </si>
  <si>
    <t>9VN710D52L-00-10</t>
  </si>
  <si>
    <t>9VN730D52I-00-20</t>
  </si>
  <si>
    <t>9VN730D52L-00-10</t>
  </si>
  <si>
    <t>9VR55XTD6-00-20</t>
  </si>
  <si>
    <t>9VR55XTGO-00-10</t>
  </si>
  <si>
    <t>9VR55XTGO4-00-10</t>
  </si>
  <si>
    <t>9VR55XTOC4-00-20</t>
  </si>
  <si>
    <t>9VR56XTGO-00-20</t>
  </si>
  <si>
    <t>9VR56XTWF-00-20</t>
  </si>
  <si>
    <t>9VR56XTWO-00-20</t>
  </si>
  <si>
    <t>9VR57G-00-10</t>
  </si>
  <si>
    <t>9VR57XTA-00-20</t>
  </si>
  <si>
    <t>9VR57XTG-00-20</t>
  </si>
  <si>
    <t>9VR57XTGO-00-20</t>
  </si>
  <si>
    <t>9VR67E-00-10</t>
  </si>
  <si>
    <t>9VR67GO-00-10</t>
  </si>
  <si>
    <t>9VR67XTAE-00-10</t>
  </si>
  <si>
    <t>9VR67XTB-00-10</t>
  </si>
  <si>
    <t>9VR68B-00-10</t>
  </si>
  <si>
    <t>9VR68XTB-00-10</t>
  </si>
  <si>
    <t>9VR69XTAWB-00-10</t>
  </si>
  <si>
    <t>9VRX570G8-00-20</t>
  </si>
  <si>
    <t>9VRX580D58-00-10</t>
  </si>
  <si>
    <t>9VRX582048-00-20</t>
  </si>
  <si>
    <t>9VRX590GME-00-10</t>
  </si>
  <si>
    <t>ANVLINK-00</t>
  </si>
  <si>
    <t>N1030D2L-00</t>
  </si>
  <si>
    <t>N1030L2L-00</t>
  </si>
  <si>
    <t>N1030O2I-00</t>
  </si>
  <si>
    <t>N105T4L-00</t>
  </si>
  <si>
    <t>N105TO4D-00</t>
  </si>
  <si>
    <t>N105TO4L-00</t>
  </si>
  <si>
    <t>N1650D4L-00</t>
  </si>
  <si>
    <t>N1650GO4-00</t>
  </si>
  <si>
    <t>N1650IO4-00</t>
  </si>
  <si>
    <t>N1650IX4-00</t>
  </si>
  <si>
    <t>N1650O4-00</t>
  </si>
  <si>
    <t>N1650O4L-00</t>
  </si>
  <si>
    <t>N1650W24-00</t>
  </si>
  <si>
    <t>N1650WO4-00</t>
  </si>
  <si>
    <t>N1656D4-00</t>
  </si>
  <si>
    <t>N1656D4L-00</t>
  </si>
  <si>
    <t>N1656EO4-00</t>
  </si>
  <si>
    <t>N1656O4L-00</t>
  </si>
  <si>
    <t>N1656WO4-00</t>
  </si>
  <si>
    <t>N165SD4-00</t>
  </si>
  <si>
    <t>N165SO4-00</t>
  </si>
  <si>
    <t>N1660D6-00</t>
  </si>
  <si>
    <t>N1660G6-00</t>
  </si>
  <si>
    <t>N1660GO6-00</t>
  </si>
  <si>
    <t>N1660IO6-00</t>
  </si>
  <si>
    <t>N1660O6-00</t>
  </si>
  <si>
    <t>N166SA-00</t>
  </si>
  <si>
    <t>N166SDV6-EC</t>
  </si>
  <si>
    <t>N166SG6-00</t>
  </si>
  <si>
    <t>N166SGO6-00</t>
  </si>
  <si>
    <t>N166SIO6-00</t>
  </si>
  <si>
    <t>N166SO6-EC</t>
  </si>
  <si>
    <t>N166SOV6-EC</t>
  </si>
  <si>
    <t>N166TGO6-00</t>
  </si>
  <si>
    <t>N166TIO6-00</t>
  </si>
  <si>
    <t>N166TIX6-00</t>
  </si>
  <si>
    <t>N166TO6-00</t>
  </si>
  <si>
    <t>N166TW26-00</t>
  </si>
  <si>
    <t>N2060GP-00</t>
  </si>
  <si>
    <t>N2060IO6-00</t>
  </si>
  <si>
    <t>N2060IX6-00</t>
  </si>
  <si>
    <t>N2060W26-00</t>
  </si>
  <si>
    <t>N2060WO6-00</t>
  </si>
  <si>
    <t>N206SGOD-00</t>
  </si>
  <si>
    <t>N206SW2-00</t>
  </si>
  <si>
    <t>N206SW2O-00</t>
  </si>
  <si>
    <t>N2070WF2-00</t>
  </si>
  <si>
    <t>N3060E-00</t>
  </si>
  <si>
    <t>N3060VO-00</t>
  </si>
  <si>
    <t>N306TAE-00</t>
  </si>
  <si>
    <t>N306TGO-00</t>
  </si>
  <si>
    <t>N306TGP-00</t>
  </si>
  <si>
    <t>N306TVO-00</t>
  </si>
  <si>
    <t>N3070EO-00</t>
  </si>
  <si>
    <t>N3080AM-00</t>
  </si>
  <si>
    <t>N3080AW-00</t>
  </si>
  <si>
    <t>N3080AWB-00</t>
  </si>
  <si>
    <t>N3080AX-00</t>
  </si>
  <si>
    <t>N3080GWB-00</t>
  </si>
  <si>
    <t>N3080IE-00</t>
  </si>
  <si>
    <t>N3080IE-AU</t>
  </si>
  <si>
    <t>N3080IE-CN</t>
  </si>
  <si>
    <t>N3080IE-JP</t>
  </si>
  <si>
    <t>N3080IE-KR</t>
  </si>
  <si>
    <t>N3080IE-TW</t>
  </si>
  <si>
    <t>N3080IE-US</t>
  </si>
  <si>
    <t>N308TAM-00</t>
  </si>
  <si>
    <t>N308TAW-00</t>
  </si>
  <si>
    <t>N308TAWB-00</t>
  </si>
  <si>
    <t>N308TAX-00</t>
  </si>
  <si>
    <t>N308TE-00</t>
  </si>
  <si>
    <t>N308TEO-00</t>
  </si>
  <si>
    <t>N308TGO-00</t>
  </si>
  <si>
    <t>N308TT-00</t>
  </si>
  <si>
    <t>N308TVO-00</t>
  </si>
  <si>
    <t>N3090AW-00</t>
  </si>
  <si>
    <t>N3090AWB-00</t>
  </si>
  <si>
    <t>N3090AX-00</t>
  </si>
  <si>
    <t>N3090EO-00</t>
  </si>
  <si>
    <t>N3090IE-CN</t>
  </si>
  <si>
    <t>N3090IE-JP</t>
  </si>
  <si>
    <t>N3090IE-KR</t>
  </si>
  <si>
    <t>N3090IE-US</t>
  </si>
  <si>
    <t>N3090T-00</t>
  </si>
  <si>
    <t>N3090T-EC</t>
  </si>
  <si>
    <t>N71052IL-00</t>
  </si>
  <si>
    <t>N7105S2L-00</t>
  </si>
  <si>
    <t>N710D52L-00</t>
  </si>
  <si>
    <t>N730D52I-00</t>
  </si>
  <si>
    <t>N730D52L-00</t>
  </si>
  <si>
    <t>R55XTD6-00</t>
  </si>
  <si>
    <t>R55XTGO-00</t>
  </si>
  <si>
    <t>R55XTGO4-00</t>
  </si>
  <si>
    <t>R55XTOC4-00</t>
  </si>
  <si>
    <t>R56XTGO-00</t>
  </si>
  <si>
    <t>R56XTWF-00</t>
  </si>
  <si>
    <t>R56XTWO-00</t>
  </si>
  <si>
    <t>R57G-00</t>
  </si>
  <si>
    <t>R57XTA-00</t>
  </si>
  <si>
    <t>R57XTG-00</t>
  </si>
  <si>
    <t>R57XTGO-00</t>
  </si>
  <si>
    <t>R67E-00</t>
  </si>
  <si>
    <t>R67GO-00</t>
  </si>
  <si>
    <t>R67XTAE-00</t>
  </si>
  <si>
    <t>R67XTB-00</t>
  </si>
  <si>
    <t>R68AM-00</t>
  </si>
  <si>
    <t>R68B-00</t>
  </si>
  <si>
    <t>R68XTAM-00</t>
  </si>
  <si>
    <t>R68XTAMC-00</t>
  </si>
  <si>
    <t>R68XTB-00</t>
  </si>
  <si>
    <t>R69XTAM-00</t>
  </si>
  <si>
    <t>R69XTAWB-00</t>
  </si>
  <si>
    <t>R69XTB-00</t>
  </si>
  <si>
    <t>RX570G8-00</t>
  </si>
  <si>
    <t>RX580D58-00</t>
  </si>
  <si>
    <t>RX582048-00</t>
  </si>
  <si>
    <t>RX590GME-00</t>
  </si>
  <si>
    <t>2021-02-21</t>
  </si>
  <si>
    <r>
      <rPr>
        <sz val="8"/>
        <color rgb="FF000000"/>
        <rFont val="細明體"/>
        <family val="3"/>
        <charset val="136"/>
      </rPr>
      <t>出貨日</t>
    </r>
    <r>
      <rPr>
        <sz val="8"/>
        <color rgb="FF000000"/>
        <rFont val="Arial"/>
        <family val="2"/>
      </rPr>
      <t xml:space="preserve"> 2/27</t>
    </r>
  </si>
  <si>
    <r>
      <rPr>
        <b/>
        <sz val="8"/>
        <color rgb="FFFF0000"/>
        <rFont val="新細明體"/>
        <family val="1"/>
        <charset val="136"/>
      </rPr>
      <t>加單否</t>
    </r>
    <r>
      <rPr>
        <b/>
        <sz val="8"/>
        <color rgb="FFFF0000"/>
        <rFont val="Arial"/>
        <family val="2"/>
      </rPr>
      <t>(Y/N)</t>
    </r>
  </si>
  <si>
    <r>
      <rPr>
        <sz val="8"/>
        <color theme="1"/>
        <rFont val="新細明體"/>
        <family val="1"/>
        <charset val="136"/>
      </rPr>
      <t>等級</t>
    </r>
  </si>
  <si>
    <r>
      <rPr>
        <sz val="8"/>
        <color theme="1"/>
        <rFont val="新細明體"/>
        <family val="1"/>
        <charset val="136"/>
      </rPr>
      <t>海</t>
    </r>
    <r>
      <rPr>
        <sz val="8"/>
        <color theme="1"/>
        <rFont val="Arial"/>
        <family val="2"/>
      </rPr>
      <t xml:space="preserve">/    </t>
    </r>
    <r>
      <rPr>
        <sz val="8"/>
        <color theme="1"/>
        <rFont val="新細明體"/>
        <family val="1"/>
        <charset val="136"/>
      </rPr>
      <t>空運</t>
    </r>
  </si>
  <si>
    <r>
      <rPr>
        <sz val="8"/>
        <color theme="1"/>
        <rFont val="新細明體"/>
        <family val="1"/>
        <charset val="136"/>
      </rPr>
      <t>部門</t>
    </r>
  </si>
  <si>
    <r>
      <rPr>
        <sz val="8"/>
        <color theme="1"/>
        <rFont val="新細明體"/>
        <family val="1"/>
        <charset val="136"/>
      </rPr>
      <t>廠別</t>
    </r>
  </si>
  <si>
    <r>
      <rPr>
        <sz val="8"/>
        <color rgb="FF333399"/>
        <rFont val="新細明體"/>
        <family val="1"/>
        <charset val="136"/>
      </rPr>
      <t>備註</t>
    </r>
  </si>
  <si>
    <r>
      <rPr>
        <sz val="8"/>
        <color rgb="FF333399"/>
        <rFont val="新細明體"/>
        <family val="1"/>
        <charset val="136"/>
      </rPr>
      <t>嘜頭</t>
    </r>
  </si>
  <si>
    <r>
      <rPr>
        <sz val="8"/>
        <color rgb="FF333399"/>
        <rFont val="新細明體"/>
        <family val="1"/>
        <charset val="136"/>
      </rPr>
      <t>出貨地點</t>
    </r>
  </si>
  <si>
    <t>ME+AF Arthur</t>
    <phoneticPr fontId="1" type="noConversion"/>
  </si>
  <si>
    <t>SA+EG Francis</t>
    <phoneticPr fontId="1" type="noConversion"/>
  </si>
  <si>
    <t>BALTIC Sunny</t>
    <phoneticPr fontId="1" type="noConversion"/>
  </si>
  <si>
    <t>CIS Neil</t>
    <phoneticPr fontId="1" type="noConversion"/>
  </si>
  <si>
    <t>RU May</t>
    <phoneticPr fontId="1" type="noConversion"/>
  </si>
  <si>
    <t>sum</t>
    <phoneticPr fontId="1" type="noConversion"/>
  </si>
  <si>
    <t>GBM</t>
    <phoneticPr fontId="49" type="noConversion"/>
  </si>
  <si>
    <t>DG</t>
    <phoneticPr fontId="49" type="noConversion"/>
  </si>
  <si>
    <t>DG/GBM/NP</t>
    <phoneticPr fontId="49" type="noConversion"/>
  </si>
  <si>
    <t>DG/GBM</t>
    <phoneticPr fontId="49" type="noConversion"/>
  </si>
  <si>
    <t>GBM/NP</t>
    <phoneticPr fontId="49" type="noConversion"/>
  </si>
  <si>
    <t>NP</t>
    <phoneticPr fontId="49" type="noConversion"/>
  </si>
  <si>
    <t>Model Name</t>
    <phoneticPr fontId="49" type="noConversion"/>
  </si>
  <si>
    <t>GV-N2060AORUS X-6GC</t>
  </si>
  <si>
    <t>GV-N206SGAMING WHITE-8GD</t>
  </si>
  <si>
    <t>GV-N207SAORUS-8GC</t>
  </si>
  <si>
    <t>GV-N207SGAMING OC-8GD</t>
  </si>
  <si>
    <t>GV-N207SGAMINGOC WHITE-8GD</t>
  </si>
  <si>
    <t>GV-N207SWF3OC-8GD</t>
  </si>
  <si>
    <t>GV-N2080TURBO OC-8GC</t>
  </si>
  <si>
    <t>GV-N208SGAMING-8GC</t>
  </si>
  <si>
    <t>GV-N208SGAMING OC-8GC</t>
  </si>
  <si>
    <t>GV-N208SWF3-8GD</t>
  </si>
  <si>
    <t>9VN105TO4D-00-11</t>
  </si>
  <si>
    <t>9VN1656WO4-00-10</t>
  </si>
  <si>
    <t>9VN2060AX-00-10</t>
  </si>
  <si>
    <t>9VN206SGW8-00-20</t>
  </si>
  <si>
    <t>9VN207SA-00-20</t>
  </si>
  <si>
    <t>9VN207SGOD-00-11</t>
  </si>
  <si>
    <t>9VN207SGWD-00-11</t>
  </si>
  <si>
    <t>9VN207SW-00-10</t>
    <phoneticPr fontId="49" type="noConversion"/>
  </si>
  <si>
    <t>9VN207SW-00-11</t>
  </si>
  <si>
    <t>9VN207SWO-00-11</t>
  </si>
  <si>
    <t>9VN2080TO-00-10</t>
  </si>
  <si>
    <t>9VN208SG-00-20</t>
  </si>
  <si>
    <t>9VN208SGO-00-20</t>
  </si>
  <si>
    <t>9VN208SW-00-10</t>
  </si>
  <si>
    <t>9AN3090IE-AU-10</t>
  </si>
  <si>
    <t>UA1(EMEA)</t>
    <phoneticPr fontId="49" type="noConversion"/>
  </si>
  <si>
    <t>MODEL</t>
    <phoneticPr fontId="49" type="noConversion"/>
  </si>
  <si>
    <t>N2060AX-00</t>
  </si>
  <si>
    <t>N206SGW8-00</t>
  </si>
  <si>
    <t>N207SA-00</t>
  </si>
  <si>
    <t>N207SGOD-00</t>
  </si>
  <si>
    <t>N207SGWD-00</t>
  </si>
  <si>
    <t>N207SWO-00</t>
  </si>
  <si>
    <t>N2080TO-00</t>
  </si>
  <si>
    <t>N208SG-00</t>
  </si>
  <si>
    <t>N208SGO-00</t>
  </si>
  <si>
    <t>N208SW-00</t>
  </si>
  <si>
    <t>N3090IE-AU</t>
  </si>
  <si>
    <t>2021-02-28</t>
  </si>
  <si>
    <t>ASBISC-CR</t>
  </si>
  <si>
    <t>CROATIA</t>
  </si>
  <si>
    <t>林宜儒#811378</t>
  </si>
  <si>
    <t>CHS/HUNG</t>
  </si>
  <si>
    <t>HUNGARY</t>
  </si>
  <si>
    <t>CT</t>
  </si>
  <si>
    <t>SERBIA</t>
  </si>
  <si>
    <t>ELKO SI</t>
  </si>
  <si>
    <t>SLOVENIA</t>
  </si>
  <si>
    <t>ENDEKS</t>
  </si>
  <si>
    <t>&lt;ENDEKS&gt;</t>
  </si>
  <si>
    <t>EWE</t>
  </si>
  <si>
    <t>PIN</t>
  </si>
  <si>
    <t>ACME</t>
  </si>
  <si>
    <t>UO2-L20407</t>
    <phoneticPr fontId="49" type="noConversion"/>
  </si>
  <si>
    <t>&lt;ACME&gt;</t>
  </si>
  <si>
    <t>LITHUANIA</t>
  </si>
  <si>
    <t>唐潤培#813318</t>
  </si>
  <si>
    <t>CHARM</t>
  </si>
  <si>
    <t>AZERBAIJAN</t>
  </si>
  <si>
    <t>UO2-L20406</t>
    <phoneticPr fontId="49" type="noConversion"/>
  </si>
  <si>
    <t>&lt;ELKO&gt;</t>
  </si>
  <si>
    <t>UO2-L20405</t>
    <phoneticPr fontId="49" type="noConversion"/>
  </si>
  <si>
    <t>UO2-L20390]</t>
  </si>
  <si>
    <t>X</t>
    <phoneticPr fontId="49" type="noConversion"/>
  </si>
  <si>
    <t>UO2-L20395</t>
    <phoneticPr fontId="49" type="noConversion"/>
  </si>
  <si>
    <t>UO2-L20393</t>
    <phoneticPr fontId="49" type="noConversion"/>
  </si>
  <si>
    <t>UO2-L20408</t>
  </si>
  <si>
    <t>hs code, po no.</t>
  </si>
  <si>
    <t>UO2-L20409</t>
  </si>
  <si>
    <t>UO2-L20410</t>
  </si>
  <si>
    <t>LLC BDC</t>
  </si>
  <si>
    <t>UO2-L20402</t>
    <phoneticPr fontId="49" type="noConversion"/>
  </si>
  <si>
    <t>METRA UAE</t>
  </si>
  <si>
    <t>UO2-L20411</t>
  </si>
  <si>
    <t>&lt;BQ-G&gt;</t>
  </si>
  <si>
    <t>UO2-L20412</t>
  </si>
  <si>
    <t>&lt;BQ&gt;</t>
  </si>
  <si>
    <t>MICRODATA</t>
  </si>
  <si>
    <t>UO2-L20404</t>
    <phoneticPr fontId="49" type="noConversion"/>
  </si>
  <si>
    <t>&lt;OSCT&gt;</t>
  </si>
  <si>
    <t>MIPS PLU</t>
  </si>
  <si>
    <t>MTI TOV</t>
  </si>
  <si>
    <t>UO2-L20391</t>
  </si>
  <si>
    <t>RECTRON</t>
  </si>
  <si>
    <t>UO2-L20397</t>
    <phoneticPr fontId="49" type="noConversion"/>
  </si>
  <si>
    <t>&lt;RECTRON&gt;</t>
  </si>
  <si>
    <t>SEENEN</t>
  </si>
  <si>
    <t>UO2-L20413</t>
  </si>
  <si>
    <t>&lt;SEENEN IT&gt;</t>
  </si>
  <si>
    <t>TRADEICS</t>
  </si>
  <si>
    <t>UO2-L20400</t>
    <phoneticPr fontId="49" type="noConversion"/>
  </si>
  <si>
    <r>
      <rPr>
        <b/>
        <sz val="8"/>
        <color indexed="10"/>
        <rFont val="新細明體"/>
        <family val="1"/>
        <charset val="136"/>
      </rPr>
      <t>加單否</t>
    </r>
    <r>
      <rPr>
        <b/>
        <sz val="8"/>
        <color indexed="10"/>
        <rFont val="Arial"/>
        <family val="2"/>
      </rPr>
      <t>(Y/N)</t>
    </r>
    <phoneticPr fontId="49" type="noConversion"/>
  </si>
  <si>
    <r>
      <t>9VN3080AM-00-</t>
    </r>
    <r>
      <rPr>
        <b/>
        <sz val="8"/>
        <color rgb="FFFF0000"/>
        <rFont val="Arial"/>
        <family val="2"/>
      </rPr>
      <t>10</t>
    </r>
    <phoneticPr fontId="49" type="noConversion"/>
  </si>
  <si>
    <r>
      <rPr>
        <sz val="8"/>
        <color indexed="62"/>
        <rFont val="新細明體"/>
        <family val="1"/>
        <charset val="136"/>
      </rPr>
      <t>備註</t>
    </r>
  </si>
  <si>
    <r>
      <rPr>
        <sz val="8"/>
        <color indexed="62"/>
        <rFont val="新細明體"/>
        <family val="1"/>
        <charset val="136"/>
      </rPr>
      <t>嘜頭</t>
    </r>
  </si>
  <si>
    <r>
      <rPr>
        <sz val="8"/>
        <color indexed="62"/>
        <rFont val="新細明體"/>
        <family val="1"/>
        <charset val="136"/>
      </rPr>
      <t>出貨地點</t>
    </r>
    <phoneticPr fontId="49" type="noConversion"/>
  </si>
  <si>
    <r>
      <rPr>
        <sz val="8"/>
        <color indexed="62"/>
        <rFont val="細明體"/>
        <family val="3"/>
        <charset val="136"/>
      </rPr>
      <t>備註</t>
    </r>
    <phoneticPr fontId="49" type="noConversion"/>
  </si>
  <si>
    <r>
      <rPr>
        <sz val="8"/>
        <color indexed="62"/>
        <rFont val="細明體"/>
        <family val="3"/>
        <charset val="136"/>
      </rPr>
      <t>廠區</t>
    </r>
    <phoneticPr fontId="49" type="noConversion"/>
  </si>
  <si>
    <r>
      <rPr>
        <sz val="8"/>
        <color theme="1"/>
        <rFont val="新細明體"/>
        <family val="2"/>
        <charset val="136"/>
      </rPr>
      <t>等級</t>
    </r>
    <phoneticPr fontId="49" type="noConversion"/>
  </si>
  <si>
    <r>
      <rPr>
        <sz val="8"/>
        <color theme="1"/>
        <rFont val="新細明體"/>
        <family val="2"/>
        <charset val="136"/>
      </rPr>
      <t>海</t>
    </r>
    <r>
      <rPr>
        <sz val="8"/>
        <rFont val="Arial"/>
        <family val="2"/>
      </rPr>
      <t xml:space="preserve">/    </t>
    </r>
    <r>
      <rPr>
        <sz val="8"/>
        <color theme="1"/>
        <rFont val="新細明體"/>
        <family val="2"/>
        <charset val="136"/>
      </rPr>
      <t>空運</t>
    </r>
    <phoneticPr fontId="49" type="noConversion"/>
  </si>
  <si>
    <r>
      <rPr>
        <sz val="8"/>
        <color theme="1"/>
        <rFont val="新細明體"/>
        <family val="2"/>
        <charset val="136"/>
      </rPr>
      <t>部門</t>
    </r>
    <phoneticPr fontId="49" type="noConversion"/>
  </si>
  <si>
    <r>
      <rPr>
        <sz val="8"/>
        <color theme="1"/>
        <rFont val="新細明體"/>
        <family val="2"/>
        <charset val="136"/>
      </rPr>
      <t>廠別</t>
    </r>
    <phoneticPr fontId="49" type="noConversion"/>
  </si>
  <si>
    <r>
      <rPr>
        <sz val="8"/>
        <color indexed="62"/>
        <rFont val="細明體"/>
        <family val="3"/>
        <charset val="136"/>
      </rPr>
      <t>製單人</t>
    </r>
    <phoneticPr fontId="49" type="noConversion"/>
  </si>
  <si>
    <t>DG/NP</t>
    <phoneticPr fontId="49" type="noConversion"/>
  </si>
  <si>
    <t>GV-RX550D5-2GD</t>
  </si>
  <si>
    <t>9VN105TD4D-00-11</t>
  </si>
  <si>
    <t>9VN1656D4-00-10</t>
  </si>
  <si>
    <t>9VN1656O4-00-10</t>
  </si>
  <si>
    <t>9VN3090AM-00-10</t>
    <phoneticPr fontId="49" type="noConversion"/>
  </si>
  <si>
    <t>9VR67XTB-TW-10</t>
  </si>
  <si>
    <t>9VRX550D5-00-20</t>
  </si>
  <si>
    <t>R67XTB-TW</t>
  </si>
  <si>
    <t>RX550D5-00</t>
  </si>
  <si>
    <t>2021-03-07</t>
  </si>
  <si>
    <t>UA1I</t>
  </si>
  <si>
    <t>INTERCOMP</t>
  </si>
  <si>
    <t>ITALY</t>
  </si>
  <si>
    <t>ROMANIA</t>
  </si>
  <si>
    <t>DAR</t>
  </si>
  <si>
    <t>UO2-L30026</t>
  </si>
  <si>
    <t>&lt;DAR&gt;</t>
  </si>
  <si>
    <t>KUWAIT</t>
  </si>
  <si>
    <t>DATEX</t>
  </si>
  <si>
    <t>UZBEKISTAN</t>
  </si>
  <si>
    <t>UO2-L30040</t>
    <phoneticPr fontId="49" type="noConversion"/>
  </si>
  <si>
    <t>DISTRIPL</t>
  </si>
  <si>
    <t>UO2-L30027</t>
  </si>
  <si>
    <t>&lt;DISTRIPLUS FZE&gt;</t>
  </si>
  <si>
    <t>ECOCOMP</t>
  </si>
  <si>
    <t>UO2-L30021</t>
  </si>
  <si>
    <t>UO2-L30044</t>
    <phoneticPr fontId="49" type="noConversion"/>
  </si>
  <si>
    <t>UO2-L30020</t>
  </si>
  <si>
    <t>ELKO-UA</t>
  </si>
  <si>
    <t>UO2-L30023</t>
    <phoneticPr fontId="49" type="noConversion"/>
  </si>
  <si>
    <t>UO2-L30025</t>
    <phoneticPr fontId="49" type="noConversion"/>
  </si>
  <si>
    <t>UO2-L30029</t>
  </si>
  <si>
    <t>UO2-L30031</t>
  </si>
  <si>
    <t>UO2-L30033</t>
  </si>
  <si>
    <t>UO2-L30043</t>
    <phoneticPr fontId="49" type="noConversion"/>
  </si>
  <si>
    <t>MTC-ME</t>
  </si>
  <si>
    <t>UO2-L30047</t>
    <phoneticPr fontId="49" type="noConversion"/>
  </si>
  <si>
    <t>UO2-L30019</t>
  </si>
  <si>
    <t>UO2-L30030</t>
    <phoneticPr fontId="49" type="noConversion"/>
  </si>
  <si>
    <t>UO2-L30036</t>
    <phoneticPr fontId="49" type="noConversion"/>
  </si>
  <si>
    <t>UO2-L30034</t>
    <phoneticPr fontId="49" type="noConversion"/>
  </si>
  <si>
    <t>UO1-L30022</t>
    <phoneticPr fontId="49" type="noConversion"/>
  </si>
  <si>
    <t>RTX</t>
    <phoneticPr fontId="49" type="noConversion"/>
  </si>
  <si>
    <t>&lt;ELKO&gt;</t>
    <phoneticPr fontId="49" type="noConversion"/>
  </si>
  <si>
    <t>UO2-L30045</t>
    <phoneticPr fontId="49" type="noConversion"/>
  </si>
  <si>
    <t xml:space="preserve">ACC </t>
    <phoneticPr fontId="49" type="noConversion"/>
  </si>
  <si>
    <t>UO1-L30023</t>
    <phoneticPr fontId="49" type="noConversion"/>
  </si>
  <si>
    <t>&lt;ACC&gt;</t>
    <phoneticPr fontId="49" type="noConversion"/>
  </si>
  <si>
    <t>ACC</t>
    <phoneticPr fontId="49" type="noConversion"/>
  </si>
  <si>
    <t>UO2-L30046</t>
    <phoneticPr fontId="49" type="noConversion"/>
  </si>
  <si>
    <t>RM</t>
    <phoneticPr fontId="49" type="noConversion"/>
  </si>
  <si>
    <t>GV-N2060OC-6GD</t>
    <phoneticPr fontId="1" type="noConversion"/>
  </si>
  <si>
    <t>Dear All,</t>
  </si>
  <si>
    <t>請訂單變更加單，謝謝~</t>
  </si>
  <si>
    <t>各區域配貨如下:</t>
  </si>
  <si>
    <t>EMEA: 1250PCS</t>
  </si>
  <si>
    <r>
      <rPr>
        <sz val="8"/>
        <color theme="1"/>
        <rFont val="細明體"/>
        <family val="3"/>
        <charset val="136"/>
      </rPr>
      <t>生管通知可加單</t>
    </r>
    <r>
      <rPr>
        <sz val="8"/>
        <color theme="1"/>
        <rFont val="Arial"/>
        <family val="2"/>
      </rPr>
      <t xml:space="preserve">9VN1660O6-00-10 *3250PCS </t>
    </r>
    <r>
      <rPr>
        <sz val="8"/>
        <color theme="1"/>
        <rFont val="細明體"/>
        <family val="3"/>
        <charset val="136"/>
      </rPr>
      <t>廠區</t>
    </r>
    <r>
      <rPr>
        <sz val="8"/>
        <color theme="1"/>
        <rFont val="Arial"/>
        <family val="2"/>
      </rPr>
      <t>:DG</t>
    </r>
    <phoneticPr fontId="1" type="noConversion"/>
  </si>
  <si>
    <t>Date</t>
    <phoneticPr fontId="1" type="noConversion"/>
  </si>
  <si>
    <t>Tender Name</t>
    <phoneticPr fontId="1" type="noConversion"/>
  </si>
  <si>
    <t>Model</t>
    <phoneticPr fontId="1" type="noConversion"/>
  </si>
  <si>
    <t>QTY</t>
    <phoneticPr fontId="1" type="noConversion"/>
  </si>
  <si>
    <t>Selected disti</t>
    <phoneticPr fontId="1" type="noConversion"/>
  </si>
  <si>
    <t>Fulfill model</t>
    <phoneticPr fontId="1" type="noConversion"/>
  </si>
  <si>
    <t>Fulfill status</t>
    <phoneticPr fontId="1" type="noConversion"/>
  </si>
  <si>
    <t>Mail title</t>
    <phoneticPr fontId="1" type="noConversion"/>
  </si>
  <si>
    <t>Comment</t>
  </si>
  <si>
    <t>RTX 3070</t>
  </si>
  <si>
    <t>Logycom</t>
  </si>
  <si>
    <t>Bundle with PSU 1:1, and will take 48 monitors</t>
  </si>
  <si>
    <t>ALSER</t>
  </si>
  <si>
    <t>Logycom W09 Asia order</t>
  </si>
  <si>
    <t>no bundle</t>
  </si>
  <si>
    <t>Isayev gaming club</t>
  </si>
  <si>
    <t>ELCO</t>
  </si>
  <si>
    <t>discussion with Myskill SI (Isayev gaming club project)</t>
  </si>
  <si>
    <t>Bundle with PSU 1:1, AMPERE also bundle with monitors</t>
  </si>
  <si>
    <t>GTX 1660Super</t>
  </si>
  <si>
    <t>Russian Railway project (VGA)</t>
    <phoneticPr fontId="1" type="noConversion"/>
  </si>
  <si>
    <t>3Logic</t>
    <phoneticPr fontId="1" type="noConversion"/>
  </si>
  <si>
    <t xml:space="preserve">GV-N3060EAGLE OC-12GD </t>
    <phoneticPr fontId="1" type="noConversion"/>
  </si>
  <si>
    <t>Видеокарты для проекта Mail.ru</t>
    <phoneticPr fontId="1" type="noConversion"/>
  </si>
  <si>
    <t>Mail.ru tender</t>
    <phoneticPr fontId="1" type="noConversion"/>
  </si>
  <si>
    <t>RTX 3080</t>
    <phoneticPr fontId="1" type="noConversion"/>
  </si>
  <si>
    <t>RTX 3070</t>
    <phoneticPr fontId="1" type="noConversion"/>
  </si>
  <si>
    <t>RTX 3060</t>
    <phoneticPr fontId="1" type="noConversion"/>
  </si>
  <si>
    <t>RX 5700XT</t>
    <phoneticPr fontId="1" type="noConversion"/>
  </si>
  <si>
    <t>Vasily</t>
    <phoneticPr fontId="1" type="noConversion"/>
  </si>
  <si>
    <t>Tatyana</t>
    <phoneticPr fontId="1" type="noConversion"/>
  </si>
  <si>
    <t>MICRO P</t>
  </si>
  <si>
    <t>ASL-WESD</t>
  </si>
  <si>
    <t>FRANCE</t>
  </si>
  <si>
    <t>陳明薇#811311</t>
  </si>
  <si>
    <t>AL QULA</t>
  </si>
  <si>
    <t>&lt;AL QULA&gt;</t>
  </si>
  <si>
    <t>LIBYA</t>
  </si>
  <si>
    <t>MEIT</t>
  </si>
  <si>
    <t>&lt;MEIT&gt;</t>
  </si>
  <si>
    <t>LEBANON</t>
  </si>
  <si>
    <t>ORDI</t>
  </si>
  <si>
    <t>&lt;ORDI&gt;</t>
  </si>
  <si>
    <t>ESTONIA</t>
  </si>
  <si>
    <t>SUNCOMP</t>
  </si>
  <si>
    <t>&lt;SUNCOMP&gt;</t>
  </si>
  <si>
    <t>GV-N308TAORUS M-12GD</t>
  </si>
  <si>
    <t>GV-N308TAORUS X-12GD</t>
  </si>
  <si>
    <t>9VN206SW2-00-20</t>
  </si>
  <si>
    <t>9VN38TAM-00-10</t>
  </si>
  <si>
    <t>9VN38TAX-00-10</t>
  </si>
  <si>
    <t>N38TAM-00</t>
  </si>
  <si>
    <t>N38TAX-00</t>
  </si>
  <si>
    <t>2021-03-14</t>
  </si>
  <si>
    <t>SUB TOTAL</t>
    <phoneticPr fontId="49" type="noConversion"/>
  </si>
  <si>
    <t>GV-N166SOC-6GD</t>
    <phoneticPr fontId="1" type="noConversion"/>
  </si>
  <si>
    <t>WK12 40pcs</t>
    <phoneticPr fontId="1" type="noConversion"/>
  </si>
  <si>
    <t>GV-N3060EAGLE OC-12GD</t>
    <phoneticPr fontId="1" type="noConversion"/>
  </si>
  <si>
    <t>GV-N3060GAMING OC-12GD</t>
    <phoneticPr fontId="1" type="noConversion"/>
  </si>
  <si>
    <t>GV-N3070GAMING OC-8GD</t>
    <phoneticPr fontId="1" type="noConversion"/>
  </si>
  <si>
    <t>WK12 15pcs</t>
    <phoneticPr fontId="1" type="noConversion"/>
  </si>
  <si>
    <t>WK12 119pcs</t>
    <phoneticPr fontId="1" type="noConversion"/>
  </si>
  <si>
    <t>WK12 20pcs</t>
    <phoneticPr fontId="1" type="noConversion"/>
  </si>
  <si>
    <t>GTX1050Ti</t>
    <phoneticPr fontId="1" type="noConversion"/>
  </si>
  <si>
    <t>GV-N105TD5-4GD</t>
    <phoneticPr fontId="1" type="noConversion"/>
  </si>
  <si>
    <t>WK12 35pcs NL</t>
    <phoneticPr fontId="1" type="noConversion"/>
  </si>
  <si>
    <t>Region</t>
    <phoneticPr fontId="1" type="noConversion"/>
  </si>
  <si>
    <t>Pari-Match</t>
    <phoneticPr fontId="1" type="noConversion"/>
  </si>
  <si>
    <t xml:space="preserve">RTX3070 </t>
  </si>
  <si>
    <t>MB+SSD+PSU</t>
    <phoneticPr fontId="1" type="noConversion"/>
  </si>
  <si>
    <t>GT Arena gamign clubs</t>
    <phoneticPr fontId="1" type="noConversion"/>
  </si>
  <si>
    <t>Bernar club</t>
  </si>
  <si>
    <t>RTX3060Ti</t>
  </si>
  <si>
    <t>AMPERE Bundle with PSU 1:1, monitors 1:1</t>
  </si>
  <si>
    <t>Bundled with 35pcs AMPERE deal, if customer take peripherals set - extra 10 pcs GTX 1660S (total 45 pcs)</t>
  </si>
  <si>
    <t>KZ</t>
    <phoneticPr fontId="1" type="noConversion"/>
  </si>
  <si>
    <t>RU</t>
    <phoneticPr fontId="1" type="noConversion"/>
  </si>
  <si>
    <t>RU</t>
    <phoneticPr fontId="1" type="noConversion"/>
  </si>
  <si>
    <t>UA</t>
    <phoneticPr fontId="1" type="noConversion"/>
  </si>
  <si>
    <t>3060 ti 39990</t>
    <phoneticPr fontId="1" type="noConversion"/>
  </si>
  <si>
    <t xml:space="preserve">3060 32990 </t>
    <phoneticPr fontId="1" type="noConversion"/>
  </si>
  <si>
    <t>3070 45490</t>
    <phoneticPr fontId="1" type="noConversion"/>
  </si>
  <si>
    <t>3080 63490</t>
    <phoneticPr fontId="1" type="noConversion"/>
  </si>
  <si>
    <t>3090 136990</t>
    <phoneticPr fontId="1" type="noConversion"/>
  </si>
  <si>
    <t>GV-N3070GAMING OC-8GD</t>
    <phoneticPr fontId="1" type="noConversion"/>
  </si>
  <si>
    <t>GV-N1050OC-2GD</t>
  </si>
  <si>
    <t>GV-N306TGAMING-8GD</t>
  </si>
  <si>
    <t>GV-N30HXD6-6G</t>
  </si>
  <si>
    <t>GV-N308TAORUSX W-12GD</t>
  </si>
  <si>
    <t>GV-N308TAORUSX WB-12GD</t>
  </si>
  <si>
    <t>GV-N308TEAGLE-12GD</t>
  </si>
  <si>
    <t>GV-N308TEAGLE OC-12GD</t>
  </si>
  <si>
    <t>GV-N308TGAMING OC-12GD</t>
  </si>
  <si>
    <t>GV-N308TTURBO-12GD</t>
  </si>
  <si>
    <t>GV-N308TVISION OC-12GD</t>
  </si>
  <si>
    <t>GV-R66XTGAMING OC-8GD</t>
  </si>
  <si>
    <t>9VN1050O2D-00-11</t>
  </si>
  <si>
    <t>9VN105TD4D-00-11</t>
    <phoneticPr fontId="49" type="noConversion"/>
  </si>
  <si>
    <t>9VN105TO4D-00-11</t>
    <phoneticPr fontId="49" type="noConversion"/>
  </si>
  <si>
    <t>9VN206SW2-00-11</t>
    <phoneticPr fontId="49" type="noConversion"/>
  </si>
  <si>
    <t>9VN207SWO-00-10</t>
  </si>
  <si>
    <t>9VN306TG-00-10</t>
  </si>
  <si>
    <t>9VN30HX-EC-10</t>
  </si>
  <si>
    <t>9VN38TAW-00-10</t>
  </si>
  <si>
    <t>9VN38TAWB-00-10</t>
  </si>
  <si>
    <t>9VN38TE-00-10</t>
  </si>
  <si>
    <t>9VN38TEO-00-10</t>
  </si>
  <si>
    <t>9VN38TGO-00-10</t>
  </si>
  <si>
    <t>9VN38TT-00-10</t>
  </si>
  <si>
    <t>9VN38TVO-00-10</t>
  </si>
  <si>
    <t>9VR66XTGO-00-10</t>
  </si>
  <si>
    <t>N1050O2D-00</t>
  </si>
  <si>
    <t>N306TG-00</t>
  </si>
  <si>
    <t>N30HX-EC</t>
  </si>
  <si>
    <t>N38TAW-00</t>
  </si>
  <si>
    <t>N38TAWB-00</t>
  </si>
  <si>
    <t>N38TE-00</t>
  </si>
  <si>
    <t>N38TEO-00</t>
  </si>
  <si>
    <t>N38TGO-00</t>
  </si>
  <si>
    <t>N38TT-00</t>
  </si>
  <si>
    <t>N38TVO-00</t>
  </si>
  <si>
    <t>R66XTGO-00</t>
  </si>
  <si>
    <t>2021-03-21</t>
  </si>
  <si>
    <t>UO2-L30394</t>
    <phoneticPr fontId="49" type="noConversion"/>
  </si>
  <si>
    <t>UO2-L30395</t>
    <phoneticPr fontId="49" type="noConversion"/>
  </si>
  <si>
    <t>UO2-L30396</t>
    <phoneticPr fontId="49" type="noConversion"/>
  </si>
  <si>
    <t>UO1-L30255</t>
    <phoneticPr fontId="49" type="noConversion"/>
  </si>
  <si>
    <t>APD SA</t>
  </si>
  <si>
    <t>SPAIN</t>
  </si>
  <si>
    <t>ASEMINFOR</t>
  </si>
  <si>
    <t>ASEUROPA</t>
  </si>
  <si>
    <t>DMI</t>
  </si>
  <si>
    <t>UO2-L30386</t>
    <phoneticPr fontId="49" type="noConversion"/>
  </si>
  <si>
    <t>UO2-L30406</t>
  </si>
  <si>
    <t>UO2-L30407</t>
  </si>
  <si>
    <t>UO2-L30387</t>
    <phoneticPr fontId="49" type="noConversion"/>
  </si>
  <si>
    <t>UO2-L30413</t>
  </si>
  <si>
    <t>UO2-L30377</t>
    <phoneticPr fontId="49" type="noConversion"/>
  </si>
  <si>
    <t>UO1-L30246</t>
    <phoneticPr fontId="49" type="noConversion"/>
  </si>
  <si>
    <t>UO2-L30379</t>
    <phoneticPr fontId="49" type="noConversion"/>
  </si>
  <si>
    <t>UO1-L30247</t>
    <phoneticPr fontId="49" type="noConversion"/>
  </si>
  <si>
    <t>UO2-L30408</t>
  </si>
  <si>
    <t>&lt;DAMMAM&gt;</t>
  </si>
  <si>
    <t>UO2-L30409</t>
  </si>
  <si>
    <t>UO2-L30410</t>
  </si>
  <si>
    <t>UO2-L30385</t>
    <phoneticPr fontId="49" type="noConversion"/>
  </si>
  <si>
    <t>UO2-L30389</t>
    <phoneticPr fontId="49" type="noConversion"/>
  </si>
  <si>
    <t>&lt;MTC-ME&gt;</t>
  </si>
  <si>
    <t>UO2-L30412</t>
  </si>
  <si>
    <t>UO2-L30381</t>
    <phoneticPr fontId="49" type="noConversion"/>
  </si>
  <si>
    <t>UO2-L30411</t>
  </si>
  <si>
    <t>UO2-L30388</t>
    <phoneticPr fontId="49" type="noConversion"/>
  </si>
  <si>
    <t>Bernar club</t>
    <phoneticPr fontId="1" type="noConversion"/>
  </si>
  <si>
    <t>Logycom W09 project order 400 pcs 3070</t>
    <phoneticPr fontId="1" type="noConversion"/>
  </si>
  <si>
    <t>WK13 45pcs</t>
    <phoneticPr fontId="1" type="noConversion"/>
  </si>
  <si>
    <t>LEGION gaming club</t>
    <phoneticPr fontId="1" type="noConversion"/>
  </si>
  <si>
    <t>WK13 25pcs</t>
    <phoneticPr fontId="1" type="noConversion"/>
  </si>
  <si>
    <t>RTX3060 or 3060TI</t>
    <phoneticPr fontId="1" type="noConversion"/>
  </si>
  <si>
    <t>CV27F/MB/SSD/PSU</t>
    <phoneticPr fontId="1" type="noConversion"/>
  </si>
  <si>
    <t>FCA HK</t>
    <phoneticPr fontId="1" type="noConversion"/>
  </si>
  <si>
    <t>VAT</t>
    <phoneticPr fontId="1" type="noConversion"/>
  </si>
  <si>
    <t>Cost</t>
    <phoneticPr fontId="1" type="noConversion"/>
  </si>
  <si>
    <t>Dealer Price</t>
    <phoneticPr fontId="1" type="noConversion"/>
  </si>
  <si>
    <t>RRP (USD)</t>
    <phoneticPr fontId="1" type="noConversion"/>
  </si>
  <si>
    <t>RRP (RUB)</t>
    <phoneticPr fontId="1" type="noConversion"/>
  </si>
  <si>
    <t>Disty Margin</t>
    <phoneticPr fontId="1" type="noConversion"/>
  </si>
  <si>
    <t>Channel Margin</t>
    <phoneticPr fontId="1" type="noConversion"/>
  </si>
  <si>
    <t>RRP Calculation(RUB)</t>
    <phoneticPr fontId="1" type="noConversion"/>
  </si>
  <si>
    <t>NV MSRP</t>
    <phoneticPr fontId="1" type="noConversion"/>
  </si>
  <si>
    <t>Current cheapest  RRP</t>
    <phoneticPr fontId="1" type="noConversion"/>
  </si>
  <si>
    <t>WK12 5pcs NL</t>
    <phoneticPr fontId="1" type="noConversion"/>
  </si>
  <si>
    <t>RTX3080</t>
  </si>
  <si>
    <t>RTX3060</t>
  </si>
  <si>
    <t>1050Ti/1650Super</t>
  </si>
  <si>
    <t>RTX3070 or 3080</t>
  </si>
  <si>
    <t>RTX3060 or 3060TI</t>
  </si>
  <si>
    <t>AMPERE Bundle with PSU 1:1, monitors 1:1</t>
    <phoneticPr fontId="1" type="noConversion"/>
  </si>
  <si>
    <t xml:space="preserve">bundled with 25 pcs AMPERE deal </t>
    <phoneticPr fontId="1" type="noConversion"/>
  </si>
  <si>
    <t>Bundle with PSU650W and M27F monitor +MB</t>
    <phoneticPr fontId="1" type="noConversion"/>
  </si>
  <si>
    <t>Bundled with AMPERE deal</t>
    <phoneticPr fontId="1" type="noConversion"/>
  </si>
  <si>
    <t>Clarity club</t>
    <phoneticPr fontId="1" type="noConversion"/>
  </si>
  <si>
    <t>WK13 30pcs NL</t>
    <phoneticPr fontId="1" type="noConversion"/>
  </si>
  <si>
    <t>WK13 5pcs NL</t>
    <phoneticPr fontId="1" type="noConversion"/>
  </si>
  <si>
    <r>
      <rPr>
        <sz val="10"/>
        <color rgb="FFFF0000"/>
        <rFont val="Calibri"/>
        <family val="2"/>
      </rPr>
      <t>FI25F???</t>
    </r>
    <r>
      <rPr>
        <sz val="10"/>
        <color theme="1"/>
        <rFont val="Calibri"/>
        <family val="2"/>
      </rPr>
      <t>/MB/SSD/PSU</t>
    </r>
  </si>
  <si>
    <t>SA</t>
    <phoneticPr fontId="1" type="noConversion"/>
  </si>
  <si>
    <t>Recton David</t>
    <phoneticPr fontId="1" type="noConversion"/>
  </si>
  <si>
    <t>Kazdream company</t>
  </si>
  <si>
    <t>Kazdream project</t>
  </si>
  <si>
    <t>RTX3070</t>
  </si>
  <si>
    <t>Al-style</t>
  </si>
  <si>
    <t>Al-style clubs projects</t>
  </si>
  <si>
    <t>XXX gaming club</t>
  </si>
  <si>
    <t>RTX3090</t>
  </si>
  <si>
    <t>Bundle with 650W PSU and M27F monitor +MB (MB and PSU from current stock)</t>
    <phoneticPr fontId="1" type="noConversion"/>
  </si>
  <si>
    <t>Bundle with 850W PSU, Z590, M27F monitor (PSU from current stock, MB - will buy in case stock is low)</t>
    <phoneticPr fontId="1" type="noConversion"/>
  </si>
  <si>
    <t>Bundle with Z590MB, M27Q monitor, 850W PSU (PSU from disti stock)</t>
    <phoneticPr fontId="1" type="noConversion"/>
  </si>
  <si>
    <t>Bundle with PSU750W and M27F monitor +MB</t>
    <phoneticPr fontId="1" type="noConversion"/>
  </si>
  <si>
    <t>GTX 1650Super =&gt; 1650</t>
    <phoneticPr fontId="1" type="noConversion"/>
  </si>
  <si>
    <t>RTX3090</t>
    <phoneticPr fontId="1" type="noConversion"/>
  </si>
  <si>
    <t>need 20 pcs 1500W PSU</t>
    <phoneticPr fontId="1" type="noConversion"/>
  </si>
  <si>
    <t>GV-RX570GAMING-4GD</t>
  </si>
  <si>
    <t>9VRX570G4-00-20</t>
  </si>
  <si>
    <t>N105TD4D-00</t>
    <phoneticPr fontId="49" type="noConversion"/>
  </si>
  <si>
    <t>N710D32L-00</t>
    <phoneticPr fontId="49" type="noConversion"/>
  </si>
  <si>
    <t>RX570G4-00</t>
  </si>
  <si>
    <t>2021-03-28</t>
  </si>
  <si>
    <t>AB</t>
  </si>
  <si>
    <t>&lt;AB&gt;</t>
  </si>
  <si>
    <t>POLAND</t>
  </si>
  <si>
    <t>UO2-L30569</t>
    <phoneticPr fontId="49" type="noConversion"/>
  </si>
  <si>
    <t>BOXX</t>
  </si>
  <si>
    <t>UO2-L30570</t>
    <phoneticPr fontId="49" type="noConversion"/>
  </si>
  <si>
    <t>&lt;BOXX&gt;</t>
  </si>
  <si>
    <t>UO2-L30571</t>
    <phoneticPr fontId="49" type="noConversion"/>
  </si>
  <si>
    <t>UO2-L30572</t>
    <phoneticPr fontId="49" type="noConversion"/>
  </si>
  <si>
    <t>NT CHS</t>
  </si>
  <si>
    <t>BOSNIA</t>
  </si>
  <si>
    <t>UO2-L30573</t>
    <phoneticPr fontId="49" type="noConversion"/>
  </si>
  <si>
    <t>UO2-L30563</t>
    <phoneticPr fontId="49" type="noConversion"/>
  </si>
  <si>
    <t>UO2-L30560</t>
    <phoneticPr fontId="49" type="noConversion"/>
  </si>
  <si>
    <t>UO2-L30594</t>
  </si>
  <si>
    <t>UO2-L30589</t>
  </si>
  <si>
    <t>UO2-L30562</t>
    <phoneticPr fontId="49" type="noConversion"/>
  </si>
  <si>
    <t>UO2-L30587</t>
  </si>
  <si>
    <t>UO2-L30552</t>
    <phoneticPr fontId="49" type="noConversion"/>
  </si>
  <si>
    <t>UO1-L30375</t>
    <phoneticPr fontId="49" type="noConversion"/>
  </si>
  <si>
    <t>UO2-L30554</t>
    <phoneticPr fontId="49" type="noConversion"/>
  </si>
  <si>
    <t>UO1-L30376</t>
    <phoneticPr fontId="49" type="noConversion"/>
  </si>
  <si>
    <t>UO2-L30590</t>
  </si>
  <si>
    <t>UO2-L30591</t>
  </si>
  <si>
    <t>UO2-L30592</t>
  </si>
  <si>
    <t>UO2-L30593</t>
  </si>
  <si>
    <t>UO2-L30564</t>
    <phoneticPr fontId="49" type="noConversion"/>
  </si>
  <si>
    <t>UO2-L30565</t>
    <phoneticPr fontId="49" type="noConversion"/>
  </si>
  <si>
    <t>UO2-L30588</t>
  </si>
  <si>
    <t>UO2-L30556</t>
    <phoneticPr fontId="49" type="noConversion"/>
  </si>
  <si>
    <t>UO2-L30566</t>
    <phoneticPr fontId="49" type="noConversion"/>
  </si>
  <si>
    <t>UO2-L30558</t>
    <phoneticPr fontId="49" type="noConversion"/>
  </si>
  <si>
    <r>
      <rPr>
        <sz val="8"/>
        <color rgb="FF000000"/>
        <rFont val="細明體"/>
        <family val="2"/>
        <charset val="136"/>
      </rPr>
      <t>出貨日</t>
    </r>
    <r>
      <rPr>
        <sz val="8"/>
        <color rgb="FF000000"/>
        <rFont val="Arial"/>
        <family val="2"/>
      </rPr>
      <t xml:space="preserve"> 4/3</t>
    </r>
    <phoneticPr fontId="49" type="noConversion"/>
  </si>
  <si>
    <t>GV-N1650OC-4GD</t>
    <phoneticPr fontId="1" type="noConversion"/>
  </si>
  <si>
    <t>WK13 20pcs</t>
    <phoneticPr fontId="1" type="noConversion"/>
  </si>
  <si>
    <t>ELCO</t>
    <phoneticPr fontId="1" type="noConversion"/>
  </si>
  <si>
    <t>Smartbox Turkestan club</t>
    <phoneticPr fontId="1" type="noConversion"/>
  </si>
  <si>
    <t>GV-N3060GAMING OC-12GD</t>
    <phoneticPr fontId="1" type="noConversion"/>
  </si>
  <si>
    <t>WK13 15pcs NL
WK14 5pcs</t>
    <phoneticPr fontId="1" type="noConversion"/>
  </si>
  <si>
    <t>WK14 10pcs</t>
    <phoneticPr fontId="1" type="noConversion"/>
  </si>
  <si>
    <t>WK14 20pcs</t>
    <phoneticPr fontId="1" type="noConversion"/>
  </si>
  <si>
    <t>G27F/MB/SSD/PSU</t>
    <phoneticPr fontId="1" type="noConversion"/>
  </si>
  <si>
    <t>WK14 11pcs</t>
    <phoneticPr fontId="1" type="noConversion"/>
  </si>
  <si>
    <t>WK13 30pcs
WK14 10pcs</t>
    <phoneticPr fontId="1" type="noConversion"/>
  </si>
  <si>
    <t>ELKO/ERC</t>
    <phoneticPr fontId="1" type="noConversion"/>
  </si>
  <si>
    <t>ELKO</t>
    <phoneticPr fontId="1" type="noConversion"/>
  </si>
  <si>
    <t>FI27Q / B460M DS3H V2/ GSM2NE3128GNTD + PSU</t>
    <phoneticPr fontId="1" type="noConversion"/>
  </si>
  <si>
    <t>Russian Railway</t>
    <phoneticPr fontId="1" type="noConversion"/>
  </si>
  <si>
    <t>WK14 62pcs</t>
    <phoneticPr fontId="1" type="noConversion"/>
  </si>
  <si>
    <t>no bundle</t>
    <phoneticPr fontId="1" type="noConversion"/>
  </si>
  <si>
    <t>WK14 6pcs</t>
    <phoneticPr fontId="1" type="noConversion"/>
  </si>
  <si>
    <t>Last Game Club</t>
    <phoneticPr fontId="1" type="noConversion"/>
  </si>
  <si>
    <t>Al-style</t>
    <phoneticPr fontId="1" type="noConversion"/>
  </si>
  <si>
    <t xml:space="preserve">EURASIA TV </t>
  </si>
  <si>
    <t>project EURASIA TV channel</t>
  </si>
  <si>
    <t>Bundle with 5 pcs Z590 Vision G, 5 pcs M27F (for working station upgrade)</t>
    <phoneticPr fontId="1" type="noConversion"/>
  </si>
  <si>
    <t>GV-N2080AORUS-8GC</t>
  </si>
  <si>
    <t>GV-N208SWF3OC-8GD</t>
  </si>
  <si>
    <t>9VN207SGWD-00-10</t>
  </si>
  <si>
    <t>9VN2080A-00-10</t>
  </si>
  <si>
    <t>9VN208SWO-00-10</t>
  </si>
  <si>
    <t>9VN306TGP-00-20</t>
  </si>
  <si>
    <t>9AN3090IE-TW-10</t>
  </si>
  <si>
    <t>N103D42L-00</t>
    <phoneticPr fontId="49" type="noConversion"/>
  </si>
  <si>
    <t>N105TO4D-00</t>
    <phoneticPr fontId="49" type="noConversion"/>
  </si>
  <si>
    <t>N105TO4L-00</t>
    <phoneticPr fontId="49" type="noConversion"/>
  </si>
  <si>
    <t>N2080A-00</t>
  </si>
  <si>
    <t>N208SWO-00</t>
  </si>
  <si>
    <t>N3090IE-TW</t>
  </si>
  <si>
    <t>R57XTA-00</t>
    <phoneticPr fontId="49" type="noConversion"/>
  </si>
  <si>
    <t>2021-04-04</t>
  </si>
  <si>
    <t>UO2-L30742</t>
    <phoneticPr fontId="49" type="noConversion"/>
  </si>
  <si>
    <t>UO2-L30743</t>
    <phoneticPr fontId="49" type="noConversion"/>
  </si>
  <si>
    <t>UO2-L30744</t>
    <phoneticPr fontId="49" type="noConversion"/>
  </si>
  <si>
    <t>UO2-L30745</t>
  </si>
  <si>
    <t>UO2-L30746</t>
  </si>
  <si>
    <t>UO2-L30723</t>
    <phoneticPr fontId="49" type="noConversion"/>
  </si>
  <si>
    <t>UO2-L30755</t>
  </si>
  <si>
    <t>UO2-L30756</t>
  </si>
  <si>
    <t>UO2-L30724</t>
    <phoneticPr fontId="49" type="noConversion"/>
  </si>
  <si>
    <t>UO2-L30750</t>
  </si>
  <si>
    <t>UO2-L30719</t>
    <phoneticPr fontId="49" type="noConversion"/>
  </si>
  <si>
    <t>UO1-L30510</t>
    <phoneticPr fontId="49" type="noConversion"/>
  </si>
  <si>
    <t>UO2-L30721</t>
    <phoneticPr fontId="49" type="noConversion"/>
  </si>
  <si>
    <t>UO1-L30511</t>
    <phoneticPr fontId="49" type="noConversion"/>
  </si>
  <si>
    <t>UO2-L30751</t>
  </si>
  <si>
    <t>UO2-L30752</t>
  </si>
  <si>
    <t>UO2-L30753</t>
  </si>
  <si>
    <t>UO2-L30754</t>
  </si>
  <si>
    <t>UO2-L30757</t>
  </si>
  <si>
    <t>UO2-L30725</t>
    <phoneticPr fontId="49" type="noConversion"/>
  </si>
  <si>
    <t>MIPS BEL</t>
  </si>
  <si>
    <t>UO2-L30726</t>
    <phoneticPr fontId="49" type="noConversion"/>
  </si>
  <si>
    <t>UO2-L30749</t>
  </si>
  <si>
    <t>UO2-L30727</t>
    <phoneticPr fontId="49" type="noConversion"/>
  </si>
  <si>
    <t>UO2-L30722</t>
    <phoneticPr fontId="49" type="noConversion"/>
  </si>
  <si>
    <t>A</t>
    <phoneticPr fontId="49" type="noConversion"/>
  </si>
  <si>
    <t>UO2-L30728</t>
    <phoneticPr fontId="49" type="noConversion"/>
  </si>
  <si>
    <t>UO2-L30729</t>
    <phoneticPr fontId="49" type="noConversion"/>
  </si>
  <si>
    <t>UO2-L30730</t>
    <phoneticPr fontId="49" type="noConversion"/>
  </si>
  <si>
    <t>WK14 100pcs
WK15 100pcs</t>
    <phoneticPr fontId="1" type="noConversion"/>
  </si>
  <si>
    <t>WK14 50pcs
WK15 50pcs</t>
    <phoneticPr fontId="1" type="noConversion"/>
  </si>
  <si>
    <t>WK15 40pcs</t>
    <phoneticPr fontId="1" type="noConversion"/>
  </si>
  <si>
    <t>GV-N166SGAMING OC-6GD</t>
    <phoneticPr fontId="1" type="noConversion"/>
  </si>
  <si>
    <t>WK14 20pcs
WK15 30pcs</t>
    <phoneticPr fontId="1" type="noConversion"/>
  </si>
  <si>
    <t>GV-R66EAGLE-8GD</t>
  </si>
  <si>
    <t>GV-R66XTEAGLE-8GD</t>
  </si>
  <si>
    <t>QUADRO P2200-NV</t>
  </si>
  <si>
    <t>QUADRO P620</t>
  </si>
  <si>
    <t>QUADRO RTX4000-NV</t>
  </si>
  <si>
    <t>9VN710D5GL-00-10</t>
  </si>
  <si>
    <t>9VR66E-00-10</t>
  </si>
  <si>
    <t>9VR66XTE-00-10</t>
  </si>
  <si>
    <t>9VRX582048-EC-20</t>
  </si>
  <si>
    <t>9VQP2200-NV-10</t>
  </si>
  <si>
    <t>9VQP620-00-20</t>
  </si>
  <si>
    <t>9VQR4000-NV-10</t>
  </si>
  <si>
    <t>N3090IE-00</t>
    <phoneticPr fontId="49" type="noConversion"/>
  </si>
  <si>
    <t>R66E-00</t>
  </si>
  <si>
    <t>R66XTE-00</t>
  </si>
  <si>
    <t>RX582048-EC</t>
  </si>
  <si>
    <t>QP2200-NV</t>
  </si>
  <si>
    <t>QP620-00</t>
  </si>
  <si>
    <t>QR4000-NV</t>
  </si>
  <si>
    <t>2021-04-11</t>
  </si>
  <si>
    <t>蜂巢</t>
  </si>
  <si>
    <r>
      <rPr>
        <sz val="8"/>
        <color rgb="FF000000"/>
        <rFont val="細明體"/>
        <family val="2"/>
        <charset val="136"/>
      </rPr>
      <t>出貨日</t>
    </r>
    <r>
      <rPr>
        <sz val="8"/>
        <color rgb="FF000000"/>
        <rFont val="Arial"/>
        <family val="2"/>
      </rPr>
      <t xml:space="preserve"> 4/17</t>
    </r>
    <phoneticPr fontId="49" type="noConversion"/>
  </si>
  <si>
    <t>WK12 100pcs
WK13 50pcs
WK16 50pcs</t>
    <phoneticPr fontId="1" type="noConversion"/>
  </si>
  <si>
    <t>Nazarbayev shools/univ</t>
    <phoneticPr fontId="1" type="noConversion"/>
  </si>
  <si>
    <t>GV-N207SWF3OC-8GC</t>
  </si>
  <si>
    <t>GV-N730D3-2GI</t>
  </si>
  <si>
    <t>9VN207SWOC-00-10</t>
  </si>
  <si>
    <t>9VN2060D6-00-20</t>
    <phoneticPr fontId="49" type="noConversion"/>
  </si>
  <si>
    <t>9VN730D32I-00-30</t>
  </si>
  <si>
    <t>N207SWOC-00</t>
  </si>
  <si>
    <t>R68XTGO-00</t>
    <phoneticPr fontId="49" type="noConversion"/>
  </si>
  <si>
    <t>R67XTE-00</t>
    <phoneticPr fontId="49" type="noConversion"/>
  </si>
  <si>
    <t>R57XTG-00</t>
    <phoneticPr fontId="49" type="noConversion"/>
  </si>
  <si>
    <t>R56XTWF-00</t>
    <phoneticPr fontId="49" type="noConversion"/>
  </si>
  <si>
    <t>R55XTD6-00</t>
    <phoneticPr fontId="49" type="noConversion"/>
  </si>
  <si>
    <t>R55XTD64-00</t>
    <phoneticPr fontId="49" type="noConversion"/>
  </si>
  <si>
    <t>RX580G8-00</t>
    <phoneticPr fontId="49" type="noConversion"/>
  </si>
  <si>
    <t>N3090AM-00</t>
    <phoneticPr fontId="49" type="noConversion"/>
  </si>
  <si>
    <t>N3080AW-00</t>
    <phoneticPr fontId="49" type="noConversion"/>
  </si>
  <si>
    <t>N3080AM-00</t>
    <phoneticPr fontId="49" type="noConversion"/>
  </si>
  <si>
    <t>N3080GWB-00</t>
    <phoneticPr fontId="49" type="noConversion"/>
  </si>
  <si>
    <t>N3080GO-00</t>
    <phoneticPr fontId="49" type="noConversion"/>
  </si>
  <si>
    <t>N3080VO-00</t>
    <phoneticPr fontId="49" type="noConversion"/>
  </si>
  <si>
    <t>N3080T-00</t>
    <phoneticPr fontId="49" type="noConversion"/>
  </si>
  <si>
    <t>N3070AM-00</t>
    <phoneticPr fontId="49" type="noConversion"/>
  </si>
  <si>
    <t>N3070GO-00</t>
    <phoneticPr fontId="49" type="noConversion"/>
  </si>
  <si>
    <t>N3070VO-00</t>
    <phoneticPr fontId="49" type="noConversion"/>
  </si>
  <si>
    <t>N3070EO-00</t>
    <phoneticPr fontId="49" type="noConversion"/>
  </si>
  <si>
    <t>N3070E-00</t>
    <phoneticPr fontId="49" type="noConversion"/>
  </si>
  <si>
    <t>N306TAM-00</t>
    <phoneticPr fontId="49" type="noConversion"/>
  </si>
  <si>
    <t>N306TGO-00</t>
    <phoneticPr fontId="49" type="noConversion"/>
  </si>
  <si>
    <t>N306TEO-00</t>
    <phoneticPr fontId="49" type="noConversion"/>
  </si>
  <si>
    <t>N306TGP-00</t>
    <phoneticPr fontId="49" type="noConversion"/>
  </si>
  <si>
    <t>N3060AE-00</t>
    <phoneticPr fontId="49" type="noConversion"/>
  </si>
  <si>
    <t>N3060GO-00</t>
    <phoneticPr fontId="49" type="noConversion"/>
  </si>
  <si>
    <t>N3060VO-00</t>
    <phoneticPr fontId="49" type="noConversion"/>
  </si>
  <si>
    <t>N3060E-00</t>
    <phoneticPr fontId="49" type="noConversion"/>
  </si>
  <si>
    <t>N2060O6-00</t>
    <phoneticPr fontId="49" type="noConversion"/>
  </si>
  <si>
    <t>N2060W26-00</t>
    <phoneticPr fontId="49" type="noConversion"/>
  </si>
  <si>
    <t>N2060D6-00</t>
    <phoneticPr fontId="49" type="noConversion"/>
  </si>
  <si>
    <t>N166TIX6-00</t>
    <phoneticPr fontId="49" type="noConversion"/>
  </si>
  <si>
    <t>N166SG6-00</t>
    <phoneticPr fontId="49" type="noConversion"/>
  </si>
  <si>
    <t>N1660O6-00</t>
    <phoneticPr fontId="49" type="noConversion"/>
  </si>
  <si>
    <t>N1656O4L-00</t>
    <phoneticPr fontId="49" type="noConversion"/>
  </si>
  <si>
    <t>N1656W24-00</t>
    <phoneticPr fontId="49" type="noConversion"/>
  </si>
  <si>
    <t>N1656D4L-00</t>
    <phoneticPr fontId="49" type="noConversion"/>
  </si>
  <si>
    <t>N1650O4-00</t>
    <phoneticPr fontId="49" type="noConversion"/>
  </si>
  <si>
    <t>N1650O4L-00</t>
    <phoneticPr fontId="49" type="noConversion"/>
  </si>
  <si>
    <t>N1030O2I-00</t>
    <phoneticPr fontId="49" type="noConversion"/>
  </si>
  <si>
    <t>N730D32I-00</t>
  </si>
  <si>
    <t>UO2-L40237</t>
    <phoneticPr fontId="49" type="noConversion"/>
  </si>
  <si>
    <t>2021-04-18</t>
  </si>
  <si>
    <t>UO1-L40177</t>
    <phoneticPr fontId="49" type="noConversion"/>
  </si>
  <si>
    <t>UO2-L40238</t>
    <phoneticPr fontId="49" type="noConversion"/>
  </si>
  <si>
    <t>UO1-L40178</t>
    <phoneticPr fontId="49" type="noConversion"/>
  </si>
  <si>
    <t>GBT-UK</t>
    <phoneticPr fontId="49" type="noConversion"/>
  </si>
  <si>
    <t>UF2-L40069</t>
    <phoneticPr fontId="49" type="noConversion"/>
  </si>
  <si>
    <t>UO2-L40220</t>
    <phoneticPr fontId="49" type="noConversion"/>
  </si>
  <si>
    <t>UO2-L40221</t>
    <phoneticPr fontId="49" type="noConversion"/>
  </si>
  <si>
    <t>UO2-L40222</t>
    <phoneticPr fontId="49" type="noConversion"/>
  </si>
  <si>
    <t>ED</t>
  </si>
  <si>
    <t>CZECH</t>
  </si>
  <si>
    <t>UO2-L40223</t>
    <phoneticPr fontId="49" type="noConversion"/>
  </si>
  <si>
    <t>UO2-L40224</t>
    <phoneticPr fontId="49" type="noConversion"/>
  </si>
  <si>
    <t>UO2-L40201</t>
    <phoneticPr fontId="49" type="noConversion"/>
  </si>
  <si>
    <t>UO2-L40199</t>
    <phoneticPr fontId="49" type="noConversion"/>
  </si>
  <si>
    <t>UO2-L40219</t>
  </si>
  <si>
    <t>UO2-L40225</t>
  </si>
  <si>
    <t>UO2-L40202</t>
    <phoneticPr fontId="49" type="noConversion"/>
  </si>
  <si>
    <t>UO2-L40234</t>
  </si>
  <si>
    <t>UO2-L40191</t>
    <phoneticPr fontId="49" type="noConversion"/>
  </si>
  <si>
    <t>UO1-L40151</t>
    <phoneticPr fontId="49" type="noConversion"/>
  </si>
  <si>
    <t>UO2-L40193</t>
    <phoneticPr fontId="49" type="noConversion"/>
  </si>
  <si>
    <t>UO1-L40152</t>
    <phoneticPr fontId="49" type="noConversion"/>
  </si>
  <si>
    <t>GFM</t>
  </si>
  <si>
    <t>UO2-L40226</t>
  </si>
  <si>
    <t>UO1-L40173</t>
  </si>
  <si>
    <t>UO2-L40229</t>
  </si>
  <si>
    <t>UO2-L40230</t>
  </si>
  <si>
    <t>UO2-L40231</t>
  </si>
  <si>
    <t>UO1-L40176</t>
  </si>
  <si>
    <t>UO2-L40203</t>
    <phoneticPr fontId="49" type="noConversion"/>
  </si>
  <si>
    <t>UO2-L40235</t>
  </si>
  <si>
    <t>NEW PCT</t>
  </si>
  <si>
    <t>UO2-L40233</t>
    <phoneticPr fontId="49" type="noConversion"/>
  </si>
  <si>
    <t>&lt;NEW PCT&gt;</t>
  </si>
  <si>
    <t>UO2-L40195</t>
    <phoneticPr fontId="49" type="noConversion"/>
  </si>
  <si>
    <t>SDC FZE</t>
  </si>
  <si>
    <t>UO2-L40232</t>
  </si>
  <si>
    <t>UO2-L40197</t>
    <phoneticPr fontId="49" type="noConversion"/>
  </si>
  <si>
    <t>UO2-L40204</t>
    <phoneticPr fontId="49" type="noConversion"/>
  </si>
  <si>
    <t>RUSSIA</t>
    <phoneticPr fontId="1" type="noConversion"/>
  </si>
  <si>
    <t>GV-R67XTAORUS E-12GD</t>
    <phoneticPr fontId="1" type="noConversion"/>
  </si>
  <si>
    <r>
      <rPr>
        <sz val="8"/>
        <color indexed="62"/>
        <rFont val="細明體"/>
        <family val="3"/>
        <charset val="136"/>
      </rPr>
      <t>備註</t>
    </r>
    <phoneticPr fontId="49" type="noConversion"/>
  </si>
  <si>
    <r>
      <rPr>
        <sz val="8"/>
        <color indexed="62"/>
        <rFont val="細明體"/>
        <family val="3"/>
        <charset val="136"/>
      </rPr>
      <t>廠區</t>
    </r>
    <phoneticPr fontId="49" type="noConversion"/>
  </si>
  <si>
    <r>
      <rPr>
        <b/>
        <sz val="8"/>
        <color indexed="10"/>
        <rFont val="新細明體"/>
        <family val="1"/>
        <charset val="136"/>
      </rPr>
      <t>加單否</t>
    </r>
    <r>
      <rPr>
        <b/>
        <sz val="8"/>
        <color indexed="10"/>
        <rFont val="Arial"/>
        <family val="2"/>
      </rPr>
      <t>(Y/N)</t>
    </r>
    <phoneticPr fontId="49" type="noConversion"/>
  </si>
  <si>
    <r>
      <rPr>
        <sz val="8"/>
        <color theme="1"/>
        <rFont val="新細明體"/>
        <family val="2"/>
        <charset val="136"/>
      </rPr>
      <t>等級</t>
    </r>
    <phoneticPr fontId="49" type="noConversion"/>
  </si>
  <si>
    <r>
      <rPr>
        <sz val="8"/>
        <color theme="1"/>
        <rFont val="新細明體"/>
        <family val="2"/>
        <charset val="136"/>
      </rPr>
      <t>海</t>
    </r>
    <r>
      <rPr>
        <sz val="8"/>
        <rFont val="Arial"/>
        <family val="2"/>
      </rPr>
      <t xml:space="preserve">/    </t>
    </r>
    <r>
      <rPr>
        <sz val="8"/>
        <color theme="1"/>
        <rFont val="新細明體"/>
        <family val="2"/>
        <charset val="136"/>
      </rPr>
      <t>空運</t>
    </r>
    <phoneticPr fontId="49" type="noConversion"/>
  </si>
  <si>
    <r>
      <rPr>
        <sz val="8"/>
        <color theme="1"/>
        <rFont val="新細明體"/>
        <family val="2"/>
        <charset val="136"/>
      </rPr>
      <t>部門</t>
    </r>
    <phoneticPr fontId="49" type="noConversion"/>
  </si>
  <si>
    <r>
      <rPr>
        <sz val="8"/>
        <color theme="1"/>
        <rFont val="新細明體"/>
        <family val="2"/>
        <charset val="136"/>
      </rPr>
      <t>廠別</t>
    </r>
    <phoneticPr fontId="49" type="noConversion"/>
  </si>
  <si>
    <r>
      <rPr>
        <sz val="8"/>
        <color indexed="62"/>
        <rFont val="細明體"/>
        <family val="3"/>
        <charset val="136"/>
      </rPr>
      <t>製單人</t>
    </r>
    <phoneticPr fontId="49" type="noConversion"/>
  </si>
  <si>
    <t>GV-N3060AORUS E-12GD</t>
    <phoneticPr fontId="1" type="noConversion"/>
  </si>
  <si>
    <t>GV-N1656OC-4GD</t>
    <phoneticPr fontId="1" type="noConversion"/>
  </si>
  <si>
    <t>GV-N3080AORUS X-10GD</t>
    <phoneticPr fontId="1" type="noConversion"/>
  </si>
  <si>
    <t>NP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</si>
</sst>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6" formatCode="&quot;$&quot;#,##0;[Red]\-&quot;$&quot;#,##0"/>
    <numFmt numFmtId="176" formatCode="0_);[Red]\(0\)"/>
    <numFmt numFmtId="177" formatCode="#,##0_);[Red]\(#,##0\)"/>
    <numFmt numFmtId="178" formatCode="_-* #,##0.0\ &quot;₽&quot;_-;\-* #,##0.0\ &quot;₽&quot;_-;_-* &quot;-&quot;?\ &quot;₽&quot;_-;_-@_-"/>
    <numFmt numFmtId="179" formatCode="_-* #,##0\ &quot;₽&quot;_-;\-* #,##0\ &quot;₽&quot;_-;_-* &quot;-&quot;?\ &quot;₽&quot;_-;_-@_-"/>
  </numFmts>
  <fonts count="76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0"/>
      <color theme="1"/>
      <name val="Calibri"/>
      <family val="2"/>
    </font>
    <font>
      <sz val="12"/>
      <color rgb="FF000000"/>
      <name val="Calibri"/>
      <family val="2"/>
    </font>
    <font>
      <sz val="12"/>
      <color theme="1"/>
      <name val="Calibri"/>
      <family val="2"/>
    </font>
    <font>
      <sz val="12"/>
      <color rgb="FF000080"/>
      <name val="Calibri"/>
      <family val="2"/>
    </font>
    <font>
      <sz val="12"/>
      <color rgb="FFFF0000"/>
      <name val="Calibri"/>
      <family val="2"/>
    </font>
    <font>
      <sz val="8"/>
      <color theme="1"/>
      <name val="Calibri"/>
      <family val="2"/>
    </font>
    <font>
      <sz val="8"/>
      <color rgb="FF000080"/>
      <name val="Calibri"/>
      <family val="2"/>
    </font>
    <font>
      <sz val="10"/>
      <color rgb="FF000000"/>
      <name val="Calibri"/>
      <family val="2"/>
    </font>
    <font>
      <b/>
      <sz val="10"/>
      <color rgb="FF000000"/>
      <name val="Calibri"/>
      <family val="2"/>
    </font>
    <font>
      <b/>
      <sz val="10"/>
      <color theme="1"/>
      <name val="Calibri"/>
      <family val="2"/>
    </font>
    <font>
      <b/>
      <sz val="12"/>
      <name val="Calibri"/>
      <family val="2"/>
    </font>
    <font>
      <b/>
      <sz val="10"/>
      <color rgb="FFFF0000"/>
      <name val="Calibri"/>
      <family val="2"/>
    </font>
    <font>
      <sz val="10"/>
      <color rgb="FFFF0000"/>
      <name val="Calibri"/>
      <family val="2"/>
    </font>
    <font>
      <sz val="10"/>
      <color rgb="FF000080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b/>
      <sz val="9"/>
      <color theme="1"/>
      <name val="Calibri"/>
      <family val="2"/>
    </font>
    <font>
      <b/>
      <sz val="10"/>
      <color rgb="FF333399"/>
      <name val="Calibri"/>
      <family val="2"/>
    </font>
    <font>
      <b/>
      <sz val="10"/>
      <color rgb="FFFF0000"/>
      <name val="細明體"/>
      <family val="3"/>
      <charset val="136"/>
    </font>
    <font>
      <sz val="10"/>
      <color rgb="FF1F497D"/>
      <name val="Calibri"/>
      <family val="2"/>
    </font>
    <font>
      <sz val="12"/>
      <color theme="1"/>
      <name val="新細明體"/>
      <family val="2"/>
      <charset val="136"/>
      <scheme val="minor"/>
    </font>
    <font>
      <sz val="10"/>
      <color indexed="18"/>
      <name val="Calibri"/>
      <family val="2"/>
    </font>
    <font>
      <sz val="10"/>
      <color rgb="FF333399"/>
      <name val="Calibri"/>
      <family val="2"/>
    </font>
    <font>
      <sz val="11"/>
      <color rgb="FF000000"/>
      <name val="Calibri"/>
      <family val="2"/>
    </font>
    <font>
      <sz val="10"/>
      <color theme="0"/>
      <name val="Calibri"/>
      <family val="2"/>
    </font>
    <font>
      <b/>
      <sz val="10"/>
      <color theme="0"/>
      <name val="Calibri"/>
      <family val="2"/>
    </font>
    <font>
      <b/>
      <sz val="11"/>
      <color rgb="FF000000"/>
      <name val="Calibri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Calibri"/>
      <family val="2"/>
      <charset val="204"/>
    </font>
    <font>
      <sz val="8"/>
      <color rgb="FFFF0000"/>
      <name val="Arial"/>
      <family val="2"/>
    </font>
    <font>
      <sz val="8"/>
      <color rgb="FF000000"/>
      <name val="Arial"/>
      <family val="2"/>
    </font>
    <font>
      <sz val="8"/>
      <color theme="1"/>
      <name val="Arial"/>
      <family val="2"/>
    </font>
    <font>
      <sz val="8"/>
      <color rgb="FF333399"/>
      <name val="MingLiu"/>
      <family val="3"/>
      <charset val="136"/>
    </font>
    <font>
      <sz val="8"/>
      <color rgb="FF000000"/>
      <name val="細明體"/>
      <family val="3"/>
      <charset val="136"/>
    </font>
    <font>
      <sz val="8"/>
      <color rgb="FF333399"/>
      <name val="Arial"/>
      <family val="2"/>
    </font>
    <font>
      <sz val="8"/>
      <color theme="1"/>
      <name val="新細明體"/>
      <family val="2"/>
      <charset val="136"/>
      <scheme val="minor"/>
    </font>
    <font>
      <sz val="8"/>
      <color rgb="FF000080"/>
      <name val="Arial"/>
      <family val="2"/>
    </font>
    <font>
      <b/>
      <sz val="8"/>
      <color rgb="FFFF0000"/>
      <name val="Arial"/>
      <family val="2"/>
    </font>
    <font>
      <b/>
      <sz val="8"/>
      <color rgb="FFFF0000"/>
      <name val="新細明體"/>
      <family val="1"/>
      <charset val="136"/>
    </font>
    <font>
      <sz val="8"/>
      <color theme="1"/>
      <name val="新細明體"/>
      <family val="1"/>
      <charset val="136"/>
    </font>
    <font>
      <b/>
      <sz val="8"/>
      <color theme="1"/>
      <name val="Arial"/>
      <family val="2"/>
    </font>
    <font>
      <b/>
      <sz val="8"/>
      <color theme="0"/>
      <name val="Arial"/>
      <family val="2"/>
    </font>
    <font>
      <sz val="8"/>
      <color rgb="FF333399"/>
      <name val="新細明體"/>
      <family val="1"/>
      <charset val="136"/>
    </font>
    <font>
      <sz val="8"/>
      <name val="PMingLiu"/>
      <family val="1"/>
      <charset val="136"/>
    </font>
    <font>
      <sz val="8"/>
      <name val="Arial"/>
      <family val="2"/>
    </font>
    <font>
      <b/>
      <sz val="8"/>
      <color theme="1"/>
      <name val="Calibri"/>
      <family val="2"/>
    </font>
    <font>
      <sz val="9"/>
      <name val="新細明體"/>
      <family val="1"/>
      <charset val="136"/>
    </font>
    <font>
      <sz val="8"/>
      <color indexed="10"/>
      <name val="Arial"/>
      <family val="2"/>
    </font>
    <font>
      <sz val="8"/>
      <color indexed="8"/>
      <name val="Arial"/>
      <family val="2"/>
    </font>
    <font>
      <sz val="8"/>
      <color indexed="62"/>
      <name val="細明體"/>
      <family val="3"/>
      <charset val="136"/>
    </font>
    <font>
      <sz val="8"/>
      <color indexed="62"/>
      <name val="Arial"/>
      <family val="2"/>
    </font>
    <font>
      <sz val="8"/>
      <color indexed="18"/>
      <name val="Arial"/>
      <family val="2"/>
    </font>
    <font>
      <b/>
      <sz val="8"/>
      <color indexed="10"/>
      <name val="Arial"/>
      <family val="2"/>
    </font>
    <font>
      <b/>
      <sz val="8"/>
      <color indexed="10"/>
      <name val="新細明體"/>
      <family val="1"/>
      <charset val="136"/>
    </font>
    <font>
      <b/>
      <sz val="8"/>
      <name val="Arial"/>
      <family val="2"/>
    </font>
    <font>
      <sz val="8"/>
      <color indexed="62"/>
      <name val="新細明體"/>
      <family val="1"/>
      <charset val="136"/>
    </font>
    <font>
      <sz val="8"/>
      <color theme="1"/>
      <name val="新細明體"/>
      <family val="2"/>
      <charset val="136"/>
    </font>
    <font>
      <b/>
      <sz val="9"/>
      <color indexed="81"/>
      <name val="Tahoma"/>
      <family val="2"/>
    </font>
    <font>
      <b/>
      <sz val="9"/>
      <color indexed="81"/>
      <name val="細明體"/>
      <family val="3"/>
      <charset val="136"/>
    </font>
    <font>
      <sz val="9"/>
      <color indexed="81"/>
      <name val="Tahoma"/>
      <family val="2"/>
    </font>
    <font>
      <sz val="9"/>
      <color indexed="81"/>
      <name val="細明體"/>
      <family val="3"/>
      <charset val="136"/>
    </font>
    <font>
      <sz val="8"/>
      <color theme="1"/>
      <name val="細明體"/>
      <family val="3"/>
      <charset val="136"/>
    </font>
    <font>
      <b/>
      <sz val="9"/>
      <color rgb="FF000000"/>
      <name val="Tahoma"/>
      <family val="2"/>
    </font>
    <font>
      <b/>
      <sz val="9"/>
      <color rgb="FF000000"/>
      <name val="細明體"/>
      <family val="1"/>
      <charset val="136"/>
    </font>
    <font>
      <sz val="9"/>
      <color rgb="FF000000"/>
      <name val="Tahoma"/>
      <family val="2"/>
    </font>
    <font>
      <sz val="9"/>
      <color rgb="FF000000"/>
      <name val="細明體"/>
      <family val="1"/>
      <charset val="136"/>
    </font>
    <font>
      <b/>
      <sz val="8"/>
      <color indexed="62"/>
      <name val="Arial"/>
      <family val="2"/>
    </font>
    <font>
      <sz val="8"/>
      <color rgb="FF000000"/>
      <name val="細明體"/>
      <family val="2"/>
      <charset val="136"/>
    </font>
    <font>
      <b/>
      <sz val="8"/>
      <color rgb="FFC00000"/>
      <name val="Arial"/>
      <family val="2"/>
    </font>
    <font>
      <sz val="12"/>
      <color indexed="0"/>
      <name val="新細明體"/>
      <family val="1"/>
      <charset val="136"/>
    </font>
    <font>
      <sz val="8"/>
      <color indexed="0"/>
      <name val="Arial"/>
      <family val="2"/>
    </font>
    <font>
      <b/>
      <sz val="10"/>
      <color rgb="FF000000"/>
      <name val="Microsoft JhengHei UI"/>
      <family val="2"/>
      <charset val="1"/>
    </font>
    <font>
      <sz val="10"/>
      <color rgb="FF000000"/>
      <name val="Microsoft JhengHei UI"/>
      <family val="2"/>
      <charset val="1"/>
    </font>
  </fonts>
  <fills count="42">
    <fill>
      <patternFill patternType="none"/>
    </fill>
    <fill>
      <patternFill patternType="gray125"/>
    </fill>
    <fill>
      <patternFill patternType="solid">
        <fgColor rgb="FFF9CB9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CFE2F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rgb="FFFFC000"/>
      </patternFill>
    </fill>
    <fill>
      <patternFill patternType="solid">
        <fgColor rgb="FFFFFF00"/>
        <bgColor rgb="FFFFFF00"/>
      </patternFill>
    </fill>
    <fill>
      <patternFill patternType="solid">
        <fgColor rgb="FFFF99CC"/>
        <bgColor rgb="FFFF99CC"/>
      </patternFill>
    </fill>
    <fill>
      <patternFill patternType="solid">
        <fgColor rgb="FF00FF00"/>
        <bgColor rgb="FF00FF00"/>
      </patternFill>
    </fill>
    <fill>
      <patternFill patternType="solid">
        <fgColor rgb="FFFF99FF"/>
        <bgColor rgb="FFFF99FF"/>
      </patternFill>
    </fill>
    <fill>
      <patternFill patternType="solid">
        <fgColor rgb="FFB6D7A8"/>
        <bgColor rgb="FFB6D7A8"/>
      </patternFill>
    </fill>
    <fill>
      <patternFill patternType="solid">
        <fgColor rgb="FFF2DBDB"/>
        <bgColor rgb="FFF2DBDB"/>
      </patternFill>
    </fill>
    <fill>
      <patternFill patternType="solid">
        <fgColor theme="6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rgb="FF000000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BBB59"/>
        <bgColor rgb="FF000000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B0F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</borders>
  <cellStyleXfs count="3">
    <xf numFmtId="0" fontId="0" fillId="0" borderId="0">
      <alignment vertical="center"/>
    </xf>
    <xf numFmtId="9" fontId="22" fillId="0" borderId="0" applyFont="0" applyFill="0" applyBorder="0" applyAlignment="0" applyProtection="0">
      <alignment vertical="center"/>
    </xf>
    <xf numFmtId="0" fontId="72" fillId="0" borderId="0">
      <alignment horizontal="left"/>
    </xf>
  </cellStyleXfs>
  <cellXfs count="429">
    <xf numFmtId="0" fontId="0" fillId="0" borderId="0" xfId="0">
      <alignment vertical="center"/>
    </xf>
    <xf numFmtId="0" fontId="2" fillId="0" borderId="0" xfId="0" applyFont="1" applyAlignment="1">
      <alignment wrapText="1"/>
    </xf>
    <xf numFmtId="0" fontId="3" fillId="2" borderId="0" xfId="0" applyFont="1" applyFill="1" applyAlignment="1">
      <alignment horizontal="center" wrapText="1"/>
    </xf>
    <xf numFmtId="0" fontId="4" fillId="0" borderId="0" xfId="0" applyFont="1">
      <alignment vertical="center"/>
    </xf>
    <xf numFmtId="0" fontId="5" fillId="0" borderId="0" xfId="0" applyFont="1" applyAlignment="1">
      <alignment horizontal="center" wrapText="1"/>
    </xf>
    <xf numFmtId="0" fontId="2" fillId="0" borderId="0" xfId="0" applyFont="1" applyAlignment="1">
      <alignment vertical="center" wrapText="1"/>
    </xf>
    <xf numFmtId="0" fontId="4" fillId="0" borderId="0" xfId="0" applyFont="1" applyAlignment="1">
      <alignment horizontal="center" wrapText="1"/>
    </xf>
    <xf numFmtId="0" fontId="7" fillId="0" borderId="0" xfId="0" applyFont="1" applyAlignment="1">
      <alignment wrapText="1"/>
    </xf>
    <xf numFmtId="0" fontId="8" fillId="0" borderId="0" xfId="0" applyFont="1" applyAlignment="1">
      <alignment horizontal="center" wrapText="1"/>
    </xf>
    <xf numFmtId="0" fontId="7" fillId="0" borderId="0" xfId="0" applyFont="1">
      <alignment vertical="center"/>
    </xf>
    <xf numFmtId="0" fontId="8" fillId="4" borderId="0" xfId="0" applyFont="1" applyFill="1" applyAlignment="1">
      <alignment horizontal="center" wrapText="1"/>
    </xf>
    <xf numFmtId="0" fontId="2" fillId="0" borderId="0" xfId="0" applyFont="1" applyBorder="1" applyAlignment="1">
      <alignment vertical="center" wrapText="1"/>
    </xf>
    <xf numFmtId="0" fontId="2" fillId="0" borderId="0" xfId="0" applyFont="1" applyBorder="1" applyAlignment="1">
      <alignment wrapText="1"/>
    </xf>
    <xf numFmtId="0" fontId="6" fillId="3" borderId="0" xfId="0" applyFont="1" applyFill="1" applyBorder="1" applyAlignment="1">
      <alignment horizont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6" borderId="1" xfId="0" applyFont="1" applyFill="1" applyBorder="1" applyAlignment="1">
      <alignment vertical="center" wrapText="1"/>
    </xf>
    <xf numFmtId="0" fontId="3" fillId="5" borderId="1" xfId="0" applyFont="1" applyFill="1" applyBorder="1" applyAlignment="1">
      <alignment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>
      <alignment vertical="center"/>
    </xf>
    <xf numFmtId="0" fontId="11" fillId="0" borderId="0" xfId="0" applyFont="1">
      <alignment vertical="center"/>
    </xf>
    <xf numFmtId="0" fontId="10" fillId="7" borderId="1" xfId="0" applyFont="1" applyFill="1" applyBorder="1" applyAlignment="1">
      <alignment horizontal="right" vertical="center" wrapText="1"/>
    </xf>
    <xf numFmtId="0" fontId="11" fillId="7" borderId="1" xfId="0" applyFont="1" applyFill="1" applyBorder="1" applyAlignment="1">
      <alignment horizontal="center" vertical="center" wrapText="1"/>
    </xf>
    <xf numFmtId="0" fontId="9" fillId="8" borderId="1" xfId="0" applyFont="1" applyFill="1" applyBorder="1" applyAlignment="1">
      <alignment horizontal="right" vertical="center" wrapText="1"/>
    </xf>
    <xf numFmtId="0" fontId="11" fillId="8" borderId="1" xfId="0" applyFont="1" applyFill="1" applyBorder="1" applyAlignment="1">
      <alignment horizontal="center" vertical="center" wrapText="1"/>
    </xf>
    <xf numFmtId="0" fontId="12" fillId="9" borderId="1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/>
    </xf>
    <xf numFmtId="0" fontId="9" fillId="10" borderId="0" xfId="0" applyFont="1" applyFill="1">
      <alignment vertical="center"/>
    </xf>
    <xf numFmtId="0" fontId="10" fillId="10" borderId="0" xfId="0" applyFont="1" applyFill="1" applyAlignment="1">
      <alignment horizontal="center" vertical="center"/>
    </xf>
    <xf numFmtId="0" fontId="9" fillId="10" borderId="0" xfId="0" applyFont="1" applyFill="1" applyAlignment="1">
      <alignment horizontal="center" vertical="center"/>
    </xf>
    <xf numFmtId="0" fontId="9" fillId="10" borderId="0" xfId="0" applyFont="1" applyFill="1" applyAlignment="1">
      <alignment horizontal="right" vertical="center"/>
    </xf>
    <xf numFmtId="0" fontId="10" fillId="10" borderId="0" xfId="0" applyFont="1" applyFill="1" applyAlignment="1">
      <alignment horizontal="right" vertical="center"/>
    </xf>
    <xf numFmtId="0" fontId="9" fillId="0" borderId="0" xfId="0" applyFont="1">
      <alignment vertical="center"/>
    </xf>
    <xf numFmtId="0" fontId="10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right" vertical="center"/>
    </xf>
    <xf numFmtId="0" fontId="10" fillId="0" borderId="0" xfId="0" applyFont="1" applyAlignment="1">
      <alignment horizontal="right" vertical="center"/>
    </xf>
    <xf numFmtId="0" fontId="14" fillId="10" borderId="0" xfId="0" applyFont="1" applyFill="1">
      <alignment vertical="center"/>
    </xf>
    <xf numFmtId="0" fontId="14" fillId="0" borderId="0" xfId="0" applyFont="1">
      <alignment vertical="center"/>
    </xf>
    <xf numFmtId="0" fontId="14" fillId="10" borderId="3" xfId="0" applyFont="1" applyFill="1" applyBorder="1">
      <alignment vertical="center"/>
    </xf>
    <xf numFmtId="0" fontId="10" fillId="10" borderId="3" xfId="0" applyFont="1" applyFill="1" applyBorder="1" applyAlignment="1">
      <alignment horizontal="center" vertical="center"/>
    </xf>
    <xf numFmtId="0" fontId="9" fillId="10" borderId="3" xfId="0" applyFont="1" applyFill="1" applyBorder="1" applyAlignment="1">
      <alignment horizontal="center" vertical="center"/>
    </xf>
    <xf numFmtId="0" fontId="9" fillId="10" borderId="3" xfId="0" applyFont="1" applyFill="1" applyBorder="1" applyAlignment="1">
      <alignment horizontal="right" vertical="center"/>
    </xf>
    <xf numFmtId="0" fontId="10" fillId="10" borderId="3" xfId="0" applyFont="1" applyFill="1" applyBorder="1" applyAlignment="1">
      <alignment horizontal="right" vertical="center"/>
    </xf>
    <xf numFmtId="10" fontId="9" fillId="0" borderId="1" xfId="0" applyNumberFormat="1" applyFont="1" applyBorder="1" applyAlignment="1">
      <alignment horizontal="right" vertical="center" wrapText="1"/>
    </xf>
    <xf numFmtId="10" fontId="9" fillId="6" borderId="1" xfId="0" applyNumberFormat="1" applyFont="1" applyFill="1" applyBorder="1" applyAlignment="1">
      <alignment horizontal="right" vertical="center" wrapText="1"/>
    </xf>
    <xf numFmtId="10" fontId="9" fillId="5" borderId="1" xfId="0" applyNumberFormat="1" applyFont="1" applyFill="1" applyBorder="1" applyAlignment="1">
      <alignment horizontal="right" vertical="center" wrapText="1"/>
    </xf>
    <xf numFmtId="9" fontId="9" fillId="0" borderId="1" xfId="0" applyNumberFormat="1" applyFont="1" applyBorder="1" applyAlignment="1">
      <alignment horizontal="right" vertical="center" wrapText="1"/>
    </xf>
    <xf numFmtId="9" fontId="9" fillId="0" borderId="4" xfId="0" applyNumberFormat="1" applyFont="1" applyBorder="1" applyAlignment="1">
      <alignment horizontal="right" vertical="center" wrapText="1"/>
    </xf>
    <xf numFmtId="10" fontId="9" fillId="0" borderId="4" xfId="0" applyNumberFormat="1" applyFont="1" applyBorder="1" applyAlignment="1">
      <alignment horizontal="right" vertical="center" wrapText="1"/>
    </xf>
    <xf numFmtId="10" fontId="9" fillId="6" borderId="4" xfId="0" applyNumberFormat="1" applyFont="1" applyFill="1" applyBorder="1" applyAlignment="1">
      <alignment horizontal="right" vertical="center" wrapText="1"/>
    </xf>
    <xf numFmtId="10" fontId="9" fillId="5" borderId="4" xfId="0" applyNumberFormat="1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vertical="center"/>
    </xf>
    <xf numFmtId="0" fontId="15" fillId="0" borderId="1" xfId="0" applyFont="1" applyBorder="1" applyAlignment="1">
      <alignment horizontal="right" wrapText="1"/>
    </xf>
    <xf numFmtId="0" fontId="10" fillId="0" borderId="1" xfId="0" applyFont="1" applyBorder="1" applyAlignment="1">
      <alignment horizontal="right" vertical="center" wrapText="1"/>
    </xf>
    <xf numFmtId="0" fontId="10" fillId="6" borderId="1" xfId="0" applyFont="1" applyFill="1" applyBorder="1" applyAlignment="1">
      <alignment horizontal="right" vertical="center" wrapText="1"/>
    </xf>
    <xf numFmtId="0" fontId="10" fillId="5" borderId="1" xfId="0" applyFont="1" applyFill="1" applyBorder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15" fillId="11" borderId="1" xfId="0" applyFont="1" applyFill="1" applyBorder="1" applyAlignment="1">
      <alignment horizontal="right" wrapText="1"/>
    </xf>
    <xf numFmtId="0" fontId="2" fillId="11" borderId="1" xfId="0" applyFont="1" applyFill="1" applyBorder="1" applyAlignment="1">
      <alignment horizontal="right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5" fillId="0" borderId="12" xfId="0" applyFont="1" applyBorder="1" applyAlignment="1">
      <alignment horizontal="right" wrapText="1"/>
    </xf>
    <xf numFmtId="0" fontId="2" fillId="11" borderId="13" xfId="0" applyFont="1" applyFill="1" applyBorder="1" applyAlignment="1">
      <alignment horizontal="right" vertical="center" wrapText="1"/>
    </xf>
    <xf numFmtId="0" fontId="15" fillId="12" borderId="9" xfId="0" applyFont="1" applyFill="1" applyBorder="1" applyAlignment="1">
      <alignment horizontal="right" wrapText="1"/>
    </xf>
    <xf numFmtId="0" fontId="15" fillId="12" borderId="10" xfId="0" applyFont="1" applyFill="1" applyBorder="1" applyAlignment="1">
      <alignment horizontal="right" wrapText="1"/>
    </xf>
    <xf numFmtId="0" fontId="2" fillId="12" borderId="10" xfId="0" applyFont="1" applyFill="1" applyBorder="1" applyAlignment="1">
      <alignment horizontal="right" vertical="center" wrapText="1"/>
    </xf>
    <xf numFmtId="0" fontId="2" fillId="12" borderId="11" xfId="0" applyFont="1" applyFill="1" applyBorder="1" applyAlignment="1">
      <alignment horizontal="right" vertical="center" wrapText="1"/>
    </xf>
    <xf numFmtId="0" fontId="15" fillId="12" borderId="1" xfId="0" applyFont="1" applyFill="1" applyBorder="1" applyAlignment="1">
      <alignment horizontal="right" wrapText="1"/>
    </xf>
    <xf numFmtId="0" fontId="2" fillId="12" borderId="1" xfId="0" applyFont="1" applyFill="1" applyBorder="1" applyAlignment="1">
      <alignment horizontal="right" vertical="center" wrapText="1"/>
    </xf>
    <xf numFmtId="0" fontId="15" fillId="12" borderId="12" xfId="0" applyFont="1" applyFill="1" applyBorder="1" applyAlignment="1">
      <alignment horizontal="right" wrapText="1"/>
    </xf>
    <xf numFmtId="0" fontId="2" fillId="12" borderId="13" xfId="0" applyFont="1" applyFill="1" applyBorder="1" applyAlignment="1">
      <alignment horizontal="right" vertical="center" wrapText="1"/>
    </xf>
    <xf numFmtId="0" fontId="15" fillId="12" borderId="14" xfId="0" applyFont="1" applyFill="1" applyBorder="1" applyAlignment="1">
      <alignment horizontal="right" wrapText="1"/>
    </xf>
    <xf numFmtId="0" fontId="15" fillId="12" borderId="15" xfId="0" applyFont="1" applyFill="1" applyBorder="1" applyAlignment="1">
      <alignment horizontal="right" wrapText="1"/>
    </xf>
    <xf numFmtId="0" fontId="2" fillId="12" borderId="15" xfId="0" applyFont="1" applyFill="1" applyBorder="1" applyAlignment="1">
      <alignment horizontal="right" vertical="center" wrapText="1"/>
    </xf>
    <xf numFmtId="0" fontId="2" fillId="12" borderId="16" xfId="0" applyFont="1" applyFill="1" applyBorder="1" applyAlignment="1">
      <alignment horizontal="right" vertical="center" wrapText="1"/>
    </xf>
    <xf numFmtId="0" fontId="16" fillId="12" borderId="10" xfId="0" applyFont="1" applyFill="1" applyBorder="1" applyAlignment="1">
      <alignment horizontal="right" vertical="center" wrapText="1"/>
    </xf>
    <xf numFmtId="0" fontId="16" fillId="11" borderId="1" xfId="0" applyFont="1" applyFill="1" applyBorder="1" applyAlignment="1">
      <alignment horizontal="right" vertical="center" wrapText="1"/>
    </xf>
    <xf numFmtId="0" fontId="16" fillId="12" borderId="1" xfId="0" applyFont="1" applyFill="1" applyBorder="1" applyAlignment="1">
      <alignment horizontal="right" vertical="center" wrapText="1"/>
    </xf>
    <xf numFmtId="0" fontId="16" fillId="12" borderId="15" xfId="0" applyFont="1" applyFill="1" applyBorder="1" applyAlignment="1">
      <alignment horizontal="right" vertical="center" wrapText="1"/>
    </xf>
    <xf numFmtId="0" fontId="17" fillId="12" borderId="10" xfId="0" applyFont="1" applyFill="1" applyBorder="1" applyAlignment="1">
      <alignment horizontal="right" vertical="center" wrapText="1"/>
    </xf>
    <xf numFmtId="0" fontId="17" fillId="11" borderId="1" xfId="0" applyFont="1" applyFill="1" applyBorder="1" applyAlignment="1">
      <alignment horizontal="right" vertical="center" wrapText="1"/>
    </xf>
    <xf numFmtId="0" fontId="17" fillId="12" borderId="1" xfId="0" applyFont="1" applyFill="1" applyBorder="1" applyAlignment="1">
      <alignment horizontal="right" vertical="center" wrapText="1"/>
    </xf>
    <xf numFmtId="0" fontId="17" fillId="12" borderId="15" xfId="0" applyFont="1" applyFill="1" applyBorder="1" applyAlignment="1">
      <alignment horizontal="right" vertical="center" wrapText="1"/>
    </xf>
    <xf numFmtId="0" fontId="18" fillId="8" borderId="6" xfId="0" applyFont="1" applyFill="1" applyBorder="1" applyAlignment="1">
      <alignment horizontal="center" vertical="center"/>
    </xf>
    <xf numFmtId="0" fontId="11" fillId="14" borderId="6" xfId="0" applyFont="1" applyFill="1" applyBorder="1" applyAlignment="1">
      <alignment horizontal="center" vertical="center"/>
    </xf>
    <xf numFmtId="0" fontId="10" fillId="13" borderId="7" xfId="0" applyFont="1" applyFill="1" applyBorder="1" applyAlignment="1">
      <alignment horizontal="center" vertical="center" wrapText="1"/>
    </xf>
    <xf numFmtId="0" fontId="10" fillId="15" borderId="7" xfId="0" applyFont="1" applyFill="1" applyBorder="1" applyAlignment="1">
      <alignment horizontal="center" vertical="center" wrapText="1"/>
    </xf>
    <xf numFmtId="0" fontId="11" fillId="16" borderId="6" xfId="0" applyFont="1" applyFill="1" applyBorder="1" applyAlignment="1">
      <alignment horizontal="center" vertical="center"/>
    </xf>
    <xf numFmtId="0" fontId="11" fillId="17" borderId="8" xfId="0" applyFont="1" applyFill="1" applyBorder="1" applyAlignment="1">
      <alignment horizontal="center" vertical="center"/>
    </xf>
    <xf numFmtId="0" fontId="2" fillId="0" borderId="17" xfId="0" applyFont="1" applyBorder="1" applyAlignment="1">
      <alignment wrapText="1"/>
    </xf>
    <xf numFmtId="0" fontId="9" fillId="0" borderId="17" xfId="0" applyFont="1" applyBorder="1" applyAlignment="1">
      <alignment horizontal="right" wrapText="1"/>
    </xf>
    <xf numFmtId="0" fontId="9" fillId="0" borderId="18" xfId="0" applyFont="1" applyBorder="1" applyAlignment="1">
      <alignment horizontal="right" wrapText="1"/>
    </xf>
    <xf numFmtId="10" fontId="9" fillId="0" borderId="17" xfId="0" applyNumberFormat="1" applyFont="1" applyBorder="1" applyAlignment="1">
      <alignment horizontal="right" wrapText="1"/>
    </xf>
    <xf numFmtId="10" fontId="9" fillId="6" borderId="17" xfId="0" applyNumberFormat="1" applyFont="1" applyFill="1" applyBorder="1" applyAlignment="1">
      <alignment horizontal="right" wrapText="1"/>
    </xf>
    <xf numFmtId="10" fontId="9" fillId="5" borderId="17" xfId="0" applyNumberFormat="1" applyFont="1" applyFill="1" applyBorder="1" applyAlignment="1">
      <alignment horizontal="right" wrapText="1"/>
    </xf>
    <xf numFmtId="10" fontId="9" fillId="5" borderId="18" xfId="0" applyNumberFormat="1" applyFont="1" applyFill="1" applyBorder="1" applyAlignment="1">
      <alignment horizontal="right" wrapText="1"/>
    </xf>
    <xf numFmtId="9" fontId="9" fillId="0" borderId="18" xfId="0" applyNumberFormat="1" applyFont="1" applyBorder="1" applyAlignment="1">
      <alignment horizontal="right" wrapText="1"/>
    </xf>
    <xf numFmtId="0" fontId="10" fillId="0" borderId="6" xfId="0" applyFont="1" applyBorder="1" applyAlignment="1">
      <alignment horizontal="right" vertical="center" wrapText="1"/>
    </xf>
    <xf numFmtId="0" fontId="9" fillId="0" borderId="1" xfId="0" applyFont="1" applyBorder="1" applyAlignment="1">
      <alignment horizontal="right" wrapText="1"/>
    </xf>
    <xf numFmtId="9" fontId="9" fillId="0" borderId="1" xfId="0" applyNumberFormat="1" applyFont="1" applyBorder="1" applyAlignment="1">
      <alignment horizontal="right" wrapText="1"/>
    </xf>
    <xf numFmtId="10" fontId="9" fillId="0" borderId="1" xfId="0" applyNumberFormat="1" applyFont="1" applyBorder="1" applyAlignment="1">
      <alignment horizontal="right" wrapText="1"/>
    </xf>
    <xf numFmtId="10" fontId="9" fillId="6" borderId="1" xfId="0" applyNumberFormat="1" applyFont="1" applyFill="1" applyBorder="1" applyAlignment="1">
      <alignment horizontal="right" wrapText="1"/>
    </xf>
    <xf numFmtId="10" fontId="9" fillId="0" borderId="1" xfId="0" applyNumberFormat="1" applyFont="1" applyFill="1" applyBorder="1" applyAlignment="1">
      <alignment horizontal="right" wrapText="1"/>
    </xf>
    <xf numFmtId="0" fontId="19" fillId="3" borderId="1" xfId="0" applyFont="1" applyFill="1" applyBorder="1" applyAlignment="1">
      <alignment horizontal="center" vertical="center" wrapText="1"/>
    </xf>
    <xf numFmtId="0" fontId="10" fillId="13" borderId="1" xfId="0" applyFont="1" applyFill="1" applyBorder="1" applyAlignment="1">
      <alignment horizontal="center" vertical="center" wrapText="1"/>
    </xf>
    <xf numFmtId="0" fontId="10" fillId="8" borderId="1" xfId="0" applyFont="1" applyFill="1" applyBorder="1" applyAlignment="1">
      <alignment horizontal="center" vertical="center" wrapText="1"/>
    </xf>
    <xf numFmtId="0" fontId="10" fillId="15" borderId="1" xfId="0" applyFont="1" applyFill="1" applyBorder="1" applyAlignment="1">
      <alignment horizontal="center" vertical="center" wrapText="1"/>
    </xf>
    <xf numFmtId="0" fontId="10" fillId="0" borderId="0" xfId="0" applyFont="1">
      <alignment vertical="center"/>
    </xf>
    <xf numFmtId="0" fontId="11" fillId="8" borderId="6" xfId="0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0" fillId="18" borderId="0" xfId="0" applyFont="1" applyFill="1">
      <alignment vertical="center"/>
    </xf>
    <xf numFmtId="0" fontId="9" fillId="18" borderId="0" xfId="0" applyFont="1" applyFill="1" applyAlignment="1">
      <alignment horizontal="right" vertical="center"/>
    </xf>
    <xf numFmtId="0" fontId="10" fillId="18" borderId="19" xfId="0" applyFont="1" applyFill="1" applyBorder="1">
      <alignment vertical="center"/>
    </xf>
    <xf numFmtId="0" fontId="9" fillId="18" borderId="19" xfId="0" applyFont="1" applyFill="1" applyBorder="1" applyAlignment="1">
      <alignment horizontal="right" vertical="center"/>
    </xf>
    <xf numFmtId="0" fontId="13" fillId="3" borderId="0" xfId="0" applyFont="1" applyFill="1" applyAlignment="1">
      <alignment horizontal="center" vertical="center"/>
    </xf>
    <xf numFmtId="0" fontId="13" fillId="16" borderId="0" xfId="0" applyFont="1" applyFill="1" applyAlignment="1">
      <alignment horizontal="center" vertical="center"/>
    </xf>
    <xf numFmtId="0" fontId="13" fillId="15" borderId="0" xfId="0" applyFont="1" applyFill="1" applyAlignment="1">
      <alignment horizontal="center" vertical="center"/>
    </xf>
    <xf numFmtId="0" fontId="13" fillId="8" borderId="0" xfId="0" applyFont="1" applyFill="1" applyAlignment="1">
      <alignment horizontal="center" vertical="center"/>
    </xf>
    <xf numFmtId="0" fontId="10" fillId="12" borderId="0" xfId="0" applyFont="1" applyFill="1">
      <alignment vertical="center"/>
    </xf>
    <xf numFmtId="0" fontId="2" fillId="12" borderId="0" xfId="0" applyFont="1" applyFill="1">
      <alignment vertical="center"/>
    </xf>
    <xf numFmtId="0" fontId="14" fillId="11" borderId="1" xfId="0" applyFont="1" applyFill="1" applyBorder="1" applyAlignment="1">
      <alignment horizontal="right" vertical="center" wrapText="1"/>
    </xf>
    <xf numFmtId="0" fontId="14" fillId="12" borderId="1" xfId="0" applyFont="1" applyFill="1" applyBorder="1" applyAlignment="1">
      <alignment horizontal="right" vertical="center" wrapText="1"/>
    </xf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vertical="center"/>
    </xf>
    <xf numFmtId="0" fontId="23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 wrapText="1"/>
    </xf>
    <xf numFmtId="0" fontId="24" fillId="0" borderId="0" xfId="0" applyFont="1">
      <alignment vertical="center"/>
    </xf>
    <xf numFmtId="9" fontId="9" fillId="0" borderId="0" xfId="0" applyNumberFormat="1" applyFont="1">
      <alignment vertical="center"/>
    </xf>
    <xf numFmtId="10" fontId="9" fillId="0" borderId="0" xfId="0" applyNumberFormat="1" applyFont="1">
      <alignment vertical="center"/>
    </xf>
    <xf numFmtId="10" fontId="10" fillId="0" borderId="0" xfId="0" applyNumberFormat="1" applyFont="1">
      <alignment vertical="center"/>
    </xf>
    <xf numFmtId="10" fontId="2" fillId="0" borderId="0" xfId="0" applyNumberFormat="1" applyFont="1">
      <alignment vertical="center"/>
    </xf>
    <xf numFmtId="10" fontId="2" fillId="0" borderId="0" xfId="1" applyNumberFormat="1" applyFont="1">
      <alignment vertical="center"/>
    </xf>
    <xf numFmtId="0" fontId="2" fillId="12" borderId="0" xfId="0" applyFont="1" applyFill="1" applyAlignment="1">
      <alignment vertical="center" wrapText="1"/>
    </xf>
    <xf numFmtId="0" fontId="4" fillId="0" borderId="0" xfId="0" applyFont="1" applyAlignment="1">
      <alignment vertical="center" wrapText="1"/>
    </xf>
    <xf numFmtId="0" fontId="25" fillId="0" borderId="1" xfId="0" applyFont="1" applyBorder="1">
      <alignment vertical="center"/>
    </xf>
    <xf numFmtId="0" fontId="25" fillId="0" borderId="1" xfId="0" applyFont="1" applyBorder="1" applyAlignment="1">
      <alignment horizontal="center" vertical="center"/>
    </xf>
    <xf numFmtId="0" fontId="25" fillId="17" borderId="1" xfId="0" applyFont="1" applyFill="1" applyBorder="1" applyAlignment="1">
      <alignment horizontal="center" vertical="center"/>
    </xf>
    <xf numFmtId="0" fontId="25" fillId="17" borderId="1" xfId="0" applyFont="1" applyFill="1" applyBorder="1" applyAlignment="1">
      <alignment horizontal="center" vertical="center" wrapText="1"/>
    </xf>
    <xf numFmtId="0" fontId="26" fillId="19" borderId="0" xfId="0" applyFont="1" applyFill="1">
      <alignment vertical="center"/>
    </xf>
    <xf numFmtId="0" fontId="27" fillId="19" borderId="0" xfId="0" applyFont="1" applyFill="1">
      <alignment vertical="center"/>
    </xf>
    <xf numFmtId="0" fontId="28" fillId="17" borderId="1" xfId="0" applyFont="1" applyFill="1" applyBorder="1" applyAlignment="1">
      <alignment horizontal="center" vertical="center" wrapText="1"/>
    </xf>
    <xf numFmtId="0" fontId="28" fillId="17" borderId="1" xfId="0" applyFont="1" applyFill="1" applyBorder="1" applyAlignment="1">
      <alignment horizontal="center" vertical="center"/>
    </xf>
    <xf numFmtId="0" fontId="28" fillId="0" borderId="1" xfId="0" applyFont="1" applyBorder="1" applyAlignment="1">
      <alignment horizontal="center" vertical="center"/>
    </xf>
    <xf numFmtId="0" fontId="25" fillId="20" borderId="1" xfId="0" applyFont="1" applyFill="1" applyBorder="1" applyAlignment="1">
      <alignment horizontal="center" vertical="center"/>
    </xf>
    <xf numFmtId="0" fontId="10" fillId="17" borderId="1" xfId="0" applyFont="1" applyFill="1" applyBorder="1" applyAlignment="1">
      <alignment horizontal="center" vertical="center" wrapText="1"/>
    </xf>
    <xf numFmtId="0" fontId="10" fillId="17" borderId="1" xfId="0" applyFont="1" applyFill="1" applyBorder="1" applyAlignment="1">
      <alignment horizontal="center" vertical="center"/>
    </xf>
    <xf numFmtId="0" fontId="9" fillId="0" borderId="1" xfId="0" applyFont="1" applyBorder="1">
      <alignment vertical="center"/>
    </xf>
    <xf numFmtId="0" fontId="9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21" borderId="1" xfId="0" applyFont="1" applyFill="1" applyBorder="1">
      <alignment vertical="center"/>
    </xf>
    <xf numFmtId="0" fontId="9" fillId="21" borderId="1" xfId="0" applyFont="1" applyFill="1" applyBorder="1" applyAlignment="1">
      <alignment horizontal="center" vertical="center"/>
    </xf>
    <xf numFmtId="0" fontId="10" fillId="21" borderId="1" xfId="0" applyFont="1" applyFill="1" applyBorder="1" applyAlignment="1">
      <alignment horizontal="center" vertical="center"/>
    </xf>
    <xf numFmtId="0" fontId="9" fillId="0" borderId="1" xfId="0" quotePrefix="1" applyFont="1" applyBorder="1" applyAlignment="1">
      <alignment horizontal="center" vertical="center"/>
    </xf>
    <xf numFmtId="0" fontId="9" fillId="21" borderId="1" xfId="0" quotePrefix="1" applyFont="1" applyFill="1" applyBorder="1" applyAlignment="1">
      <alignment horizontal="center" vertical="center"/>
    </xf>
    <xf numFmtId="0" fontId="9" fillId="20" borderId="1" xfId="0" quotePrefix="1" applyFont="1" applyFill="1" applyBorder="1" applyAlignment="1">
      <alignment horizontal="center" vertical="center"/>
    </xf>
    <xf numFmtId="0" fontId="29" fillId="0" borderId="0" xfId="0" applyFont="1">
      <alignment vertical="center"/>
    </xf>
    <xf numFmtId="0" fontId="30" fillId="0" borderId="0" xfId="0" applyFont="1">
      <alignment vertical="center"/>
    </xf>
    <xf numFmtId="0" fontId="9" fillId="0" borderId="1" xfId="0" quotePrefix="1" applyFont="1" applyBorder="1">
      <alignment vertical="center"/>
    </xf>
    <xf numFmtId="0" fontId="31" fillId="0" borderId="0" xfId="0" applyFont="1">
      <alignment vertical="center"/>
    </xf>
    <xf numFmtId="0" fontId="32" fillId="0" borderId="0" xfId="0" applyFont="1" applyAlignment="1">
      <alignment horizontal="center" vertical="center"/>
    </xf>
    <xf numFmtId="176" fontId="33" fillId="0" borderId="0" xfId="0" applyNumberFormat="1" applyFont="1" applyAlignment="1">
      <alignment horizontal="center" vertical="center"/>
    </xf>
    <xf numFmtId="176" fontId="34" fillId="0" borderId="0" xfId="0" applyNumberFormat="1" applyFont="1" applyAlignment="1">
      <alignment horizontal="center" vertical="center"/>
    </xf>
    <xf numFmtId="0" fontId="33" fillId="0" borderId="0" xfId="0" applyFont="1" applyAlignment="1">
      <alignment horizontal="center" vertical="center" shrinkToFit="1"/>
    </xf>
    <xf numFmtId="0" fontId="35" fillId="0" borderId="0" xfId="0" applyFont="1" applyAlignment="1">
      <alignment horizontal="center" vertical="center" shrinkToFit="1"/>
    </xf>
    <xf numFmtId="0" fontId="33" fillId="22" borderId="0" xfId="0" applyFont="1" applyFill="1" applyBorder="1" applyAlignment="1">
      <alignment horizontal="center" vertical="center" shrinkToFit="1"/>
    </xf>
    <xf numFmtId="176" fontId="37" fillId="0" borderId="0" xfId="0" applyNumberFormat="1" applyFont="1" applyAlignment="1">
      <alignment horizontal="left" vertical="center"/>
    </xf>
    <xf numFmtId="176" fontId="33" fillId="0" borderId="0" xfId="0" applyNumberFormat="1" applyFont="1" applyAlignment="1">
      <alignment horizontal="center" vertical="center" shrinkToFit="1"/>
    </xf>
    <xf numFmtId="0" fontId="38" fillId="0" borderId="0" xfId="0" applyFont="1" applyAlignment="1"/>
    <xf numFmtId="0" fontId="37" fillId="0" borderId="0" xfId="0" applyFont="1" applyAlignment="1">
      <alignment horizontal="center" vertical="center"/>
    </xf>
    <xf numFmtId="176" fontId="37" fillId="0" borderId="0" xfId="0" applyNumberFormat="1" applyFont="1" applyAlignment="1">
      <alignment horizontal="center" vertical="center"/>
    </xf>
    <xf numFmtId="0" fontId="37" fillId="0" borderId="0" xfId="0" applyFont="1" applyAlignment="1">
      <alignment horizontal="center" vertical="center" shrinkToFit="1"/>
    </xf>
    <xf numFmtId="0" fontId="39" fillId="0" borderId="0" xfId="0" applyFont="1" applyAlignment="1">
      <alignment horizontal="center" vertical="center"/>
    </xf>
    <xf numFmtId="0" fontId="39" fillId="23" borderId="0" xfId="0" applyFont="1" applyFill="1" applyBorder="1" applyAlignment="1">
      <alignment horizontal="center" vertical="center"/>
    </xf>
    <xf numFmtId="176" fontId="37" fillId="0" borderId="0" xfId="0" applyNumberFormat="1" applyFont="1" applyAlignment="1">
      <alignment horizontal="center" vertical="center" shrinkToFit="1"/>
    </xf>
    <xf numFmtId="0" fontId="37" fillId="0" borderId="0" xfId="0" applyFont="1" applyAlignment="1">
      <alignment horizontal="left" vertical="center"/>
    </xf>
    <xf numFmtId="0" fontId="37" fillId="0" borderId="0" xfId="0" applyFont="1" applyAlignment="1">
      <alignment horizontal="center" vertical="center" wrapText="1"/>
    </xf>
    <xf numFmtId="176" fontId="37" fillId="0" borderId="0" xfId="0" applyNumberFormat="1" applyFont="1" applyAlignment="1">
      <alignment horizontal="center" vertical="center" wrapText="1"/>
    </xf>
    <xf numFmtId="0" fontId="39" fillId="0" borderId="0" xfId="0" applyFont="1" applyAlignment="1">
      <alignment horizontal="center" vertical="center" wrapText="1"/>
    </xf>
    <xf numFmtId="0" fontId="32" fillId="0" borderId="0" xfId="0" applyFont="1" applyAlignment="1">
      <alignment horizontal="center" vertical="center" wrapText="1"/>
    </xf>
    <xf numFmtId="0" fontId="37" fillId="0" borderId="0" xfId="0" applyFont="1" applyAlignment="1">
      <alignment horizontal="left" vertical="center" wrapText="1"/>
    </xf>
    <xf numFmtId="0" fontId="32" fillId="0" borderId="21" xfId="0" applyFont="1" applyBorder="1" applyAlignment="1">
      <alignment horizontal="center" vertical="center"/>
    </xf>
    <xf numFmtId="0" fontId="40" fillId="0" borderId="0" xfId="0" applyFont="1" applyAlignment="1">
      <alignment horizontal="center" vertical="center" shrinkToFit="1"/>
    </xf>
    <xf numFmtId="0" fontId="39" fillId="24" borderId="0" xfId="0" applyFont="1" applyFill="1" applyBorder="1" applyAlignment="1">
      <alignment horizontal="left" vertical="center" wrapText="1"/>
    </xf>
    <xf numFmtId="0" fontId="37" fillId="0" borderId="0" xfId="0" applyFont="1" applyAlignment="1">
      <alignment horizontal="left" vertical="center" shrinkToFit="1"/>
    </xf>
    <xf numFmtId="0" fontId="34" fillId="0" borderId="21" xfId="0" applyFont="1" applyBorder="1" applyAlignment="1">
      <alignment horizontal="center" vertical="center"/>
    </xf>
    <xf numFmtId="0" fontId="43" fillId="0" borderId="0" xfId="0" applyFont="1" applyAlignment="1">
      <alignment horizontal="center" vertical="center" shrinkToFit="1"/>
    </xf>
    <xf numFmtId="0" fontId="44" fillId="0" borderId="0" xfId="0" applyFont="1" applyAlignment="1">
      <alignment horizontal="center" vertical="center" shrinkToFit="1"/>
    </xf>
    <xf numFmtId="0" fontId="34" fillId="0" borderId="0" xfId="0" applyFont="1" applyAlignment="1">
      <alignment vertical="center"/>
    </xf>
    <xf numFmtId="0" fontId="35" fillId="0" borderId="0" xfId="0" applyFont="1" applyAlignment="1">
      <alignment horizontal="center" vertical="center"/>
    </xf>
    <xf numFmtId="0" fontId="34" fillId="0" borderId="0" xfId="0" applyFont="1" applyAlignment="1">
      <alignment horizontal="center"/>
    </xf>
    <xf numFmtId="0" fontId="34" fillId="0" borderId="0" xfId="0" applyFont="1" applyAlignment="1">
      <alignment horizontal="left"/>
    </xf>
    <xf numFmtId="177" fontId="34" fillId="0" borderId="0" xfId="0" applyNumberFormat="1" applyFont="1" applyAlignment="1">
      <alignment horizontal="right"/>
    </xf>
    <xf numFmtId="177" fontId="34" fillId="25" borderId="0" xfId="0" applyNumberFormat="1" applyFont="1" applyFill="1" applyBorder="1" applyAlignment="1">
      <alignment horizontal="right"/>
    </xf>
    <xf numFmtId="177" fontId="34" fillId="26" borderId="0" xfId="0" applyNumberFormat="1" applyFont="1" applyFill="1" applyBorder="1" applyAlignment="1">
      <alignment horizontal="right"/>
    </xf>
    <xf numFmtId="177" fontId="34" fillId="0" borderId="0" xfId="0" applyNumberFormat="1" applyFont="1" applyAlignment="1">
      <alignment horizontal="left"/>
    </xf>
    <xf numFmtId="14" fontId="34" fillId="0" borderId="0" xfId="0" applyNumberFormat="1" applyFont="1" applyAlignment="1">
      <alignment horizontal="center"/>
    </xf>
    <xf numFmtId="177" fontId="34" fillId="0" borderId="0" xfId="0" applyNumberFormat="1" applyFont="1" applyAlignment="1">
      <alignment horizontal="center"/>
    </xf>
    <xf numFmtId="177" fontId="34" fillId="0" borderId="0" xfId="0" applyNumberFormat="1" applyFont="1" applyAlignment="1">
      <alignment horizontal="right" vertical="center"/>
    </xf>
    <xf numFmtId="0" fontId="34" fillId="0" borderId="0" xfId="0" applyFont="1" applyAlignment="1"/>
    <xf numFmtId="177" fontId="34" fillId="25" borderId="0" xfId="0" applyNumberFormat="1" applyFont="1" applyFill="1" applyAlignment="1">
      <alignment horizontal="right"/>
    </xf>
    <xf numFmtId="177" fontId="34" fillId="27" borderId="0" xfId="0" applyNumberFormat="1" applyFont="1" applyFill="1" applyAlignment="1">
      <alignment horizontal="right"/>
    </xf>
    <xf numFmtId="177" fontId="34" fillId="27" borderId="0" xfId="0" applyNumberFormat="1" applyFont="1" applyFill="1" applyBorder="1" applyAlignment="1">
      <alignment horizontal="right"/>
    </xf>
    <xf numFmtId="0" fontId="34" fillId="28" borderId="0" xfId="0" applyFont="1" applyFill="1" applyBorder="1" applyAlignment="1">
      <alignment horizontal="left"/>
    </xf>
    <xf numFmtId="0" fontId="34" fillId="27" borderId="0" xfId="0" applyFont="1" applyFill="1" applyAlignment="1">
      <alignment horizontal="center"/>
    </xf>
    <xf numFmtId="0" fontId="34" fillId="27" borderId="0" xfId="0" applyFont="1" applyFill="1" applyAlignment="1">
      <alignment horizontal="left"/>
    </xf>
    <xf numFmtId="0" fontId="46" fillId="27" borderId="0" xfId="0" applyFont="1" applyFill="1" applyAlignment="1"/>
    <xf numFmtId="177" fontId="34" fillId="27" borderId="0" xfId="0" applyNumberFormat="1" applyFont="1" applyFill="1" applyAlignment="1">
      <alignment horizontal="left"/>
    </xf>
    <xf numFmtId="14" fontId="34" fillId="27" borderId="0" xfId="0" applyNumberFormat="1" applyFont="1" applyFill="1" applyAlignment="1">
      <alignment horizontal="center"/>
    </xf>
    <xf numFmtId="177" fontId="34" fillId="27" borderId="0" xfId="0" applyNumberFormat="1" applyFont="1" applyFill="1" applyAlignment="1">
      <alignment horizontal="center"/>
    </xf>
    <xf numFmtId="177" fontId="34" fillId="27" borderId="0" xfId="0" applyNumberFormat="1" applyFont="1" applyFill="1" applyAlignment="1">
      <alignment horizontal="right" vertical="center"/>
    </xf>
    <xf numFmtId="0" fontId="47" fillId="27" borderId="0" xfId="0" applyFont="1" applyFill="1" applyAlignment="1"/>
    <xf numFmtId="0" fontId="48" fillId="0" borderId="0" xfId="0" applyFont="1">
      <alignment vertical="center"/>
    </xf>
    <xf numFmtId="0" fontId="7" fillId="0" borderId="22" xfId="0" applyFont="1" applyBorder="1">
      <alignment vertical="center"/>
    </xf>
    <xf numFmtId="0" fontId="50" fillId="0" borderId="0" xfId="0" applyFont="1" applyFill="1" applyBorder="1" applyAlignment="1">
      <alignment horizontal="center" vertical="center"/>
    </xf>
    <xf numFmtId="176" fontId="51" fillId="0" borderId="0" xfId="0" applyNumberFormat="1" applyFont="1" applyFill="1" applyBorder="1" applyAlignment="1">
      <alignment horizontal="center" vertical="center"/>
    </xf>
    <xf numFmtId="176" fontId="47" fillId="0" borderId="0" xfId="0" applyNumberFormat="1" applyFont="1" applyFill="1" applyBorder="1" applyAlignment="1">
      <alignment horizontal="center" vertical="center"/>
    </xf>
    <xf numFmtId="0" fontId="51" fillId="0" borderId="0" xfId="0" applyFont="1" applyFill="1" applyBorder="1" applyAlignment="1">
      <alignment horizontal="center" vertical="center" shrinkToFit="1"/>
    </xf>
    <xf numFmtId="49" fontId="53" fillId="0" borderId="0" xfId="0" applyNumberFormat="1" applyFont="1" applyFill="1" applyBorder="1" applyAlignment="1">
      <alignment horizontal="left" vertical="center"/>
    </xf>
    <xf numFmtId="58" fontId="51" fillId="0" borderId="0" xfId="0" applyNumberFormat="1" applyFont="1" applyFill="1" applyBorder="1" applyAlignment="1">
      <alignment horizontal="center" vertical="center" shrinkToFit="1"/>
    </xf>
    <xf numFmtId="176" fontId="51" fillId="0" borderId="0" xfId="0" applyNumberFormat="1" applyFont="1" applyFill="1" applyBorder="1" applyAlignment="1">
      <alignment horizontal="center" vertical="center" shrinkToFit="1"/>
    </xf>
    <xf numFmtId="0" fontId="53" fillId="0" borderId="0" xfId="0" applyFont="1" applyFill="1" applyBorder="1" applyAlignment="1">
      <alignment horizontal="center" vertical="center"/>
    </xf>
    <xf numFmtId="176" fontId="53" fillId="0" borderId="0" xfId="0" applyNumberFormat="1" applyFont="1" applyFill="1" applyBorder="1" applyAlignment="1">
      <alignment horizontal="center" vertical="center"/>
    </xf>
    <xf numFmtId="0" fontId="53" fillId="0" borderId="0" xfId="0" applyFont="1" applyFill="1" applyBorder="1" applyAlignment="1">
      <alignment horizontal="center" vertical="center" shrinkToFit="1"/>
    </xf>
    <xf numFmtId="0" fontId="54" fillId="0" borderId="0" xfId="0" applyFont="1" applyFill="1" applyBorder="1" applyAlignment="1">
      <alignment horizontal="center" vertical="center"/>
    </xf>
    <xf numFmtId="0" fontId="54" fillId="3" borderId="0" xfId="0" applyFont="1" applyFill="1" applyBorder="1" applyAlignment="1">
      <alignment horizontal="center" vertical="center"/>
    </xf>
    <xf numFmtId="58" fontId="53" fillId="0" borderId="0" xfId="0" applyNumberFormat="1" applyFont="1" applyFill="1" applyBorder="1" applyAlignment="1">
      <alignment horizontal="center" vertical="center" shrinkToFit="1"/>
    </xf>
    <xf numFmtId="176" fontId="53" fillId="0" borderId="0" xfId="0" applyNumberFormat="1" applyFont="1" applyFill="1" applyBorder="1" applyAlignment="1">
      <alignment horizontal="center" vertical="center" shrinkToFit="1"/>
    </xf>
    <xf numFmtId="0" fontId="53" fillId="0" borderId="0" xfId="0" applyFont="1" applyFill="1" applyBorder="1" applyAlignment="1">
      <alignment horizontal="center" vertical="center" wrapText="1"/>
    </xf>
    <xf numFmtId="176" fontId="53" fillId="0" borderId="0" xfId="0" applyNumberFormat="1" applyFont="1" applyFill="1" applyBorder="1" applyAlignment="1">
      <alignment horizontal="center" vertical="center" wrapText="1"/>
    </xf>
    <xf numFmtId="0" fontId="54" fillId="0" borderId="0" xfId="0" applyFont="1" applyFill="1" applyBorder="1" applyAlignment="1">
      <alignment horizontal="center" vertical="center" wrapText="1"/>
    </xf>
    <xf numFmtId="0" fontId="32" fillId="9" borderId="0" xfId="0" applyFont="1" applyFill="1" applyBorder="1" applyAlignment="1">
      <alignment horizontal="center" vertical="center" wrapText="1"/>
    </xf>
    <xf numFmtId="0" fontId="32" fillId="0" borderId="0" xfId="0" applyFont="1" applyFill="1" applyBorder="1" applyAlignment="1">
      <alignment horizontal="center" vertical="center" wrapText="1"/>
    </xf>
    <xf numFmtId="49" fontId="53" fillId="0" borderId="0" xfId="0" applyNumberFormat="1" applyFont="1" applyFill="1" applyBorder="1" applyAlignment="1">
      <alignment horizontal="left" vertical="center" wrapText="1"/>
    </xf>
    <xf numFmtId="58" fontId="53" fillId="0" borderId="0" xfId="0" applyNumberFormat="1" applyFont="1" applyFill="1" applyBorder="1" applyAlignment="1">
      <alignment horizontal="center" vertical="center" wrapText="1"/>
    </xf>
    <xf numFmtId="0" fontId="50" fillId="0" borderId="23" xfId="0" applyFont="1" applyFill="1" applyBorder="1" applyAlignment="1">
      <alignment horizontal="center" vertical="center"/>
    </xf>
    <xf numFmtId="0" fontId="55" fillId="0" borderId="0" xfId="0" applyFont="1" applyFill="1" applyBorder="1" applyAlignment="1">
      <alignment horizontal="center" vertical="center" shrinkToFit="1"/>
    </xf>
    <xf numFmtId="0" fontId="54" fillId="4" borderId="0" xfId="0" applyFont="1" applyFill="1" applyBorder="1" applyAlignment="1">
      <alignment horizontal="left" vertical="center" wrapText="1"/>
    </xf>
    <xf numFmtId="49" fontId="53" fillId="0" borderId="0" xfId="0" applyNumberFormat="1" applyFont="1" applyFill="1" applyBorder="1" applyAlignment="1">
      <alignment horizontal="left" vertical="center" shrinkToFit="1"/>
    </xf>
    <xf numFmtId="0" fontId="47" fillId="0" borderId="23" xfId="0" applyFont="1" applyFill="1" applyBorder="1" applyAlignment="1">
      <alignment horizontal="center" vertical="center"/>
    </xf>
    <xf numFmtId="0" fontId="57" fillId="0" borderId="0" xfId="0" applyFont="1" applyFill="1" applyBorder="1" applyAlignment="1">
      <alignment horizontal="center" vertical="center" shrinkToFit="1"/>
    </xf>
    <xf numFmtId="0" fontId="44" fillId="0" borderId="0" xfId="0" applyFont="1" applyFill="1" applyBorder="1" applyAlignment="1">
      <alignment horizontal="center" vertical="center" shrinkToFit="1"/>
    </xf>
    <xf numFmtId="0" fontId="47" fillId="0" borderId="0" xfId="0" applyNumberFormat="1" applyFont="1" applyAlignment="1">
      <alignment vertical="center"/>
    </xf>
    <xf numFmtId="49" fontId="53" fillId="0" borderId="0" xfId="0" applyNumberFormat="1" applyFont="1" applyFill="1" applyAlignment="1">
      <alignment horizontal="center" vertical="center"/>
    </xf>
    <xf numFmtId="0" fontId="53" fillId="0" borderId="0" xfId="0" applyFont="1" applyFill="1" applyAlignment="1">
      <alignment horizontal="center" vertical="center"/>
    </xf>
    <xf numFmtId="0" fontId="34" fillId="0" borderId="0" xfId="0" applyFont="1" applyFill="1" applyAlignment="1">
      <alignment horizontal="center"/>
    </xf>
    <xf numFmtId="0" fontId="34" fillId="0" borderId="0" xfId="0" applyFont="1" applyFill="1" applyAlignment="1">
      <alignment horizontal="left"/>
    </xf>
    <xf numFmtId="38" fontId="34" fillId="0" borderId="0" xfId="0" applyNumberFormat="1" applyFont="1" applyFill="1" applyAlignment="1">
      <alignment horizontal="right"/>
    </xf>
    <xf numFmtId="38" fontId="34" fillId="29" borderId="0" xfId="0" applyNumberFormat="1" applyFont="1" applyFill="1" applyAlignment="1">
      <alignment horizontal="right"/>
    </xf>
    <xf numFmtId="38" fontId="34" fillId="30" borderId="0" xfId="0" applyNumberFormat="1" applyFont="1" applyFill="1" applyAlignment="1">
      <alignment horizontal="right"/>
    </xf>
    <xf numFmtId="38" fontId="34" fillId="0" borderId="0" xfId="0" applyNumberFormat="1" applyFont="1" applyFill="1" applyAlignment="1">
      <alignment horizontal="left"/>
    </xf>
    <xf numFmtId="14" fontId="34" fillId="0" borderId="0" xfId="0" applyNumberFormat="1" applyFont="1" applyFill="1" applyAlignment="1">
      <alignment horizontal="center"/>
    </xf>
    <xf numFmtId="38" fontId="34" fillId="0" borderId="0" xfId="0" applyNumberFormat="1" applyFont="1" applyFill="1" applyAlignment="1">
      <alignment horizontal="center"/>
    </xf>
    <xf numFmtId="38" fontId="47" fillId="0" borderId="0" xfId="0" applyNumberFormat="1" applyFont="1" applyFill="1" applyBorder="1" applyAlignment="1">
      <alignment horizontal="right" vertical="center"/>
    </xf>
    <xf numFmtId="0" fontId="47" fillId="0" borderId="0" xfId="0" applyFont="1" applyFill="1" applyBorder="1" applyAlignment="1"/>
    <xf numFmtId="38" fontId="34" fillId="9" borderId="0" xfId="0" applyNumberFormat="1" applyFont="1" applyFill="1" applyAlignment="1">
      <alignment horizontal="right"/>
    </xf>
    <xf numFmtId="49" fontId="34" fillId="0" borderId="0" xfId="0" applyNumberFormat="1" applyFont="1" applyFill="1" applyAlignment="1">
      <alignment horizontal="left"/>
    </xf>
    <xf numFmtId="0" fontId="34" fillId="15" borderId="0" xfId="0" applyFont="1" applyFill="1" applyAlignment="1">
      <alignment horizontal="left"/>
    </xf>
    <xf numFmtId="0" fontId="34" fillId="31" borderId="0" xfId="0" applyFont="1" applyFill="1" applyAlignment="1">
      <alignment horizontal="center"/>
    </xf>
    <xf numFmtId="0" fontId="34" fillId="31" borderId="0" xfId="0" applyFont="1" applyFill="1" applyAlignment="1">
      <alignment horizontal="left"/>
    </xf>
    <xf numFmtId="38" fontId="34" fillId="31" borderId="0" xfId="0" applyNumberFormat="1" applyFont="1" applyFill="1" applyAlignment="1">
      <alignment horizontal="right"/>
    </xf>
    <xf numFmtId="38" fontId="34" fillId="31" borderId="0" xfId="0" applyNumberFormat="1" applyFont="1" applyFill="1" applyAlignment="1">
      <alignment horizontal="left"/>
    </xf>
    <xf numFmtId="14" fontId="34" fillId="31" borderId="0" xfId="0" applyNumberFormat="1" applyFont="1" applyFill="1" applyAlignment="1">
      <alignment horizontal="center"/>
    </xf>
    <xf numFmtId="38" fontId="34" fillId="31" borderId="0" xfId="0" applyNumberFormat="1" applyFont="1" applyFill="1" applyAlignment="1">
      <alignment horizontal="center"/>
    </xf>
    <xf numFmtId="38" fontId="47" fillId="31" borderId="0" xfId="0" applyNumberFormat="1" applyFont="1" applyFill="1" applyBorder="1" applyAlignment="1">
      <alignment horizontal="right" vertical="center"/>
    </xf>
    <xf numFmtId="0" fontId="47" fillId="31" borderId="0" xfId="0" applyFont="1" applyFill="1" applyBorder="1" applyAlignment="1"/>
    <xf numFmtId="38" fontId="32" fillId="31" borderId="0" xfId="0" applyNumberFormat="1" applyFont="1" applyFill="1" applyAlignment="1">
      <alignment horizontal="right"/>
    </xf>
    <xf numFmtId="0" fontId="34" fillId="0" borderId="0" xfId="0" applyFont="1">
      <alignment vertical="center"/>
    </xf>
    <xf numFmtId="0" fontId="34" fillId="0" borderId="22" xfId="0" applyFont="1" applyBorder="1">
      <alignment vertical="center"/>
    </xf>
    <xf numFmtId="176" fontId="53" fillId="0" borderId="0" xfId="0" applyNumberFormat="1" applyFont="1" applyFill="1" applyBorder="1" applyAlignment="1">
      <alignment horizontal="left" vertical="center"/>
    </xf>
    <xf numFmtId="0" fontId="38" fillId="0" borderId="0" xfId="0" applyFont="1">
      <alignment vertical="center"/>
    </xf>
    <xf numFmtId="0" fontId="53" fillId="0" borderId="0" xfId="0" applyFont="1" applyFill="1" applyBorder="1" applyAlignment="1">
      <alignment horizontal="left" vertical="center"/>
    </xf>
    <xf numFmtId="0" fontId="53" fillId="0" borderId="0" xfId="0" applyFont="1" applyFill="1" applyBorder="1" applyAlignment="1">
      <alignment horizontal="left" vertical="center" wrapText="1"/>
    </xf>
    <xf numFmtId="58" fontId="53" fillId="0" borderId="0" xfId="0" applyNumberFormat="1" applyFont="1" applyFill="1" applyBorder="1" applyAlignment="1">
      <alignment horizontal="left" vertical="center" shrinkToFit="1"/>
    </xf>
    <xf numFmtId="38" fontId="47" fillId="12" borderId="0" xfId="0" applyNumberFormat="1" applyFont="1" applyFill="1" applyBorder="1" applyAlignment="1">
      <alignment horizontal="right" vertical="center"/>
    </xf>
    <xf numFmtId="38" fontId="34" fillId="0" borderId="0" xfId="0" applyNumberFormat="1" applyFont="1">
      <alignment vertical="center"/>
    </xf>
    <xf numFmtId="38" fontId="34" fillId="12" borderId="0" xfId="0" applyNumberFormat="1" applyFont="1" applyFill="1" applyAlignment="1">
      <alignment horizontal="right" vertical="center"/>
    </xf>
    <xf numFmtId="0" fontId="34" fillId="12" borderId="0" xfId="0" applyFont="1" applyFill="1" applyAlignment="1">
      <alignment horizontal="center" vertical="center"/>
    </xf>
    <xf numFmtId="0" fontId="34" fillId="12" borderId="0" xfId="0" applyFont="1" applyFill="1" applyAlignment="1">
      <alignment horizontal="left" vertical="center"/>
    </xf>
    <xf numFmtId="38" fontId="34" fillId="12" borderId="0" xfId="0" applyNumberFormat="1" applyFont="1" applyFill="1" applyAlignment="1">
      <alignment horizontal="left" vertical="center"/>
    </xf>
    <xf numFmtId="14" fontId="34" fillId="12" borderId="0" xfId="0" applyNumberFormat="1" applyFont="1" applyFill="1" applyAlignment="1">
      <alignment horizontal="center" vertical="center"/>
    </xf>
    <xf numFmtId="38" fontId="34" fillId="12" borderId="0" xfId="0" applyNumberFormat="1" applyFont="1" applyFill="1" applyAlignment="1">
      <alignment horizontal="center" vertical="center"/>
    </xf>
    <xf numFmtId="0" fontId="47" fillId="12" borderId="0" xfId="0" applyFont="1" applyFill="1" applyBorder="1" applyAlignment="1">
      <alignment vertical="center"/>
    </xf>
    <xf numFmtId="0" fontId="47" fillId="0" borderId="0" xfId="0" applyFont="1" applyFill="1" applyBorder="1" applyAlignment="1">
      <alignment vertical="center"/>
    </xf>
    <xf numFmtId="0" fontId="7" fillId="0" borderId="0" xfId="0" applyFont="1" applyAlignment="1">
      <alignment vertical="center"/>
    </xf>
    <xf numFmtId="0" fontId="34" fillId="0" borderId="22" xfId="0" applyFont="1" applyBorder="1" applyAlignment="1">
      <alignment vertical="center"/>
    </xf>
    <xf numFmtId="0" fontId="7" fillId="0" borderId="22" xfId="0" applyFont="1" applyBorder="1" applyAlignment="1">
      <alignment vertical="center"/>
    </xf>
    <xf numFmtId="0" fontId="48" fillId="0" borderId="0" xfId="0" applyFont="1" applyAlignment="1">
      <alignment vertical="center"/>
    </xf>
    <xf numFmtId="0" fontId="11" fillId="3" borderId="1" xfId="0" applyFont="1" applyFill="1" applyBorder="1">
      <alignment vertical="center"/>
    </xf>
    <xf numFmtId="14" fontId="2" fillId="0" borderId="1" xfId="0" applyNumberFormat="1" applyFont="1" applyBorder="1">
      <alignment vertical="center"/>
    </xf>
    <xf numFmtId="0" fontId="2" fillId="0" borderId="1" xfId="0" applyFont="1" applyBorder="1">
      <alignment vertical="center"/>
    </xf>
    <xf numFmtId="14" fontId="51" fillId="0" borderId="0" xfId="0" applyNumberFormat="1" applyFont="1" applyFill="1" applyBorder="1" applyAlignment="1">
      <alignment horizontal="center" vertical="center" shrinkToFit="1"/>
    </xf>
    <xf numFmtId="14" fontId="53" fillId="0" borderId="0" xfId="0" applyNumberFormat="1" applyFont="1" applyFill="1" applyBorder="1" applyAlignment="1">
      <alignment horizontal="center" vertical="center" shrinkToFit="1"/>
    </xf>
    <xf numFmtId="14" fontId="53" fillId="0" borderId="0" xfId="0" applyNumberFormat="1" applyFont="1" applyFill="1" applyBorder="1" applyAlignment="1">
      <alignment horizontal="center" vertical="center" wrapText="1"/>
    </xf>
    <xf numFmtId="14" fontId="53" fillId="0" borderId="0" xfId="0" applyNumberFormat="1" applyFont="1" applyFill="1" applyBorder="1" applyAlignment="1">
      <alignment horizontal="left" vertical="center" shrinkToFit="1"/>
    </xf>
    <xf numFmtId="38" fontId="34" fillId="32" borderId="0" xfId="0" applyNumberFormat="1" applyFont="1" applyFill="1" applyAlignment="1">
      <alignment horizontal="right"/>
    </xf>
    <xf numFmtId="0" fontId="34" fillId="3" borderId="0" xfId="0" applyFont="1" applyFill="1" applyAlignment="1">
      <alignment horizontal="center"/>
    </xf>
    <xf numFmtId="0" fontId="34" fillId="3" borderId="0" xfId="0" applyFont="1" applyFill="1" applyAlignment="1">
      <alignment horizontal="left"/>
    </xf>
    <xf numFmtId="0" fontId="47" fillId="0" borderId="0" xfId="0" applyFont="1" applyFill="1" applyAlignment="1">
      <alignment horizontal="center"/>
    </xf>
    <xf numFmtId="0" fontId="47" fillId="0" borderId="0" xfId="0" applyFont="1" applyFill="1" applyAlignment="1">
      <alignment horizontal="left"/>
    </xf>
    <xf numFmtId="38" fontId="47" fillId="0" borderId="0" xfId="0" applyNumberFormat="1" applyFont="1" applyFill="1" applyAlignment="1">
      <alignment horizontal="right"/>
    </xf>
    <xf numFmtId="38" fontId="53" fillId="0" borderId="0" xfId="0" applyNumberFormat="1" applyFont="1" applyFill="1" applyAlignment="1">
      <alignment horizontal="left"/>
    </xf>
    <xf numFmtId="38" fontId="47" fillId="0" borderId="0" xfId="0" applyNumberFormat="1" applyFont="1" applyFill="1" applyAlignment="1">
      <alignment horizontal="center"/>
    </xf>
    <xf numFmtId="0" fontId="47" fillId="33" borderId="23" xfId="0" applyFont="1" applyFill="1" applyBorder="1" applyAlignment="1">
      <alignment horizontal="center" vertical="center"/>
    </xf>
    <xf numFmtId="176" fontId="47" fillId="33" borderId="0" xfId="0" applyNumberFormat="1" applyFont="1" applyFill="1" applyBorder="1" applyAlignment="1">
      <alignment horizontal="center" vertical="center" wrapText="1"/>
    </xf>
    <xf numFmtId="0" fontId="57" fillId="33" borderId="0" xfId="0" applyFont="1" applyFill="1" applyBorder="1" applyAlignment="1">
      <alignment horizontal="center" vertical="center" shrinkToFit="1"/>
    </xf>
    <xf numFmtId="0" fontId="47" fillId="33" borderId="0" xfId="0" applyFont="1" applyFill="1" applyBorder="1" applyAlignment="1">
      <alignment horizontal="center" vertical="center" shrinkToFit="1"/>
    </xf>
    <xf numFmtId="38" fontId="47" fillId="33" borderId="0" xfId="0" applyNumberFormat="1" applyFont="1" applyFill="1" applyBorder="1" applyAlignment="1">
      <alignment horizontal="right" vertical="center"/>
    </xf>
    <xf numFmtId="38" fontId="53" fillId="33" borderId="0" xfId="0" applyNumberFormat="1" applyFont="1" applyFill="1" applyBorder="1" applyAlignment="1">
      <alignment horizontal="left" vertical="center"/>
    </xf>
    <xf numFmtId="38" fontId="51" fillId="33" borderId="0" xfId="0" applyNumberFormat="1" applyFont="1" applyFill="1" applyBorder="1" applyAlignment="1">
      <alignment horizontal="right" vertical="center" shrinkToFit="1"/>
    </xf>
    <xf numFmtId="38" fontId="47" fillId="33" borderId="0" xfId="0" applyNumberFormat="1" applyFont="1" applyFill="1" applyBorder="1" applyAlignment="1">
      <alignment horizontal="center" vertical="center" shrinkToFit="1"/>
    </xf>
    <xf numFmtId="38" fontId="47" fillId="33" borderId="0" xfId="0" applyNumberFormat="1" applyFont="1" applyFill="1" applyBorder="1" applyAlignment="1">
      <alignment horizontal="center" vertical="center"/>
    </xf>
    <xf numFmtId="0" fontId="43" fillId="0" borderId="0" xfId="0" applyFont="1" applyAlignment="1">
      <alignment vertical="center"/>
    </xf>
    <xf numFmtId="38" fontId="47" fillId="3" borderId="0" xfId="0" applyNumberFormat="1" applyFont="1" applyFill="1" applyAlignment="1">
      <alignment horizontal="right"/>
    </xf>
    <xf numFmtId="38" fontId="34" fillId="16" borderId="0" xfId="0" applyNumberFormat="1" applyFont="1" applyFill="1" applyAlignment="1">
      <alignment horizontal="right"/>
    </xf>
    <xf numFmtId="0" fontId="2" fillId="34" borderId="1" xfId="0" applyFont="1" applyFill="1" applyBorder="1">
      <alignment vertical="center"/>
    </xf>
    <xf numFmtId="14" fontId="2" fillId="34" borderId="1" xfId="0" applyNumberFormat="1" applyFont="1" applyFill="1" applyBorder="1">
      <alignment vertical="center"/>
    </xf>
    <xf numFmtId="0" fontId="13" fillId="0" borderId="1" xfId="0" applyFont="1" applyBorder="1">
      <alignment vertical="center"/>
    </xf>
    <xf numFmtId="38" fontId="33" fillId="35" borderId="0" xfId="0" applyNumberFormat="1" applyFont="1" applyFill="1" applyAlignment="1">
      <alignment horizontal="right"/>
    </xf>
    <xf numFmtId="14" fontId="47" fillId="0" borderId="0" xfId="0" applyNumberFormat="1" applyFont="1" applyFill="1" applyAlignment="1">
      <alignment horizontal="center"/>
    </xf>
    <xf numFmtId="0" fontId="43" fillId="0" borderId="0" xfId="0" applyFont="1" applyFill="1" applyAlignment="1">
      <alignment horizontal="center"/>
    </xf>
    <xf numFmtId="0" fontId="43" fillId="0" borderId="0" xfId="0" applyFont="1" applyFill="1" applyAlignment="1">
      <alignment horizontal="left"/>
    </xf>
    <xf numFmtId="38" fontId="43" fillId="0" borderId="0" xfId="0" applyNumberFormat="1" applyFont="1" applyFill="1" applyAlignment="1">
      <alignment horizontal="right"/>
    </xf>
    <xf numFmtId="38" fontId="57" fillId="0" borderId="0" xfId="0" applyNumberFormat="1" applyFont="1" applyFill="1" applyAlignment="1">
      <alignment horizontal="right"/>
    </xf>
    <xf numFmtId="38" fontId="43" fillId="0" borderId="0" xfId="0" applyNumberFormat="1" applyFont="1" applyFill="1" applyAlignment="1">
      <alignment horizontal="left"/>
    </xf>
    <xf numFmtId="14" fontId="43" fillId="0" borderId="0" xfId="0" applyNumberFormat="1" applyFont="1" applyFill="1" applyAlignment="1">
      <alignment horizontal="center"/>
    </xf>
    <xf numFmtId="38" fontId="43" fillId="0" borderId="0" xfId="0" applyNumberFormat="1" applyFont="1" applyFill="1" applyAlignment="1">
      <alignment horizontal="center"/>
    </xf>
    <xf numFmtId="38" fontId="57" fillId="0" borderId="0" xfId="0" applyNumberFormat="1" applyFont="1" applyFill="1" applyBorder="1" applyAlignment="1">
      <alignment horizontal="right" vertical="center"/>
    </xf>
    <xf numFmtId="0" fontId="57" fillId="0" borderId="0" xfId="0" applyFont="1" applyFill="1" applyBorder="1" applyAlignment="1"/>
    <xf numFmtId="0" fontId="57" fillId="0" borderId="0" xfId="0" applyFont="1" applyFill="1" applyAlignment="1">
      <alignment horizontal="center"/>
    </xf>
    <xf numFmtId="0" fontId="57" fillId="0" borderId="0" xfId="0" applyFont="1" applyFill="1" applyAlignment="1">
      <alignment horizontal="left"/>
    </xf>
    <xf numFmtId="38" fontId="69" fillId="0" borderId="0" xfId="0" applyNumberFormat="1" applyFont="1" applyFill="1" applyAlignment="1">
      <alignment horizontal="left"/>
    </xf>
    <xf numFmtId="14" fontId="57" fillId="0" borderId="0" xfId="0" applyNumberFormat="1" applyFont="1" applyFill="1" applyAlignment="1">
      <alignment horizontal="center"/>
    </xf>
    <xf numFmtId="38" fontId="57" fillId="0" borderId="0" xfId="0" applyNumberFormat="1" applyFont="1" applyFill="1" applyAlignment="1">
      <alignment horizontal="center"/>
    </xf>
    <xf numFmtId="0" fontId="2" fillId="0" borderId="1" xfId="0" applyFont="1" applyBorder="1" applyAlignment="1">
      <alignment vertical="center" wrapText="1"/>
    </xf>
    <xf numFmtId="0" fontId="11" fillId="3" borderId="1" xfId="0" applyFont="1" applyFill="1" applyBorder="1" applyAlignment="1">
      <alignment horizontal="center" vertical="center"/>
    </xf>
    <xf numFmtId="0" fontId="11" fillId="36" borderId="1" xfId="0" applyFont="1" applyFill="1" applyBorder="1" applyAlignment="1">
      <alignment horizontal="center" vertical="center"/>
    </xf>
    <xf numFmtId="6" fontId="2" fillId="0" borderId="1" xfId="0" applyNumberFormat="1" applyFont="1" applyBorder="1" applyAlignment="1">
      <alignment horizontal="right" vertical="center"/>
    </xf>
    <xf numFmtId="9" fontId="2" fillId="0" borderId="1" xfId="0" applyNumberFormat="1" applyFont="1" applyBorder="1" applyAlignment="1">
      <alignment horizontal="right" vertical="center"/>
    </xf>
    <xf numFmtId="179" fontId="2" fillId="0" borderId="1" xfId="0" applyNumberFormat="1" applyFont="1" applyFill="1" applyBorder="1" applyAlignment="1">
      <alignment horizontal="right" vertical="center"/>
    </xf>
    <xf numFmtId="0" fontId="13" fillId="37" borderId="1" xfId="0" applyFont="1" applyFill="1" applyBorder="1">
      <alignment vertical="center"/>
    </xf>
    <xf numFmtId="0" fontId="2" fillId="37" borderId="1" xfId="0" applyFont="1" applyFill="1" applyBorder="1">
      <alignment vertical="center"/>
    </xf>
    <xf numFmtId="14" fontId="2" fillId="37" borderId="1" xfId="0" applyNumberFormat="1" applyFont="1" applyFill="1" applyBorder="1">
      <alignment vertical="center"/>
    </xf>
    <xf numFmtId="178" fontId="2" fillId="0" borderId="0" xfId="0" applyNumberFormat="1" applyFont="1" applyFill="1" applyAlignment="1"/>
    <xf numFmtId="0" fontId="54" fillId="9" borderId="0" xfId="0" applyFont="1" applyFill="1" applyBorder="1" applyAlignment="1">
      <alignment horizontal="center" vertical="center" wrapText="1"/>
    </xf>
    <xf numFmtId="38" fontId="43" fillId="3" borderId="0" xfId="0" applyNumberFormat="1" applyFont="1" applyFill="1" applyAlignment="1">
      <alignment horizontal="right"/>
    </xf>
    <xf numFmtId="0" fontId="33" fillId="9" borderId="0" xfId="0" applyFont="1" applyFill="1" applyBorder="1" applyAlignment="1">
      <alignment horizontal="center" vertical="center" shrinkToFit="1"/>
    </xf>
    <xf numFmtId="0" fontId="43" fillId="0" borderId="0" xfId="0" applyFont="1">
      <alignment vertical="center"/>
    </xf>
    <xf numFmtId="0" fontId="71" fillId="0" borderId="0" xfId="0" applyFont="1" applyFill="1" applyAlignment="1">
      <alignment horizontal="center"/>
    </xf>
    <xf numFmtId="0" fontId="71" fillId="0" borderId="0" xfId="0" applyFont="1" applyFill="1" applyAlignment="1">
      <alignment horizontal="left"/>
    </xf>
    <xf numFmtId="38" fontId="71" fillId="0" borderId="0" xfId="0" applyNumberFormat="1" applyFont="1" applyFill="1" applyAlignment="1">
      <alignment horizontal="right"/>
    </xf>
    <xf numFmtId="38" fontId="71" fillId="3" borderId="0" xfId="0" applyNumberFormat="1" applyFont="1" applyFill="1" applyAlignment="1">
      <alignment horizontal="right"/>
    </xf>
    <xf numFmtId="38" fontId="71" fillId="0" borderId="0" xfId="0" applyNumberFormat="1" applyFont="1" applyFill="1" applyAlignment="1">
      <alignment horizontal="left"/>
    </xf>
    <xf numFmtId="14" fontId="71" fillId="0" borderId="0" xfId="0" applyNumberFormat="1" applyFont="1" applyFill="1" applyAlignment="1">
      <alignment horizontal="center"/>
    </xf>
    <xf numFmtId="38" fontId="71" fillId="0" borderId="0" xfId="0" applyNumberFormat="1" applyFont="1" applyFill="1" applyAlignment="1">
      <alignment horizontal="center"/>
    </xf>
    <xf numFmtId="38" fontId="71" fillId="0" borderId="0" xfId="0" applyNumberFormat="1" applyFont="1" applyFill="1" applyBorder="1" applyAlignment="1">
      <alignment horizontal="right" vertical="center"/>
    </xf>
    <xf numFmtId="0" fontId="71" fillId="0" borderId="0" xfId="0" applyFont="1" applyFill="1" applyBorder="1" applyAlignment="1"/>
    <xf numFmtId="0" fontId="71" fillId="0" borderId="0" xfId="0" applyFont="1">
      <alignment vertical="center"/>
    </xf>
    <xf numFmtId="0" fontId="2" fillId="34" borderId="1" xfId="0" applyFont="1" applyFill="1" applyBorder="1" applyAlignment="1">
      <alignment vertical="center" wrapText="1"/>
    </xf>
    <xf numFmtId="0" fontId="43" fillId="3" borderId="0" xfId="0" applyFont="1" applyFill="1" applyAlignment="1">
      <alignment horizontal="center"/>
    </xf>
    <xf numFmtId="0" fontId="43" fillId="3" borderId="0" xfId="0" applyFont="1" applyFill="1" applyAlignment="1">
      <alignment horizontal="left"/>
    </xf>
    <xf numFmtId="49" fontId="43" fillId="3" borderId="0" xfId="0" applyNumberFormat="1" applyFont="1" applyFill="1" applyAlignment="1">
      <alignment horizontal="left"/>
    </xf>
    <xf numFmtId="14" fontId="43" fillId="3" borderId="0" xfId="0" applyNumberFormat="1" applyFont="1" applyFill="1" applyAlignment="1">
      <alignment horizontal="center"/>
    </xf>
    <xf numFmtId="38" fontId="43" fillId="3" borderId="0" xfId="0" applyNumberFormat="1" applyFont="1" applyFill="1" applyAlignment="1">
      <alignment horizontal="center"/>
    </xf>
    <xf numFmtId="38" fontId="57" fillId="3" borderId="0" xfId="0" applyNumberFormat="1" applyFont="1" applyFill="1" applyBorder="1" applyAlignment="1">
      <alignment horizontal="right" vertical="center"/>
    </xf>
    <xf numFmtId="0" fontId="57" fillId="3" borderId="0" xfId="0" applyFont="1" applyFill="1" applyBorder="1" applyAlignment="1"/>
    <xf numFmtId="0" fontId="57" fillId="3" borderId="0" xfId="0" applyFont="1" applyFill="1" applyAlignment="1">
      <alignment horizontal="left"/>
    </xf>
    <xf numFmtId="0" fontId="57" fillId="3" borderId="0" xfId="0" applyFont="1" applyFill="1" applyAlignment="1">
      <alignment horizontal="center"/>
    </xf>
    <xf numFmtId="38" fontId="57" fillId="3" borderId="0" xfId="0" applyNumberFormat="1" applyFont="1" applyFill="1" applyAlignment="1">
      <alignment horizontal="right"/>
    </xf>
    <xf numFmtId="49" fontId="69" fillId="3" borderId="0" xfId="0" applyNumberFormat="1" applyFont="1" applyFill="1" applyAlignment="1">
      <alignment horizontal="left"/>
    </xf>
    <xf numFmtId="14" fontId="57" fillId="3" borderId="0" xfId="0" applyNumberFormat="1" applyFont="1" applyFill="1" applyAlignment="1">
      <alignment horizontal="center"/>
    </xf>
    <xf numFmtId="38" fontId="57" fillId="3" borderId="0" xfId="0" applyNumberFormat="1" applyFont="1" applyFill="1" applyAlignment="1">
      <alignment horizontal="center"/>
    </xf>
    <xf numFmtId="0" fontId="73" fillId="0" borderId="0" xfId="2" applyFont="1">
      <alignment horizontal="left"/>
    </xf>
    <xf numFmtId="0" fontId="47" fillId="33" borderId="23" xfId="0" applyFont="1" applyFill="1" applyBorder="1" applyAlignment="1">
      <alignment horizontal="right" vertical="center"/>
    </xf>
    <xf numFmtId="176" fontId="47" fillId="33" borderId="0" xfId="0" applyNumberFormat="1" applyFont="1" applyFill="1" applyBorder="1" applyAlignment="1">
      <alignment horizontal="right" vertical="center" wrapText="1"/>
    </xf>
    <xf numFmtId="0" fontId="57" fillId="33" borderId="0" xfId="0" applyFont="1" applyFill="1" applyBorder="1" applyAlignment="1">
      <alignment horizontal="right" vertical="center" shrinkToFit="1"/>
    </xf>
    <xf numFmtId="38" fontId="47" fillId="33" borderId="0" xfId="0" applyNumberFormat="1" applyFont="1" applyFill="1" applyBorder="1" applyAlignment="1">
      <alignment horizontal="right" vertical="center" shrinkToFit="1"/>
    </xf>
    <xf numFmtId="0" fontId="47" fillId="0" borderId="0" xfId="0" applyFont="1" applyFill="1" applyBorder="1" applyAlignment="1">
      <alignment horizontal="right"/>
    </xf>
    <xf numFmtId="176" fontId="47" fillId="0" borderId="0" xfId="0" applyNumberFormat="1" applyFont="1" applyFill="1" applyBorder="1" applyAlignment="1">
      <alignment horizontal="right" vertical="center"/>
    </xf>
    <xf numFmtId="0" fontId="54" fillId="31" borderId="0" xfId="0" applyFont="1" applyFill="1" applyBorder="1" applyAlignment="1">
      <alignment horizontal="left" vertical="center" wrapText="1"/>
    </xf>
    <xf numFmtId="0" fontId="43" fillId="38" borderId="0" xfId="0" applyFont="1" applyFill="1" applyAlignment="1">
      <alignment horizontal="center"/>
    </xf>
    <xf numFmtId="0" fontId="43" fillId="38" borderId="0" xfId="0" applyFont="1" applyFill="1" applyAlignment="1">
      <alignment horizontal="left"/>
    </xf>
    <xf numFmtId="38" fontId="43" fillId="38" borderId="0" xfId="0" applyNumberFormat="1" applyFont="1" applyFill="1" applyAlignment="1">
      <alignment horizontal="right"/>
    </xf>
    <xf numFmtId="38" fontId="43" fillId="38" borderId="0" xfId="0" applyNumberFormat="1" applyFont="1" applyFill="1" applyAlignment="1">
      <alignment horizontal="left"/>
    </xf>
    <xf numFmtId="14" fontId="43" fillId="38" borderId="0" xfId="0" applyNumberFormat="1" applyFont="1" applyFill="1" applyAlignment="1">
      <alignment horizontal="center"/>
    </xf>
    <xf numFmtId="38" fontId="43" fillId="38" borderId="0" xfId="0" applyNumberFormat="1" applyFont="1" applyFill="1" applyAlignment="1">
      <alignment horizontal="center"/>
    </xf>
    <xf numFmtId="38" fontId="57" fillId="38" borderId="0" xfId="0" applyNumberFormat="1" applyFont="1" applyFill="1" applyBorder="1" applyAlignment="1">
      <alignment horizontal="right" vertical="center"/>
    </xf>
    <xf numFmtId="0" fontId="57" fillId="38" borderId="0" xfId="0" applyFont="1" applyFill="1" applyBorder="1" applyAlignment="1"/>
    <xf numFmtId="38" fontId="43" fillId="3" borderId="0" xfId="0" applyNumberFormat="1" applyFont="1" applyFill="1" applyAlignment="1">
      <alignment horizontal="left"/>
    </xf>
    <xf numFmtId="0" fontId="33" fillId="0" borderId="0" xfId="0" applyFont="1" applyFill="1" applyBorder="1" applyAlignment="1">
      <alignment horizontal="center" vertical="center" shrinkToFit="1"/>
    </xf>
    <xf numFmtId="0" fontId="54" fillId="0" borderId="0" xfId="0" applyFont="1" applyAlignment="1">
      <alignment horizontal="center" vertical="center"/>
    </xf>
    <xf numFmtId="0" fontId="47" fillId="3" borderId="0" xfId="0" applyFont="1" applyFill="1" applyAlignment="1">
      <alignment horizontal="center"/>
    </xf>
    <xf numFmtId="38" fontId="34" fillId="14" borderId="0" xfId="0" applyNumberFormat="1" applyFont="1" applyFill="1" applyAlignment="1">
      <alignment horizontal="right"/>
    </xf>
    <xf numFmtId="38" fontId="33" fillId="39" borderId="0" xfId="0" applyNumberFormat="1" applyFont="1" applyFill="1" applyAlignment="1">
      <alignment horizontal="right"/>
    </xf>
    <xf numFmtId="38" fontId="33" fillId="0" borderId="0" xfId="0" applyNumberFormat="1" applyFont="1" applyAlignment="1">
      <alignment horizontal="right"/>
    </xf>
    <xf numFmtId="0" fontId="43" fillId="40" borderId="0" xfId="0" applyFont="1" applyFill="1" applyAlignment="1">
      <alignment horizontal="center"/>
    </xf>
    <xf numFmtId="0" fontId="43" fillId="40" borderId="0" xfId="0" applyFont="1" applyFill="1" applyAlignment="1">
      <alignment horizontal="left"/>
    </xf>
    <xf numFmtId="38" fontId="43" fillId="40" borderId="0" xfId="0" applyNumberFormat="1" applyFont="1" applyFill="1" applyAlignment="1">
      <alignment horizontal="right"/>
    </xf>
    <xf numFmtId="38" fontId="43" fillId="40" borderId="0" xfId="0" applyNumberFormat="1" applyFont="1" applyFill="1" applyAlignment="1">
      <alignment horizontal="left"/>
    </xf>
    <xf numFmtId="14" fontId="43" fillId="40" borderId="0" xfId="0" applyNumberFormat="1" applyFont="1" applyFill="1" applyAlignment="1">
      <alignment horizontal="center"/>
    </xf>
    <xf numFmtId="38" fontId="43" fillId="40" borderId="0" xfId="0" applyNumberFormat="1" applyFont="1" applyFill="1" applyAlignment="1">
      <alignment horizontal="center"/>
    </xf>
    <xf numFmtId="38" fontId="57" fillId="40" borderId="0" xfId="0" applyNumberFormat="1" applyFont="1" applyFill="1" applyBorder="1" applyAlignment="1">
      <alignment horizontal="right" vertical="center"/>
    </xf>
    <xf numFmtId="0" fontId="57" fillId="40" borderId="0" xfId="0" applyFont="1" applyFill="1" applyBorder="1" applyAlignment="1"/>
    <xf numFmtId="38" fontId="40" fillId="0" borderId="0" xfId="0" applyNumberFormat="1" applyFont="1" applyFill="1" applyAlignment="1">
      <alignment horizontal="right"/>
    </xf>
    <xf numFmtId="0" fontId="40" fillId="0" borderId="0" xfId="0" applyFont="1" applyFill="1" applyAlignment="1">
      <alignment horizontal="center"/>
    </xf>
    <xf numFmtId="0" fontId="40" fillId="0" borderId="0" xfId="0" applyFont="1" applyFill="1" applyAlignment="1">
      <alignment horizontal="left"/>
    </xf>
    <xf numFmtId="38" fontId="40" fillId="0" borderId="0" xfId="0" applyNumberFormat="1" applyFont="1" applyFill="1" applyAlignment="1">
      <alignment horizontal="left"/>
    </xf>
    <xf numFmtId="14" fontId="40" fillId="0" borderId="0" xfId="0" applyNumberFormat="1" applyFont="1" applyFill="1" applyAlignment="1">
      <alignment horizontal="center"/>
    </xf>
    <xf numFmtId="38" fontId="40" fillId="0" borderId="0" xfId="0" applyNumberFormat="1" applyFont="1" applyFill="1" applyAlignment="1">
      <alignment horizontal="center"/>
    </xf>
    <xf numFmtId="38" fontId="40" fillId="0" borderId="0" xfId="0" applyNumberFormat="1" applyFont="1" applyFill="1" applyBorder="1" applyAlignment="1">
      <alignment horizontal="right" vertical="center"/>
    </xf>
    <xf numFmtId="0" fontId="40" fillId="0" borderId="0" xfId="0" applyFont="1" applyFill="1" applyBorder="1" applyAlignment="1"/>
    <xf numFmtId="0" fontId="34" fillId="8" borderId="0" xfId="0" applyFont="1" applyFill="1">
      <alignment vertical="center"/>
    </xf>
    <xf numFmtId="0" fontId="34" fillId="8" borderId="0" xfId="0" applyFont="1" applyFill="1" applyAlignment="1">
      <alignment vertical="center"/>
    </xf>
    <xf numFmtId="0" fontId="40" fillId="8" borderId="0" xfId="0" applyFont="1" applyFill="1">
      <alignment vertical="center"/>
    </xf>
    <xf numFmtId="38" fontId="40" fillId="8" borderId="0" xfId="0" applyNumberFormat="1" applyFont="1" applyFill="1" applyAlignment="1">
      <alignment horizontal="right"/>
    </xf>
    <xf numFmtId="0" fontId="3" fillId="0" borderId="1" xfId="0" applyFont="1" applyBorder="1" applyAlignment="1">
      <alignment horizontal="center" vertical="center" wrapText="1"/>
    </xf>
    <xf numFmtId="0" fontId="10" fillId="0" borderId="20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54" fillId="41" borderId="0" xfId="0" applyFont="1" applyFill="1" applyBorder="1" applyAlignment="1">
      <alignment horizontal="center" vertical="center" wrapText="1"/>
    </xf>
    <xf numFmtId="0" fontId="54" fillId="3" borderId="0" xfId="0" applyFont="1" applyFill="1" applyBorder="1" applyAlignment="1">
      <alignment horizontal="center" vertical="center" wrapText="1"/>
    </xf>
    <xf numFmtId="38" fontId="34" fillId="3" borderId="0" xfId="0" applyNumberFormat="1" applyFont="1" applyFill="1" applyAlignment="1">
      <alignment horizontal="right"/>
    </xf>
    <xf numFmtId="38" fontId="34" fillId="41" borderId="0" xfId="0" applyNumberFormat="1" applyFont="1" applyFill="1" applyAlignment="1">
      <alignment horizontal="right"/>
    </xf>
  </cellXfs>
  <cellStyles count="3">
    <cellStyle name="一般" xfId="0" builtinId="0"/>
    <cellStyle name="百分比" xfId="1" builtinId="5"/>
    <cellStyle name="顯卡配貨報表-橫式_d" xfId="2"/>
  </cellStyles>
  <dxfs count="2391"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FFCC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theme="5" tint="0.7999816888943144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CCCCFF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theme="5" tint="0.7999816888943144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theme="5" tint="0.7999816888943144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theme="5" tint="0.7999816888943144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CCCCFF"/>
        </patternFill>
      </fill>
    </dxf>
    <dxf>
      <fill>
        <patternFill>
          <bgColor theme="5" tint="0.7999816888943144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theme="5" tint="0.7999816888943144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theme="5" tint="0.7999816888943144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theme="5" tint="0.7999816888943144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theme="5" tint="0.7999816888943144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theme="5" tint="0.7999816888943144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theme="5" tint="0.7999816888943144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theme="5" tint="0.7999816888943144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theme="5" tint="0.7999816888943144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rgb="FFCCCCFF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theme="5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FFCC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CCCC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FFCC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CCCC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FFCC"/>
        </patternFill>
      </fill>
    </dxf>
    <dxf>
      <fill>
        <patternFill>
          <bgColor theme="5" tint="0.7999816888943144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theme="5" tint="0.7999816888943144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theme="5" tint="0.7999816888943144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theme="5" tint="0.7999816888943144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CCCCFF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CCCCFF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theme="5" tint="0.7999816888943144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theme="5" tint="0.7999816888943144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CCCCFF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CCCCFF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CCCCFF"/>
        </patternFill>
      </fill>
    </dxf>
    <dxf>
      <font>
        <color rgb="FFFF0000"/>
      </font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theme="5" tint="0.7999816888943144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CCCCFF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theme="5" tint="0.7999816888943144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theme="5" tint="0.7999816888943144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theme="5" tint="0.7999816888943144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rgb="FFCCCCFF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FFCC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CCCCFF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CCCCFF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theme="5" tint="0.7999816888943144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theme="5" tint="0.7999816888943144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theme="5" tint="0.7999816888943144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theme="5" tint="0.7999816888943144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theme="5" tint="0.7999816888943144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theme="5" tint="0.7999816888943144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theme="5" tint="0.7999816888943144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theme="5" tint="0.7999816888943144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theme="5" tint="0.7999816888943144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theme="5" tint="0.7999816888943144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CCCCFF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CCCCFF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CCCCFF"/>
        </patternFill>
      </fill>
    </dxf>
    <dxf>
      <font>
        <color rgb="FFFF0000"/>
      </font>
    </dxf>
    <dxf>
      <font>
        <color rgb="FFFF0000"/>
      </font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theme="5" tint="0.7999816888943144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CCCCFF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theme="5" tint="0.79998168889431442"/>
        </patternFill>
      </fill>
    </dxf>
    <dxf>
      <fill>
        <patternFill>
          <bgColor rgb="FFCCCCFF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theme="5" tint="0.7999816888943144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theme="5" tint="0.7999816888943144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theme="5" tint="0.7999816888943144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FFCC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CCCC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FFCC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CCCC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FFCC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CCCCFF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theme="5" tint="0.7999816888943144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theme="5" tint="0.7999816888943144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theme="5" tint="0.7999816888943144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theme="5" tint="0.7999816888943144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theme="5" tint="0.7999816888943144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theme="5" tint="0.7999816888943144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theme="5" tint="0.7999816888943144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theme="5" tint="0.7999816888943144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CCCCFF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CCCCFF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CCCCFF"/>
        </patternFill>
      </fill>
    </dxf>
    <dxf>
      <font>
        <color rgb="FFFF0000"/>
      </font>
    </dxf>
    <dxf>
      <font>
        <color rgb="FFFF0000"/>
      </font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theme="5" tint="0.7999816888943144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CCCCFF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theme="5" tint="0.7999816888943144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theme="5" tint="0.7999816888943144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theme="5" tint="0.7999816888943144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rgb="FFCCCCFF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FFCC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CCCCFF"/>
        </patternFill>
      </fill>
    </dxf>
    <dxf>
      <fill>
        <patternFill>
          <bgColor theme="5" tint="0.7999816888943144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theme="5" tint="0.7999816888943144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CCCCFF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CCCCFF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CCCCFF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CCCCFF"/>
        </patternFill>
      </fill>
    </dxf>
    <dxf>
      <fill>
        <patternFill>
          <bgColor theme="5" tint="0.7999816888943144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theme="5" tint="0.7999816888943144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theme="5" tint="0.7999816888943144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theme="5" tint="0.7999816888943144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theme="5" tint="0.7999816888943144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theme="5" tint="0.7999816888943144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theme="5" tint="0.7999816888943144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theme="5" tint="0.7999816888943144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theme="5" tint="0.7999816888943144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theme="5" tint="0.7999816888943144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theme="5" tint="0.7999816888943144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theme="5" tint="0.7999816888943144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theme="5" tint="0.7999816888943144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theme="5" tint="0.7999816888943144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theme="5" tint="0.7999816888943144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theme="5" tint="0.7999816888943144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theme="5" tint="0.7999816888943144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CCCCFF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CCCCFF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CCCCFF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CCCCFF"/>
        </patternFill>
      </fill>
    </dxf>
    <dxf>
      <font>
        <color rgb="FFFF0000"/>
      </font>
    </dxf>
    <dxf>
      <font>
        <color rgb="FFFF0000"/>
      </font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theme="5" tint="0.7999816888943144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CCCCFF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theme="5" tint="0.7999816888943144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theme="5" tint="0.7999816888943144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rgb="FFCCCCFF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theme="5" tint="0.7999816888943144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theme="5" tint="0.7999816888943144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theme="5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FFCC"/>
        </patternFill>
      </fill>
    </dxf>
    <dxf>
      <fill>
        <patternFill>
          <bgColor theme="5" tint="0.7999816888943144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theme="5" tint="0.7999816888943144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theme="5" tint="0.7999816888943144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theme="5" tint="0.7999816888943144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theme="5" tint="0.7999816888943144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theme="5" tint="0.7999816888943144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theme="5" tint="0.7999816888943144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theme="5" tint="0.7999816888943144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theme="5" tint="0.7999816888943144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theme="5" tint="0.7999816888943144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theme="5" tint="0.7999816888943144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CCCCFF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CCCCFF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CCCCFF"/>
        </patternFill>
      </fill>
    </dxf>
    <dxf>
      <font>
        <color rgb="FFFF0000"/>
      </font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theme="5" tint="0.7999816888943144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CCCCFF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theme="5" tint="0.7999816888943144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theme="5" tint="0.7999816888943144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theme="5" tint="0.7999816888943144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rgb="FFCCCCFF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theme="5" tint="0.7999816888943144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FFCC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CCCC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FFCC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CCCC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FFCC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theme="5" tint="0.7999816888943144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theme="5" tint="0.7999816888943144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theme="5" tint="0.7999816888943144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theme="5" tint="0.7999816888943144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theme="5" tint="0.7999816888943144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theme="5" tint="0.7999816888943144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CCCCFF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CCCCFF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CCCCFF"/>
        </patternFill>
      </fill>
    </dxf>
    <dxf>
      <font>
        <color rgb="FFFF0000"/>
      </font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theme="5" tint="0.7999816888943144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CCCCFF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theme="5" tint="0.7999816888943144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theme="5" tint="0.7999816888943144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theme="5" tint="0.7999816888943144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rgb="FFCCCCFF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FFCC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CCCCFF"/>
        </patternFill>
      </fill>
    </dxf>
    <dxf>
      <fill>
        <patternFill>
          <bgColor theme="5" tint="0.7999816888943144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FFCC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CCCC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FFCC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theme="5" tint="0.7999816888943144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CCCCFF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theme="5" tint="0.7999816888943144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theme="5" tint="0.7999816888943144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theme="5" tint="0.7999816888943144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theme="5" tint="0.7999816888943144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theme="5" tint="0.7999816888943144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theme="5" tint="0.7999816888943144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theme="5" tint="0.7999816888943144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theme="5" tint="0.7999816888943144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CCCCFF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CCCCFF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CCCCFF"/>
        </patternFill>
      </fill>
    </dxf>
    <dxf>
      <font>
        <color rgb="FFFF0000"/>
      </font>
    </dxf>
    <dxf>
      <font>
        <color rgb="FFFF0000"/>
      </font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theme="5" tint="0.7999816888943144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CCCCFF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theme="5" tint="0.7999816888943144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theme="5" tint="0.7999816888943144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theme="5" tint="0.7999816888943144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rgb="FFCCCCFF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 patternType="solid">
          <fgColor rgb="FFFFFFCC"/>
          <bgColor rgb="FFFFFFCC"/>
        </patternFill>
      </fill>
    </dxf>
    <dxf>
      <fill>
        <patternFill patternType="solid">
          <fgColor rgb="FFCCCCFF"/>
          <bgColor rgb="FFCCCCFF"/>
        </patternFill>
      </fill>
    </dxf>
    <dxf>
      <fill>
        <patternFill patternType="solid">
          <fgColor rgb="FFFFFFCC"/>
          <bgColor rgb="FFFFFFCC"/>
        </patternFill>
      </fill>
    </dxf>
    <dxf>
      <fill>
        <patternFill patternType="solid">
          <fgColor rgb="FFCCCCFF"/>
          <bgColor rgb="FFCCCCFF"/>
        </patternFill>
      </fill>
    </dxf>
    <dxf>
      <fill>
        <patternFill patternType="solid">
          <fgColor rgb="FFFFFFCC"/>
          <bgColor rgb="FFFFFFCC"/>
        </patternFill>
      </fill>
    </dxf>
    <dxf>
      <fill>
        <patternFill patternType="solid">
          <fgColor rgb="FFCCCCFF"/>
          <bgColor rgb="FFCCCCFF"/>
        </patternFill>
      </fill>
    </dxf>
    <dxf>
      <fill>
        <patternFill patternType="solid">
          <fgColor rgb="FFFFFFCC"/>
          <bgColor rgb="FFFFFFCC"/>
        </patternFill>
      </fill>
    </dxf>
    <dxf>
      <fill>
        <patternFill patternType="solid">
          <fgColor rgb="FFFFFFCC"/>
          <bgColor rgb="FFFFFFCC"/>
        </patternFill>
      </fill>
    </dxf>
    <dxf>
      <fill>
        <patternFill patternType="solid">
          <fgColor rgb="FFFFFFCC"/>
          <bgColor rgb="FFFFFFCC"/>
        </patternFill>
      </fill>
    </dxf>
    <dxf>
      <fill>
        <patternFill patternType="solid">
          <fgColor rgb="FFFFFFCC"/>
          <bgColor rgb="FFFFFFCC"/>
        </patternFill>
      </fill>
    </dxf>
    <dxf>
      <fill>
        <patternFill patternType="solid">
          <fgColor rgb="FFFFFFCC"/>
          <bgColor rgb="FFFFFFCC"/>
        </patternFill>
      </fill>
    </dxf>
    <dxf>
      <fill>
        <patternFill patternType="solid">
          <fgColor rgb="FFFFFFCC"/>
          <bgColor rgb="FFFFFFCC"/>
        </patternFill>
      </fill>
    </dxf>
    <dxf>
      <fill>
        <patternFill patternType="solid">
          <fgColor rgb="FFFFCC99"/>
          <bgColor rgb="FFFFCC99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F2DBDB"/>
          <bgColor rgb="FFF2DBDB"/>
        </patternFill>
      </fill>
    </dxf>
    <dxf>
      <fill>
        <patternFill patternType="solid">
          <fgColor rgb="FFFFCC99"/>
          <bgColor rgb="FFFFCC99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F2DBDB"/>
          <bgColor rgb="FFF2DBDB"/>
        </patternFill>
      </fill>
    </dxf>
    <dxf>
      <fill>
        <patternFill patternType="solid">
          <fgColor rgb="FFF2DBDB"/>
          <bgColor rgb="FFF2DBDB"/>
        </patternFill>
      </fill>
    </dxf>
    <dxf>
      <fill>
        <patternFill patternType="solid">
          <fgColor rgb="FFFFCC99"/>
          <bgColor rgb="FFFFCC99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FFCC99"/>
          <bgColor rgb="FFFFCC99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FFCC99"/>
          <bgColor rgb="FFFFCC99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FFCC99"/>
          <bgColor rgb="FFFFCC99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F2DBDB"/>
          <bgColor rgb="FFF2DBDB"/>
        </patternFill>
      </fill>
    </dxf>
    <dxf>
      <fill>
        <patternFill patternType="solid">
          <fgColor rgb="FFFFCC99"/>
          <bgColor rgb="FFFFCC99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FFCC99"/>
          <bgColor rgb="FFFFCC99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FFCC99"/>
          <bgColor rgb="FFFFCC99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FFCC99"/>
          <bgColor rgb="FFFFCC99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FFCC99"/>
          <bgColor rgb="FFFFCC99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F2DBDB"/>
          <bgColor rgb="FFF2DBDB"/>
        </patternFill>
      </fill>
    </dxf>
    <dxf>
      <fill>
        <patternFill patternType="solid">
          <fgColor rgb="FFFFCC99"/>
          <bgColor rgb="FFFFCC99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F2DBDB"/>
          <bgColor rgb="FFF2DBDB"/>
        </patternFill>
      </fill>
    </dxf>
    <dxf>
      <fill>
        <patternFill patternType="solid">
          <fgColor rgb="FFF2DBDB"/>
          <bgColor rgb="FFF2DBDB"/>
        </patternFill>
      </fill>
    </dxf>
    <dxf>
      <fill>
        <patternFill patternType="solid">
          <fgColor rgb="FFFFCC99"/>
          <bgColor rgb="FFFFCC99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FFCC99"/>
          <bgColor rgb="FFFFCC99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FFCC99"/>
          <bgColor rgb="FFFFCC99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FFCC99"/>
          <bgColor rgb="FFFFCC99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FFCC99"/>
          <bgColor rgb="FFFFCC99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FFCC99"/>
          <bgColor rgb="FFFFCC99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FFCC99"/>
          <bgColor rgb="FFFFCC99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F2DBDB"/>
          <bgColor rgb="FFF2DBDB"/>
        </patternFill>
      </fill>
    </dxf>
    <dxf>
      <fill>
        <patternFill patternType="solid">
          <fgColor rgb="FFFFCC99"/>
          <bgColor rgb="FFFFCC99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FFCC99"/>
          <bgColor rgb="FFFFCC99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FFCC99"/>
          <bgColor rgb="FFFFCC99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F2DBDB"/>
          <bgColor rgb="FFF2DBDB"/>
        </patternFill>
      </fill>
    </dxf>
    <dxf>
      <fill>
        <patternFill patternType="solid">
          <fgColor rgb="FFF2DBDB"/>
          <bgColor rgb="FFF2DBDB"/>
        </patternFill>
      </fill>
    </dxf>
    <dxf>
      <fill>
        <patternFill patternType="solid">
          <fgColor rgb="FFFFCC99"/>
          <bgColor rgb="FFFFCC99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FFCC99"/>
          <bgColor rgb="FFFFCC99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FFCC99"/>
          <bgColor rgb="FFFFCC99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FFCC99"/>
          <bgColor rgb="FFFFCC99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CCCCFF"/>
          <bgColor rgb="FFCCCCFF"/>
        </patternFill>
      </fill>
    </dxf>
    <dxf>
      <fill>
        <patternFill patternType="solid">
          <fgColor rgb="FFFFCC99"/>
          <bgColor rgb="FFFFCC99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FFCC99"/>
          <bgColor rgb="FFFFCC99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FFCC99"/>
          <bgColor rgb="FFFFCC99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F2DBDB"/>
          <bgColor rgb="FFF2DBDB"/>
        </patternFill>
      </fill>
    </dxf>
    <dxf>
      <fill>
        <patternFill patternType="solid">
          <fgColor rgb="FFFFCC99"/>
          <bgColor rgb="FFFFCC99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FFCC99"/>
          <bgColor rgb="FFFFCC99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FFCC99"/>
          <bgColor rgb="FFFFCC99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F2DBDB"/>
          <bgColor rgb="FFF2DBDB"/>
        </patternFill>
      </fill>
    </dxf>
    <dxf>
      <fill>
        <patternFill patternType="solid">
          <fgColor rgb="FFFFCC99"/>
          <bgColor rgb="FFFFCC99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FFCC99"/>
          <bgColor rgb="FFFFCC99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FFCC99"/>
          <bgColor rgb="FFFFCC99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F2DBDB"/>
          <bgColor rgb="FFF2DBDB"/>
        </patternFill>
      </fill>
    </dxf>
    <dxf>
      <fill>
        <patternFill patternType="solid">
          <fgColor rgb="FFFFCC99"/>
          <bgColor rgb="FFFFCC99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F2DBDB"/>
          <bgColor rgb="FFF2DBDB"/>
        </patternFill>
      </fill>
    </dxf>
    <dxf>
      <fill>
        <patternFill patternType="solid">
          <fgColor rgb="FFF2DBDB"/>
          <bgColor rgb="FFF2DBDB"/>
        </patternFill>
      </fill>
    </dxf>
    <dxf>
      <fill>
        <patternFill patternType="solid">
          <fgColor rgb="FFFFCC99"/>
          <bgColor rgb="FFFFCC99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FFCC99"/>
          <bgColor rgb="FFFFCC99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FFCC99"/>
          <bgColor rgb="FFFFCC99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FFCC99"/>
          <bgColor rgb="FFFFCC99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CCCCFF"/>
          <bgColor rgb="FFCCCCFF"/>
        </patternFill>
      </fill>
    </dxf>
    <dxf>
      <fill>
        <patternFill patternType="solid">
          <fgColor rgb="FFCCCCFF"/>
          <bgColor rgb="FFCCCCFF"/>
        </patternFill>
      </fill>
    </dxf>
    <dxf>
      <fill>
        <patternFill patternType="solid">
          <fgColor rgb="FFCCCCFF"/>
          <bgColor rgb="FFCCCCFF"/>
        </patternFill>
      </fill>
    </dxf>
    <dxf>
      <fill>
        <patternFill patternType="solid">
          <fgColor rgb="FFFFCC99"/>
          <bgColor rgb="FFFFCC99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FFCC99"/>
          <bgColor rgb="FFFFCC99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FFCC99"/>
          <bgColor rgb="FFFFCC99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F2DBDB"/>
          <bgColor rgb="FFF2DBDB"/>
        </patternFill>
      </fill>
    </dxf>
    <dxf>
      <fill>
        <patternFill patternType="solid">
          <fgColor rgb="FFFFCC99"/>
          <bgColor rgb="FFFFCC99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FFCC99"/>
          <bgColor rgb="FFFFCC99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FFCC99"/>
          <bgColor rgb="FFFFCC99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F2DBDB"/>
          <bgColor rgb="FFF2DBDB"/>
        </patternFill>
      </fill>
    </dxf>
    <dxf>
      <fill>
        <patternFill patternType="solid">
          <fgColor rgb="FFF2DBDB"/>
          <bgColor rgb="FFF2DBDB"/>
        </patternFill>
      </fill>
    </dxf>
    <dxf>
      <fill>
        <patternFill patternType="solid">
          <fgColor rgb="FFFFCC99"/>
          <bgColor rgb="FFFFCC99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FFCC99"/>
          <bgColor rgb="FFFFCC99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FFCC99"/>
          <bgColor rgb="FFFFCC99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FFCC99"/>
          <bgColor rgb="FFFFCC99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CCCCFF"/>
          <bgColor rgb="FFCCCCFF"/>
        </patternFill>
      </fill>
    </dxf>
    <dxf>
      <fill>
        <patternFill patternType="solid">
          <fgColor rgb="FFFFCC99"/>
          <bgColor rgb="FFFFCC99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FFCC99"/>
          <bgColor rgb="FFFFCC99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FFCC99"/>
          <bgColor rgb="FFFFCC99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F2DBDB"/>
          <bgColor rgb="FFF2DBDB"/>
        </patternFill>
      </fill>
    </dxf>
    <dxf>
      <fill>
        <patternFill patternType="solid">
          <fgColor rgb="FFFFCC99"/>
          <bgColor rgb="FFFFCC99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FFCC99"/>
          <bgColor rgb="FFFFCC99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FFCC99"/>
          <bgColor rgb="FFFFCC99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FFCC99"/>
          <bgColor rgb="FFFFCC99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F2DBDB"/>
          <bgColor rgb="FFF2DBDB"/>
        </patternFill>
      </fill>
    </dxf>
    <dxf>
      <fill>
        <patternFill patternType="solid">
          <fgColor rgb="FFFFCC99"/>
          <bgColor rgb="FFFFCC99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FFCC99"/>
          <bgColor rgb="FFFFCC99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FFCC99"/>
          <bgColor rgb="FFFFCC99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F2DBDB"/>
          <bgColor rgb="FFF2DBDB"/>
        </patternFill>
      </fill>
    </dxf>
    <dxf>
      <fill>
        <patternFill patternType="solid">
          <fgColor rgb="FFFFCC99"/>
          <bgColor rgb="FFFFCC99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FFCC99"/>
          <bgColor rgb="FFFFCC99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FFCC99"/>
          <bgColor rgb="FFFFCC99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FFCC99"/>
          <bgColor rgb="FFFFCC99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FFCC99"/>
          <bgColor rgb="FFFFCC99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FFCC99"/>
          <bgColor rgb="FFFFCC99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FFCC99"/>
          <bgColor rgb="FFFFCC99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CCCCFF"/>
          <bgColor rgb="FFCCCCFF"/>
        </patternFill>
      </fill>
    </dxf>
    <dxf>
      <fill>
        <patternFill patternType="solid">
          <fgColor rgb="FFF2DBDB"/>
          <bgColor rgb="FFF2DBDB"/>
        </patternFill>
      </fill>
    </dxf>
    <dxf>
      <fill>
        <patternFill patternType="solid">
          <fgColor rgb="FFF2DBDB"/>
          <bgColor rgb="FFF2DBDB"/>
        </patternFill>
      </fill>
    </dxf>
    <dxf>
      <fill>
        <patternFill patternType="solid">
          <fgColor rgb="FFFFCC99"/>
          <bgColor rgb="FFFFCC99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FFCC99"/>
          <bgColor rgb="FFFFCC99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FFCC99"/>
          <bgColor rgb="FFFFCC99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FFCC99"/>
          <bgColor rgb="FFFFCC99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FFCC99"/>
          <bgColor rgb="FFFFCC99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FFCC99"/>
          <bgColor rgb="FFFFCC99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FFCC99"/>
          <bgColor rgb="FFFFCC99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FFCC99"/>
          <bgColor rgb="FFFFCC99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FFCC99"/>
          <bgColor rgb="FFFFCC99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FFCC99"/>
          <bgColor rgb="FFFFCC99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FFCC99"/>
          <bgColor rgb="FFFFCC99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FFCC99"/>
          <bgColor rgb="FFFFCC99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FFCC99"/>
          <bgColor rgb="FFFFCC99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FFCC99"/>
          <bgColor rgb="FFFFCC99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FFCC99"/>
          <bgColor rgb="FFFFCC99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FFCC99"/>
          <bgColor rgb="FFFFCC99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FFCC99"/>
          <bgColor rgb="FFFFCC99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FFCC99"/>
          <bgColor rgb="FFFFCC99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FFCC99"/>
          <bgColor rgb="FFFFCC99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2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3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4"/>
  <sheetViews>
    <sheetView zoomScale="90" zoomScaleNormal="90"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F16" sqref="F16"/>
    </sheetView>
  </sheetViews>
  <sheetFormatPr defaultRowHeight="15.6"/>
  <cols>
    <col min="1" max="1" width="3.88671875" style="3" bestFit="1" customWidth="1"/>
    <col min="2" max="2" width="13.6640625" style="3" customWidth="1"/>
    <col min="3" max="22" width="18" style="3" customWidth="1"/>
    <col min="23" max="16384" width="8.88671875" style="3"/>
  </cols>
  <sheetData>
    <row r="1" spans="1:23">
      <c r="A1" s="1"/>
      <c r="B1" s="1"/>
      <c r="C1" s="2" t="s">
        <v>0</v>
      </c>
      <c r="D1" s="2" t="s">
        <v>0</v>
      </c>
      <c r="E1" s="2" t="s">
        <v>0</v>
      </c>
      <c r="F1" s="2" t="s">
        <v>0</v>
      </c>
      <c r="G1" s="2" t="s">
        <v>0</v>
      </c>
      <c r="H1" s="2" t="s">
        <v>0</v>
      </c>
      <c r="I1" s="2" t="s">
        <v>0</v>
      </c>
      <c r="J1" s="2" t="s">
        <v>0</v>
      </c>
      <c r="K1" s="2" t="s">
        <v>0</v>
      </c>
      <c r="L1" s="2" t="s">
        <v>0</v>
      </c>
      <c r="M1" s="2" t="s">
        <v>0</v>
      </c>
      <c r="N1" s="2" t="s">
        <v>0</v>
      </c>
      <c r="O1" s="2" t="s">
        <v>0</v>
      </c>
      <c r="P1" s="2" t="s">
        <v>0</v>
      </c>
      <c r="Q1" s="2" t="s">
        <v>0</v>
      </c>
      <c r="R1" s="2" t="s">
        <v>0</v>
      </c>
      <c r="S1" s="2" t="s">
        <v>0</v>
      </c>
      <c r="T1" s="2" t="s">
        <v>0</v>
      </c>
      <c r="U1" s="2" t="s">
        <v>0</v>
      </c>
      <c r="V1" s="2" t="s">
        <v>0</v>
      </c>
    </row>
    <row r="2" spans="1:23">
      <c r="A2" s="1"/>
      <c r="B2" s="1"/>
      <c r="C2" s="4" t="s">
        <v>1</v>
      </c>
      <c r="D2" s="4" t="s">
        <v>1</v>
      </c>
      <c r="E2" s="4" t="s">
        <v>1</v>
      </c>
      <c r="F2" s="4" t="s">
        <v>1</v>
      </c>
      <c r="G2" s="4" t="s">
        <v>1</v>
      </c>
      <c r="H2" s="4" t="s">
        <v>1</v>
      </c>
      <c r="I2" s="4" t="s">
        <v>1</v>
      </c>
      <c r="J2" s="4" t="s">
        <v>1</v>
      </c>
      <c r="K2" s="4" t="s">
        <v>1</v>
      </c>
      <c r="L2" s="4" t="s">
        <v>1</v>
      </c>
      <c r="M2" s="4" t="s">
        <v>1</v>
      </c>
      <c r="N2" s="4" t="s">
        <v>1</v>
      </c>
      <c r="O2" s="4" t="s">
        <v>1</v>
      </c>
      <c r="P2" s="4" t="s">
        <v>1</v>
      </c>
      <c r="Q2" s="4" t="s">
        <v>1</v>
      </c>
      <c r="R2" s="4" t="s">
        <v>1</v>
      </c>
      <c r="S2" s="4" t="s">
        <v>1</v>
      </c>
      <c r="T2" s="4" t="s">
        <v>1</v>
      </c>
      <c r="U2" s="4" t="s">
        <v>1</v>
      </c>
      <c r="V2" s="4" t="s">
        <v>1</v>
      </c>
    </row>
    <row r="3" spans="1:23">
      <c r="A3" s="1"/>
      <c r="B3" s="1"/>
      <c r="C3" s="1"/>
      <c r="D3" s="4">
        <v>10</v>
      </c>
      <c r="E3" s="4">
        <v>10</v>
      </c>
      <c r="F3" s="4">
        <v>10</v>
      </c>
      <c r="G3" s="4">
        <v>5</v>
      </c>
      <c r="H3" s="4">
        <v>5</v>
      </c>
      <c r="I3" s="4">
        <v>10</v>
      </c>
      <c r="J3" s="4">
        <v>10</v>
      </c>
      <c r="K3" s="4">
        <v>10</v>
      </c>
      <c r="L3" s="4">
        <v>10</v>
      </c>
      <c r="M3" s="4">
        <v>5</v>
      </c>
      <c r="N3" s="4">
        <v>5</v>
      </c>
      <c r="O3" s="4">
        <v>10</v>
      </c>
      <c r="P3" s="4">
        <v>10</v>
      </c>
      <c r="Q3" s="4">
        <v>10</v>
      </c>
      <c r="R3" s="4">
        <v>5</v>
      </c>
      <c r="S3" s="4">
        <v>10</v>
      </c>
      <c r="T3" s="4">
        <v>10</v>
      </c>
      <c r="U3" s="4">
        <v>10</v>
      </c>
      <c r="V3" s="4">
        <v>10</v>
      </c>
    </row>
    <row r="4" spans="1:23" s="9" customFormat="1" ht="10.199999999999999">
      <c r="A4" s="7"/>
      <c r="B4" s="7"/>
      <c r="C4" s="8" t="s">
        <v>20</v>
      </c>
      <c r="D4" s="8" t="s">
        <v>11</v>
      </c>
      <c r="E4" s="8" t="s">
        <v>12</v>
      </c>
      <c r="F4" s="8" t="s">
        <v>13</v>
      </c>
      <c r="G4" s="8" t="s">
        <v>17</v>
      </c>
      <c r="H4" s="8" t="s">
        <v>17</v>
      </c>
      <c r="I4" s="8" t="s">
        <v>14</v>
      </c>
      <c r="J4" s="8" t="s">
        <v>6</v>
      </c>
      <c r="K4" s="8" t="s">
        <v>7</v>
      </c>
      <c r="L4" s="8" t="s">
        <v>18</v>
      </c>
      <c r="M4" s="8" t="s">
        <v>8</v>
      </c>
      <c r="N4" s="8" t="s">
        <v>16</v>
      </c>
      <c r="O4" s="8" t="s">
        <v>2</v>
      </c>
      <c r="P4" s="8" t="s">
        <v>3</v>
      </c>
      <c r="Q4" s="8" t="s">
        <v>9</v>
      </c>
      <c r="R4" s="8" t="s">
        <v>15</v>
      </c>
      <c r="S4" s="8" t="s">
        <v>4</v>
      </c>
      <c r="T4" s="8" t="s">
        <v>5</v>
      </c>
      <c r="U4" s="8" t="s">
        <v>10</v>
      </c>
      <c r="V4" s="8" t="s">
        <v>19</v>
      </c>
    </row>
    <row r="5" spans="1:23" s="9" customFormat="1" ht="10.199999999999999">
      <c r="A5" s="7"/>
      <c r="B5" s="7"/>
      <c r="C5" s="10" t="s">
        <v>40</v>
      </c>
      <c r="D5" s="10" t="s">
        <v>30</v>
      </c>
      <c r="E5" s="10" t="s">
        <v>31</v>
      </c>
      <c r="F5" s="10" t="s">
        <v>32</v>
      </c>
      <c r="G5" s="10" t="s">
        <v>36</v>
      </c>
      <c r="H5" s="10" t="s">
        <v>37</v>
      </c>
      <c r="I5" s="10" t="s">
        <v>33</v>
      </c>
      <c r="J5" s="10" t="s">
        <v>25</v>
      </c>
      <c r="K5" s="10" t="s">
        <v>26</v>
      </c>
      <c r="L5" s="10" t="s">
        <v>38</v>
      </c>
      <c r="M5" s="10" t="s">
        <v>27</v>
      </c>
      <c r="N5" s="10" t="s">
        <v>35</v>
      </c>
      <c r="O5" s="10" t="s">
        <v>21</v>
      </c>
      <c r="P5" s="10" t="s">
        <v>22</v>
      </c>
      <c r="Q5" s="10" t="s">
        <v>28</v>
      </c>
      <c r="R5" s="10" t="s">
        <v>34</v>
      </c>
      <c r="S5" s="10" t="s">
        <v>23</v>
      </c>
      <c r="T5" s="10" t="s">
        <v>24</v>
      </c>
      <c r="U5" s="10" t="s">
        <v>29</v>
      </c>
      <c r="V5" s="10" t="s">
        <v>39</v>
      </c>
    </row>
    <row r="6" spans="1:23">
      <c r="A6" s="5"/>
      <c r="B6" s="1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</row>
    <row r="7" spans="1:23">
      <c r="A7" s="11"/>
      <c r="B7" s="12"/>
      <c r="C7" s="13">
        <v>380</v>
      </c>
      <c r="D7" s="13">
        <v>160</v>
      </c>
      <c r="E7" s="13">
        <v>320</v>
      </c>
      <c r="F7" s="13">
        <v>1180</v>
      </c>
      <c r="G7" s="13">
        <v>740</v>
      </c>
      <c r="H7" s="13">
        <v>700</v>
      </c>
      <c r="I7" s="13">
        <v>380</v>
      </c>
      <c r="J7" s="13">
        <v>1640</v>
      </c>
      <c r="K7" s="13">
        <v>3800</v>
      </c>
      <c r="L7" s="13">
        <v>380</v>
      </c>
      <c r="M7" s="13">
        <v>370</v>
      </c>
      <c r="N7" s="13">
        <v>210</v>
      </c>
      <c r="O7" s="13">
        <v>740</v>
      </c>
      <c r="P7" s="13">
        <v>1240</v>
      </c>
      <c r="Q7" s="13">
        <v>740</v>
      </c>
      <c r="R7" s="13">
        <v>320</v>
      </c>
      <c r="S7" s="13">
        <v>320</v>
      </c>
      <c r="T7" s="13">
        <v>640</v>
      </c>
      <c r="U7" s="13">
        <v>1260</v>
      </c>
      <c r="V7" s="13">
        <v>600</v>
      </c>
    </row>
    <row r="8" spans="1:23">
      <c r="A8" s="421" t="s">
        <v>41</v>
      </c>
      <c r="B8" s="14" t="s">
        <v>42</v>
      </c>
      <c r="C8" s="15">
        <v>67</v>
      </c>
      <c r="D8" s="15">
        <v>28</v>
      </c>
      <c r="E8" s="15">
        <v>56</v>
      </c>
      <c r="F8" s="28">
        <v>710</v>
      </c>
      <c r="G8" s="15">
        <v>88</v>
      </c>
      <c r="H8" s="15">
        <v>83</v>
      </c>
      <c r="I8" s="15">
        <v>45</v>
      </c>
      <c r="J8" s="15">
        <v>195</v>
      </c>
      <c r="K8" s="15">
        <v>452</v>
      </c>
      <c r="L8" s="15">
        <v>45</v>
      </c>
      <c r="M8" s="15">
        <v>42</v>
      </c>
      <c r="N8" s="15">
        <v>24</v>
      </c>
      <c r="O8" s="15">
        <v>85</v>
      </c>
      <c r="P8" s="15">
        <v>143</v>
      </c>
      <c r="Q8" s="15">
        <v>85</v>
      </c>
      <c r="R8" s="15">
        <v>47</v>
      </c>
      <c r="S8" s="15">
        <v>47</v>
      </c>
      <c r="T8" s="15">
        <v>93</v>
      </c>
      <c r="U8" s="15">
        <v>100</v>
      </c>
      <c r="V8" s="15">
        <v>88</v>
      </c>
      <c r="W8" s="3">
        <f t="shared" ref="W8:W13" si="0">SUM(C8:V8)</f>
        <v>2523</v>
      </c>
    </row>
    <row r="9" spans="1:23" s="22" customFormat="1">
      <c r="A9" s="421"/>
      <c r="B9" s="20" t="s">
        <v>50</v>
      </c>
      <c r="C9" s="21">
        <v>10</v>
      </c>
      <c r="D9" s="21">
        <v>28</v>
      </c>
      <c r="E9" s="21"/>
      <c r="F9" s="29">
        <v>200</v>
      </c>
      <c r="G9" s="21">
        <v>23</v>
      </c>
      <c r="H9" s="21"/>
      <c r="I9" s="21">
        <v>45</v>
      </c>
      <c r="J9" s="21">
        <v>20</v>
      </c>
      <c r="K9" s="21">
        <v>100</v>
      </c>
      <c r="L9" s="21">
        <v>15</v>
      </c>
      <c r="M9" s="21">
        <v>10</v>
      </c>
      <c r="N9" s="21">
        <v>5</v>
      </c>
      <c r="O9" s="21">
        <v>10</v>
      </c>
      <c r="P9" s="21">
        <v>20</v>
      </c>
      <c r="Q9" s="21">
        <v>25</v>
      </c>
      <c r="R9" s="21">
        <v>10</v>
      </c>
      <c r="S9" s="21">
        <v>10</v>
      </c>
      <c r="T9" s="21">
        <v>20</v>
      </c>
      <c r="U9" s="21">
        <v>20</v>
      </c>
      <c r="V9" s="21">
        <v>30</v>
      </c>
      <c r="W9" s="3">
        <f t="shared" si="0"/>
        <v>601</v>
      </c>
    </row>
    <row r="10" spans="1:23" s="22" customFormat="1">
      <c r="A10" s="421"/>
      <c r="B10" s="20" t="s">
        <v>51</v>
      </c>
      <c r="C10" s="21">
        <v>10</v>
      </c>
      <c r="D10" s="21"/>
      <c r="E10" s="21">
        <v>10</v>
      </c>
      <c r="F10" s="29">
        <v>200</v>
      </c>
      <c r="G10" s="21">
        <v>20</v>
      </c>
      <c r="H10" s="21"/>
      <c r="I10" s="21"/>
      <c r="J10" s="21">
        <v>40</v>
      </c>
      <c r="K10" s="21">
        <v>150</v>
      </c>
      <c r="L10" s="21">
        <v>10</v>
      </c>
      <c r="M10" s="21">
        <v>5</v>
      </c>
      <c r="N10" s="21">
        <v>5</v>
      </c>
      <c r="O10" s="21">
        <v>10</v>
      </c>
      <c r="P10" s="21">
        <v>50</v>
      </c>
      <c r="Q10" s="21">
        <v>20</v>
      </c>
      <c r="R10" s="21">
        <v>5</v>
      </c>
      <c r="S10" s="21">
        <v>10</v>
      </c>
      <c r="T10" s="21">
        <v>30</v>
      </c>
      <c r="U10" s="21">
        <v>20</v>
      </c>
      <c r="V10" s="21">
        <v>20</v>
      </c>
      <c r="W10" s="3">
        <f t="shared" si="0"/>
        <v>615</v>
      </c>
    </row>
    <row r="11" spans="1:23" s="22" customFormat="1">
      <c r="A11" s="421"/>
      <c r="B11" s="20" t="s">
        <v>52</v>
      </c>
      <c r="C11" s="21">
        <v>10</v>
      </c>
      <c r="D11" s="21"/>
      <c r="E11" s="21">
        <v>20</v>
      </c>
      <c r="F11" s="29">
        <v>150</v>
      </c>
      <c r="G11" s="21">
        <v>40</v>
      </c>
      <c r="H11" s="21"/>
      <c r="I11" s="21"/>
      <c r="J11" s="21">
        <v>80</v>
      </c>
      <c r="K11" s="21">
        <v>100</v>
      </c>
      <c r="L11" s="21">
        <v>10</v>
      </c>
      <c r="M11" s="21">
        <v>5</v>
      </c>
      <c r="N11" s="21">
        <v>5</v>
      </c>
      <c r="O11" s="21">
        <v>40</v>
      </c>
      <c r="P11" s="21">
        <v>30</v>
      </c>
      <c r="Q11" s="21">
        <v>20</v>
      </c>
      <c r="R11" s="21">
        <v>5</v>
      </c>
      <c r="S11" s="21">
        <v>10</v>
      </c>
      <c r="T11" s="21">
        <v>20</v>
      </c>
      <c r="U11" s="21">
        <v>20</v>
      </c>
      <c r="V11" s="21">
        <v>20</v>
      </c>
      <c r="W11" s="3">
        <f t="shared" si="0"/>
        <v>585</v>
      </c>
    </row>
    <row r="12" spans="1:23" s="22" customFormat="1">
      <c r="A12" s="421"/>
      <c r="B12" s="20" t="s">
        <v>53</v>
      </c>
      <c r="C12" s="21">
        <v>10</v>
      </c>
      <c r="D12" s="21"/>
      <c r="E12" s="21">
        <v>10</v>
      </c>
      <c r="F12" s="29">
        <v>10</v>
      </c>
      <c r="G12" s="21">
        <v>5</v>
      </c>
      <c r="H12" s="21"/>
      <c r="I12" s="21"/>
      <c r="J12" s="21">
        <v>10</v>
      </c>
      <c r="K12" s="21">
        <v>10</v>
      </c>
      <c r="L12" s="21"/>
      <c r="M12" s="21">
        <v>5</v>
      </c>
      <c r="N12" s="21"/>
      <c r="O12" s="21">
        <v>10</v>
      </c>
      <c r="P12" s="21">
        <v>10</v>
      </c>
      <c r="Q12" s="21"/>
      <c r="R12" s="21">
        <v>5</v>
      </c>
      <c r="S12" s="21">
        <v>10</v>
      </c>
      <c r="T12" s="21">
        <v>10</v>
      </c>
      <c r="U12" s="21">
        <v>10</v>
      </c>
      <c r="V12" s="21"/>
      <c r="W12" s="3">
        <f t="shared" si="0"/>
        <v>115</v>
      </c>
    </row>
    <row r="13" spans="1:23" s="22" customFormat="1">
      <c r="A13" s="421"/>
      <c r="B13" s="20" t="s">
        <v>54</v>
      </c>
      <c r="C13" s="21">
        <v>27</v>
      </c>
      <c r="D13" s="21"/>
      <c r="E13" s="21">
        <v>16</v>
      </c>
      <c r="F13" s="29">
        <v>150</v>
      </c>
      <c r="G13" s="21"/>
      <c r="H13" s="21">
        <v>83</v>
      </c>
      <c r="I13" s="21"/>
      <c r="J13" s="21">
        <v>45</v>
      </c>
      <c r="K13" s="21">
        <v>92</v>
      </c>
      <c r="L13" s="21">
        <v>10</v>
      </c>
      <c r="M13" s="21">
        <v>17</v>
      </c>
      <c r="N13" s="21">
        <v>9</v>
      </c>
      <c r="O13" s="21">
        <v>15</v>
      </c>
      <c r="P13" s="21">
        <v>33</v>
      </c>
      <c r="Q13" s="21">
        <v>20</v>
      </c>
      <c r="R13" s="21">
        <v>22</v>
      </c>
      <c r="S13" s="21">
        <v>7</v>
      </c>
      <c r="T13" s="21">
        <v>13</v>
      </c>
      <c r="U13" s="21">
        <v>30</v>
      </c>
      <c r="V13" s="21">
        <v>18</v>
      </c>
      <c r="W13" s="3">
        <f t="shared" si="0"/>
        <v>607</v>
      </c>
    </row>
    <row r="14" spans="1:23" s="23" customFormat="1">
      <c r="A14" s="421"/>
      <c r="B14" s="24" t="s">
        <v>55</v>
      </c>
      <c r="C14" s="25">
        <f>SUM(C9:C13)</f>
        <v>67</v>
      </c>
      <c r="D14" s="25">
        <f t="shared" ref="D14:V14" si="1">SUM(D9:D13)</f>
        <v>28</v>
      </c>
      <c r="E14" s="25">
        <f t="shared" si="1"/>
        <v>56</v>
      </c>
      <c r="F14" s="25">
        <f t="shared" si="1"/>
        <v>710</v>
      </c>
      <c r="G14" s="25">
        <f t="shared" si="1"/>
        <v>88</v>
      </c>
      <c r="H14" s="25">
        <f t="shared" si="1"/>
        <v>83</v>
      </c>
      <c r="I14" s="25">
        <f t="shared" si="1"/>
        <v>45</v>
      </c>
      <c r="J14" s="25">
        <f t="shared" si="1"/>
        <v>195</v>
      </c>
      <c r="K14" s="25">
        <f t="shared" si="1"/>
        <v>452</v>
      </c>
      <c r="L14" s="25">
        <f t="shared" si="1"/>
        <v>45</v>
      </c>
      <c r="M14" s="25">
        <f t="shared" si="1"/>
        <v>42</v>
      </c>
      <c r="N14" s="25">
        <f t="shared" si="1"/>
        <v>24</v>
      </c>
      <c r="O14" s="25">
        <f t="shared" si="1"/>
        <v>85</v>
      </c>
      <c r="P14" s="25">
        <f t="shared" si="1"/>
        <v>143</v>
      </c>
      <c r="Q14" s="25">
        <f t="shared" si="1"/>
        <v>85</v>
      </c>
      <c r="R14" s="25">
        <f t="shared" si="1"/>
        <v>47</v>
      </c>
      <c r="S14" s="25">
        <f t="shared" si="1"/>
        <v>47</v>
      </c>
      <c r="T14" s="25">
        <f t="shared" si="1"/>
        <v>93</v>
      </c>
      <c r="U14" s="25">
        <f t="shared" si="1"/>
        <v>100</v>
      </c>
      <c r="V14" s="25">
        <f t="shared" si="1"/>
        <v>88</v>
      </c>
      <c r="W14" s="3">
        <f>SUM(C14:V14)</f>
        <v>2523</v>
      </c>
    </row>
    <row r="15" spans="1:23" s="23" customFormat="1">
      <c r="A15" s="421"/>
      <c r="B15" s="26" t="s">
        <v>56</v>
      </c>
      <c r="C15" s="27"/>
      <c r="D15" s="27"/>
      <c r="E15" s="27"/>
      <c r="F15" s="27">
        <v>20</v>
      </c>
      <c r="G15" s="27"/>
      <c r="H15" s="27"/>
      <c r="I15" s="27"/>
      <c r="J15" s="27"/>
      <c r="K15" s="27">
        <v>20</v>
      </c>
      <c r="L15" s="27"/>
      <c r="M15" s="27"/>
      <c r="N15" s="27"/>
      <c r="O15" s="27"/>
      <c r="P15" s="27">
        <v>10</v>
      </c>
      <c r="Q15" s="27"/>
      <c r="R15" s="27"/>
      <c r="S15" s="27"/>
      <c r="T15" s="27">
        <v>5</v>
      </c>
      <c r="U15" s="27"/>
      <c r="V15" s="27"/>
      <c r="W15" s="3">
        <f t="shared" ref="W15:W17" si="2">SUM(C15:V15)</f>
        <v>55</v>
      </c>
    </row>
    <row r="16" spans="1:23" s="23" customFormat="1" ht="27.6">
      <c r="A16" s="421"/>
      <c r="B16" s="26" t="s">
        <v>57</v>
      </c>
      <c r="C16" s="27"/>
      <c r="D16" s="27"/>
      <c r="E16" s="27">
        <v>10</v>
      </c>
      <c r="F16" s="27"/>
      <c r="G16" s="27"/>
      <c r="H16" s="27"/>
      <c r="I16" s="27"/>
      <c r="J16" s="27">
        <v>20</v>
      </c>
      <c r="K16" s="27"/>
      <c r="L16" s="27"/>
      <c r="M16" s="27"/>
      <c r="N16" s="27"/>
      <c r="O16" s="27">
        <v>20</v>
      </c>
      <c r="P16" s="27"/>
      <c r="Q16" s="27"/>
      <c r="R16" s="27"/>
      <c r="S16" s="27">
        <v>5</v>
      </c>
      <c r="T16" s="27"/>
      <c r="U16" s="27"/>
      <c r="V16" s="27"/>
      <c r="W16" s="3">
        <f t="shared" si="2"/>
        <v>55</v>
      </c>
    </row>
    <row r="17" spans="1:23" s="23" customFormat="1">
      <c r="A17" s="421"/>
      <c r="B17" s="26" t="s">
        <v>58</v>
      </c>
      <c r="C17" s="27">
        <v>10</v>
      </c>
      <c r="D17" s="27"/>
      <c r="E17" s="27"/>
      <c r="F17" s="27"/>
      <c r="G17" s="27"/>
      <c r="H17" s="27">
        <v>20</v>
      </c>
      <c r="I17" s="27"/>
      <c r="J17" s="27"/>
      <c r="K17" s="27"/>
      <c r="L17" s="27"/>
      <c r="M17" s="27">
        <v>10</v>
      </c>
      <c r="N17" s="27">
        <v>5</v>
      </c>
      <c r="O17" s="27"/>
      <c r="P17" s="27"/>
      <c r="Q17" s="27"/>
      <c r="R17" s="27">
        <v>10</v>
      </c>
      <c r="S17" s="27"/>
      <c r="T17" s="27"/>
      <c r="U17" s="27"/>
      <c r="V17" s="27"/>
      <c r="W17" s="3">
        <f t="shared" si="2"/>
        <v>55</v>
      </c>
    </row>
    <row r="18" spans="1:23">
      <c r="A18" s="421"/>
      <c r="B18" s="14" t="s">
        <v>43</v>
      </c>
      <c r="C18" s="15">
        <v>8</v>
      </c>
      <c r="D18" s="15">
        <v>4</v>
      </c>
      <c r="E18" s="15">
        <v>8</v>
      </c>
      <c r="F18" s="15">
        <v>25</v>
      </c>
      <c r="G18" s="15">
        <v>10</v>
      </c>
      <c r="H18" s="15">
        <v>10</v>
      </c>
      <c r="I18" s="15">
        <v>5</v>
      </c>
      <c r="J18" s="15">
        <v>23</v>
      </c>
      <c r="K18" s="15">
        <v>53</v>
      </c>
      <c r="L18" s="15">
        <v>5</v>
      </c>
      <c r="M18" s="15">
        <v>6</v>
      </c>
      <c r="N18" s="15">
        <v>3</v>
      </c>
      <c r="O18" s="15">
        <v>12</v>
      </c>
      <c r="P18" s="15">
        <v>20</v>
      </c>
      <c r="Q18" s="15">
        <v>12</v>
      </c>
      <c r="R18" s="15">
        <v>8</v>
      </c>
      <c r="S18" s="15">
        <v>8</v>
      </c>
      <c r="T18" s="15">
        <v>16</v>
      </c>
      <c r="U18" s="15"/>
      <c r="V18" s="15">
        <v>15</v>
      </c>
    </row>
    <row r="19" spans="1:23">
      <c r="A19" s="421"/>
      <c r="B19" s="16" t="s">
        <v>44</v>
      </c>
      <c r="C19" s="19">
        <v>6</v>
      </c>
      <c r="D19" s="19">
        <v>2</v>
      </c>
      <c r="E19" s="19">
        <v>4</v>
      </c>
      <c r="F19" s="19">
        <v>20</v>
      </c>
      <c r="G19" s="19">
        <v>12</v>
      </c>
      <c r="H19" s="19">
        <v>11</v>
      </c>
      <c r="I19" s="19">
        <v>6</v>
      </c>
      <c r="J19" s="19">
        <v>26</v>
      </c>
      <c r="K19" s="19">
        <v>61</v>
      </c>
      <c r="L19" s="19">
        <v>6</v>
      </c>
      <c r="M19" s="19">
        <v>8</v>
      </c>
      <c r="N19" s="19">
        <v>4</v>
      </c>
      <c r="O19" s="19">
        <v>15</v>
      </c>
      <c r="P19" s="19">
        <v>25</v>
      </c>
      <c r="Q19" s="19">
        <v>15</v>
      </c>
      <c r="R19" s="19">
        <v>3</v>
      </c>
      <c r="S19" s="19">
        <v>3</v>
      </c>
      <c r="T19" s="19">
        <v>6</v>
      </c>
      <c r="U19" s="19"/>
      <c r="V19" s="19">
        <v>6</v>
      </c>
    </row>
    <row r="20" spans="1:23">
      <c r="A20" s="421"/>
      <c r="B20" s="17" t="s">
        <v>45</v>
      </c>
      <c r="C20" s="18">
        <v>17</v>
      </c>
      <c r="D20" s="18">
        <v>7</v>
      </c>
      <c r="E20" s="18">
        <v>14</v>
      </c>
      <c r="F20" s="18">
        <v>55</v>
      </c>
      <c r="G20" s="18">
        <v>13</v>
      </c>
      <c r="H20" s="18">
        <v>12</v>
      </c>
      <c r="I20" s="18">
        <v>6</v>
      </c>
      <c r="J20" s="18">
        <v>28</v>
      </c>
      <c r="K20" s="18">
        <v>65</v>
      </c>
      <c r="L20" s="18">
        <v>6</v>
      </c>
      <c r="M20" s="18">
        <v>10</v>
      </c>
      <c r="N20" s="18">
        <v>6</v>
      </c>
      <c r="O20" s="18">
        <v>21</v>
      </c>
      <c r="P20" s="18">
        <v>35</v>
      </c>
      <c r="Q20" s="18">
        <v>21</v>
      </c>
      <c r="R20" s="18">
        <v>5</v>
      </c>
      <c r="S20" s="18">
        <v>5</v>
      </c>
      <c r="T20" s="18">
        <v>10</v>
      </c>
      <c r="U20" s="18"/>
      <c r="V20" s="18">
        <v>10</v>
      </c>
    </row>
    <row r="21" spans="1:23">
      <c r="A21" s="421"/>
      <c r="B21" s="17" t="s">
        <v>46</v>
      </c>
      <c r="C21" s="18">
        <v>1</v>
      </c>
      <c r="D21" s="18">
        <v>1</v>
      </c>
      <c r="E21" s="18">
        <v>2</v>
      </c>
      <c r="F21" s="18">
        <v>5</v>
      </c>
      <c r="G21" s="18">
        <v>1</v>
      </c>
      <c r="H21" s="18">
        <v>1</v>
      </c>
      <c r="I21" s="18">
        <v>1</v>
      </c>
      <c r="J21" s="18">
        <v>3</v>
      </c>
      <c r="K21" s="18">
        <v>8</v>
      </c>
      <c r="L21" s="18">
        <v>1</v>
      </c>
      <c r="M21" s="18">
        <v>1</v>
      </c>
      <c r="N21" s="18">
        <v>1</v>
      </c>
      <c r="O21" s="18">
        <v>2</v>
      </c>
      <c r="P21" s="18">
        <v>2</v>
      </c>
      <c r="Q21" s="18">
        <v>2</v>
      </c>
      <c r="R21" s="18">
        <v>1</v>
      </c>
      <c r="S21" s="18">
        <v>1</v>
      </c>
      <c r="T21" s="18">
        <v>2</v>
      </c>
      <c r="U21" s="18"/>
      <c r="V21" s="18">
        <v>2</v>
      </c>
    </row>
    <row r="22" spans="1:23">
      <c r="A22" s="421"/>
      <c r="B22" s="17" t="s">
        <v>47</v>
      </c>
      <c r="C22" s="18">
        <v>3</v>
      </c>
      <c r="D22" s="18">
        <v>1</v>
      </c>
      <c r="E22" s="18">
        <v>2</v>
      </c>
      <c r="F22" s="18">
        <v>10</v>
      </c>
      <c r="G22" s="18">
        <v>2</v>
      </c>
      <c r="H22" s="18">
        <v>2</v>
      </c>
      <c r="I22" s="18">
        <v>1</v>
      </c>
      <c r="J22" s="18">
        <v>5</v>
      </c>
      <c r="K22" s="18">
        <v>11</v>
      </c>
      <c r="L22" s="18">
        <v>1</v>
      </c>
      <c r="M22" s="18">
        <v>2</v>
      </c>
      <c r="N22" s="18">
        <v>1</v>
      </c>
      <c r="O22" s="18">
        <v>4</v>
      </c>
      <c r="P22" s="18">
        <v>7</v>
      </c>
      <c r="Q22" s="18">
        <v>4</v>
      </c>
      <c r="R22" s="18">
        <v>1</v>
      </c>
      <c r="S22" s="18">
        <v>1</v>
      </c>
      <c r="T22" s="18">
        <v>2</v>
      </c>
      <c r="U22" s="18"/>
      <c r="V22" s="18">
        <v>2</v>
      </c>
    </row>
    <row r="23" spans="1:23">
      <c r="A23" s="421"/>
      <c r="B23" s="17" t="s">
        <v>48</v>
      </c>
      <c r="C23" s="18">
        <v>3</v>
      </c>
      <c r="D23" s="18">
        <v>1</v>
      </c>
      <c r="E23" s="18">
        <v>2</v>
      </c>
      <c r="F23" s="18">
        <v>10</v>
      </c>
      <c r="G23" s="18">
        <v>3</v>
      </c>
      <c r="H23" s="18">
        <v>3</v>
      </c>
      <c r="I23" s="18">
        <v>1</v>
      </c>
      <c r="J23" s="18">
        <v>7</v>
      </c>
      <c r="K23" s="18">
        <v>15</v>
      </c>
      <c r="L23" s="18">
        <v>1</v>
      </c>
      <c r="M23" s="18">
        <v>1</v>
      </c>
      <c r="N23" s="18">
        <v>1</v>
      </c>
      <c r="O23" s="18">
        <v>2</v>
      </c>
      <c r="P23" s="18">
        <v>4</v>
      </c>
      <c r="Q23" s="18">
        <v>2</v>
      </c>
      <c r="R23" s="18">
        <v>0</v>
      </c>
      <c r="S23" s="18">
        <v>0</v>
      </c>
      <c r="T23" s="18">
        <v>1</v>
      </c>
      <c r="U23" s="18"/>
      <c r="V23" s="18">
        <v>1</v>
      </c>
    </row>
    <row r="24" spans="1:23">
      <c r="A24" s="421"/>
      <c r="B24" s="17" t="s">
        <v>49</v>
      </c>
      <c r="C24" s="18">
        <v>1</v>
      </c>
      <c r="D24" s="18">
        <v>1</v>
      </c>
      <c r="E24" s="18">
        <v>2</v>
      </c>
      <c r="F24" s="18">
        <v>5</v>
      </c>
      <c r="G24" s="18">
        <v>2</v>
      </c>
      <c r="H24" s="18">
        <v>2</v>
      </c>
      <c r="I24" s="18">
        <v>1</v>
      </c>
      <c r="J24" s="18">
        <v>5</v>
      </c>
      <c r="K24" s="18">
        <v>11</v>
      </c>
      <c r="L24" s="18">
        <v>1</v>
      </c>
      <c r="M24" s="18">
        <v>2</v>
      </c>
      <c r="N24" s="18">
        <v>1</v>
      </c>
      <c r="O24" s="18">
        <v>3</v>
      </c>
      <c r="P24" s="18">
        <v>5</v>
      </c>
      <c r="Q24" s="18">
        <v>3</v>
      </c>
      <c r="R24" s="18">
        <v>1</v>
      </c>
      <c r="S24" s="18">
        <v>1</v>
      </c>
      <c r="T24" s="18">
        <v>3</v>
      </c>
      <c r="U24" s="18"/>
      <c r="V24" s="18">
        <v>2</v>
      </c>
    </row>
  </sheetData>
  <mergeCells count="1">
    <mergeCell ref="A8:A24"/>
  </mergeCells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2"/>
  <sheetData/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"/>
  <sheetViews>
    <sheetView topLeftCell="A7" workbookViewId="0">
      <selection activeCell="Q27" sqref="A27:Q27"/>
    </sheetView>
  </sheetViews>
  <sheetFormatPr defaultRowHeight="13.8"/>
  <cols>
    <col min="1" max="1" width="8.88671875" style="22"/>
    <col min="2" max="2" width="32.6640625" style="22" customWidth="1"/>
    <col min="3" max="3" width="18.77734375" style="22" customWidth="1"/>
    <col min="4" max="4" width="21.5546875" style="22" customWidth="1"/>
    <col min="5" max="11" width="8.88671875" style="22"/>
    <col min="12" max="12" width="24.77734375" style="22" bestFit="1" customWidth="1"/>
    <col min="13" max="16384" width="8.88671875" style="22"/>
  </cols>
  <sheetData>
    <row r="1" spans="1:17" ht="27.6">
      <c r="B1" s="110" t="s">
        <v>95</v>
      </c>
      <c r="C1" s="111" t="s">
        <v>42</v>
      </c>
      <c r="D1" s="111" t="s">
        <v>43</v>
      </c>
      <c r="E1" s="111" t="s">
        <v>44</v>
      </c>
      <c r="F1" s="112" t="s">
        <v>45</v>
      </c>
      <c r="G1" s="112" t="s">
        <v>46</v>
      </c>
      <c r="H1" s="112" t="s">
        <v>48</v>
      </c>
      <c r="I1" s="113" t="s">
        <v>47</v>
      </c>
      <c r="J1" s="113" t="s">
        <v>96</v>
      </c>
      <c r="L1" s="125" t="s">
        <v>171</v>
      </c>
      <c r="M1" s="126">
        <v>0</v>
      </c>
      <c r="N1" s="126" t="s">
        <v>98</v>
      </c>
      <c r="O1" s="126" t="s">
        <v>185</v>
      </c>
    </row>
    <row r="2" spans="1:17">
      <c r="B2" s="105" t="s">
        <v>97</v>
      </c>
      <c r="C2" s="107">
        <v>0.17699999999999999</v>
      </c>
      <c r="D2" s="107">
        <v>2.1999999999999999E-2</v>
      </c>
      <c r="E2" s="108">
        <v>1.4999999999999999E-2</v>
      </c>
      <c r="F2" s="109">
        <v>4.3999999999999997E-2</v>
      </c>
      <c r="G2" s="109">
        <v>2E-3</v>
      </c>
      <c r="H2" s="109">
        <v>8.0000000000000002E-3</v>
      </c>
      <c r="I2" s="109">
        <v>8.9999999999999993E-3</v>
      </c>
      <c r="J2" s="109">
        <v>4.0000000000000001E-3</v>
      </c>
      <c r="L2" s="114" t="s">
        <v>176</v>
      </c>
      <c r="M2" s="22">
        <v>41</v>
      </c>
      <c r="N2" s="22" t="s">
        <v>98</v>
      </c>
      <c r="O2" s="129" t="s">
        <v>204</v>
      </c>
    </row>
    <row r="3" spans="1:17">
      <c r="B3" s="106">
        <v>30.7</v>
      </c>
      <c r="C3" s="107">
        <v>0.11899999999999999</v>
      </c>
      <c r="D3" s="107">
        <v>1.4E-2</v>
      </c>
      <c r="E3" s="108">
        <v>1.6E-2</v>
      </c>
      <c r="F3" s="109">
        <v>1.7000000000000001E-2</v>
      </c>
      <c r="G3" s="109">
        <v>2E-3</v>
      </c>
      <c r="H3" s="109">
        <v>4.0000000000000001E-3</v>
      </c>
      <c r="I3" s="109">
        <v>3.0000000000000001E-3</v>
      </c>
      <c r="J3" s="109">
        <v>3.0000000000000001E-3</v>
      </c>
      <c r="L3" s="114" t="s">
        <v>180</v>
      </c>
      <c r="M3" s="22">
        <v>20</v>
      </c>
      <c r="N3" s="22" t="s">
        <v>98</v>
      </c>
      <c r="O3" s="129" t="s">
        <v>186</v>
      </c>
    </row>
    <row r="4" spans="1:17">
      <c r="B4" s="106">
        <v>30.8</v>
      </c>
      <c r="C4" s="107">
        <v>0.115</v>
      </c>
      <c r="D4" s="107">
        <v>1.6E-2</v>
      </c>
      <c r="E4" s="108">
        <v>0.02</v>
      </c>
      <c r="F4" s="109">
        <v>2.8000000000000001E-2</v>
      </c>
      <c r="G4" s="109">
        <v>2E-3</v>
      </c>
      <c r="H4" s="109">
        <v>3.0000000000000001E-3</v>
      </c>
      <c r="I4" s="109">
        <v>6.0000000000000001E-3</v>
      </c>
      <c r="J4" s="109">
        <v>4.0000000000000001E-3</v>
      </c>
      <c r="L4" s="114" t="s">
        <v>172</v>
      </c>
      <c r="M4" s="22">
        <v>20</v>
      </c>
      <c r="N4" s="22" t="s">
        <v>98</v>
      </c>
      <c r="O4" s="129" t="s">
        <v>187</v>
      </c>
    </row>
    <row r="5" spans="1:17">
      <c r="B5" s="106">
        <v>30.9</v>
      </c>
      <c r="C5" s="107">
        <v>0.14599999999999999</v>
      </c>
      <c r="D5" s="107">
        <v>2.5000000000000001E-2</v>
      </c>
      <c r="E5" s="108">
        <v>0.01</v>
      </c>
      <c r="F5" s="109">
        <v>1.6E-2</v>
      </c>
      <c r="G5" s="109">
        <v>3.0000000000000001E-3</v>
      </c>
      <c r="H5" s="109">
        <v>1E-3</v>
      </c>
      <c r="I5" s="109">
        <v>3.0000000000000001E-3</v>
      </c>
      <c r="J5" s="109">
        <v>4.0000000000000001E-3</v>
      </c>
      <c r="L5" s="125" t="s">
        <v>15</v>
      </c>
      <c r="M5" s="126">
        <v>0</v>
      </c>
      <c r="N5" s="126" t="s">
        <v>98</v>
      </c>
      <c r="O5" s="126" t="s">
        <v>166</v>
      </c>
    </row>
    <row r="6" spans="1:17">
      <c r="L6" s="114"/>
    </row>
    <row r="7" spans="1:17">
      <c r="L7" s="114" t="s">
        <v>205</v>
      </c>
      <c r="M7" s="22">
        <v>26</v>
      </c>
      <c r="N7" s="22" t="s">
        <v>99</v>
      </c>
    </row>
    <row r="8" spans="1:17">
      <c r="L8" s="114"/>
      <c r="O8" s="129"/>
    </row>
    <row r="9" spans="1:17" ht="14.4" thickBot="1">
      <c r="L9" s="114"/>
    </row>
    <row r="10" spans="1:17" ht="28.2" thickBot="1">
      <c r="A10" s="65" t="s">
        <v>111</v>
      </c>
      <c r="B10" s="66" t="s">
        <v>78</v>
      </c>
      <c r="C10" s="66" t="s">
        <v>110</v>
      </c>
      <c r="D10" s="66" t="s">
        <v>80</v>
      </c>
      <c r="E10" s="67" t="s">
        <v>65</v>
      </c>
      <c r="F10" s="115" t="s">
        <v>81</v>
      </c>
      <c r="G10" s="115" t="s">
        <v>68</v>
      </c>
      <c r="H10" s="115" t="s">
        <v>50</v>
      </c>
      <c r="I10" s="115" t="s">
        <v>51</v>
      </c>
      <c r="J10" s="115" t="s">
        <v>82</v>
      </c>
      <c r="K10" s="115" t="s">
        <v>109</v>
      </c>
      <c r="L10" s="91" t="s">
        <v>86</v>
      </c>
      <c r="M10" s="92" t="s">
        <v>83</v>
      </c>
      <c r="N10" s="93" t="s">
        <v>44</v>
      </c>
      <c r="O10" s="94" t="s">
        <v>84</v>
      </c>
      <c r="P10" s="95" t="s">
        <v>85</v>
      </c>
    </row>
    <row r="11" spans="1:17">
      <c r="A11" s="74">
        <v>5</v>
      </c>
      <c r="B11" s="74" t="s">
        <v>20</v>
      </c>
      <c r="C11" s="84" t="s">
        <v>40</v>
      </c>
      <c r="D11" s="88">
        <v>85</v>
      </c>
      <c r="E11" s="75">
        <v>24</v>
      </c>
      <c r="F11" s="75">
        <v>5</v>
      </c>
      <c r="G11" s="75">
        <v>10</v>
      </c>
      <c r="H11" s="75"/>
      <c r="I11" s="75"/>
      <c r="J11" s="75"/>
      <c r="K11" s="75">
        <v>2</v>
      </c>
      <c r="L11" s="75">
        <f>SUM(F11:K11)</f>
        <v>17</v>
      </c>
      <c r="M11" s="75"/>
      <c r="N11" s="75"/>
      <c r="O11" s="75">
        <v>5</v>
      </c>
      <c r="P11" s="77">
        <v>2</v>
      </c>
      <c r="Q11" s="62">
        <f t="shared" ref="Q11:Q26" si="0">SUM(F11:K11,M11:P11)</f>
        <v>24</v>
      </c>
    </row>
    <row r="12" spans="1:17">
      <c r="A12" s="58">
        <v>10</v>
      </c>
      <c r="B12" s="63" t="s">
        <v>11</v>
      </c>
      <c r="C12" s="83" t="s">
        <v>30</v>
      </c>
      <c r="D12" s="87">
        <v>50</v>
      </c>
      <c r="E12" s="64">
        <v>14</v>
      </c>
      <c r="F12" s="64">
        <v>10</v>
      </c>
      <c r="G12" s="64"/>
      <c r="H12" s="64"/>
      <c r="I12" s="64"/>
      <c r="J12" s="64"/>
      <c r="K12" s="64"/>
      <c r="L12" s="64">
        <f t="shared" ref="L12:L26" si="1">SUM(F12:K12)</f>
        <v>10</v>
      </c>
      <c r="M12" s="64"/>
      <c r="N12" s="64"/>
      <c r="O12" s="64">
        <v>2</v>
      </c>
      <c r="P12" s="69">
        <v>2</v>
      </c>
      <c r="Q12" s="62">
        <f t="shared" si="0"/>
        <v>14</v>
      </c>
    </row>
    <row r="13" spans="1:17">
      <c r="A13" s="74">
        <v>10</v>
      </c>
      <c r="B13" s="74" t="s">
        <v>190</v>
      </c>
      <c r="C13" s="84" t="s">
        <v>31</v>
      </c>
      <c r="D13" s="88">
        <v>460</v>
      </c>
      <c r="E13" s="75">
        <v>129</v>
      </c>
      <c r="F13" s="75">
        <v>30</v>
      </c>
      <c r="G13" s="75">
        <v>30</v>
      </c>
      <c r="H13" s="75"/>
      <c r="I13" s="75"/>
      <c r="J13" s="75">
        <v>20</v>
      </c>
      <c r="K13" s="75">
        <v>19</v>
      </c>
      <c r="L13" s="75">
        <f t="shared" si="1"/>
        <v>99</v>
      </c>
      <c r="M13" s="75"/>
      <c r="N13" s="75"/>
      <c r="O13" s="75">
        <v>20</v>
      </c>
      <c r="P13" s="77">
        <v>10</v>
      </c>
      <c r="Q13" s="62">
        <f t="shared" si="0"/>
        <v>129</v>
      </c>
    </row>
    <row r="14" spans="1:17">
      <c r="A14" s="58">
        <v>10</v>
      </c>
      <c r="B14" s="63" t="s">
        <v>13</v>
      </c>
      <c r="C14" s="83" t="s">
        <v>32</v>
      </c>
      <c r="D14" s="87">
        <v>880</v>
      </c>
      <c r="E14" s="64">
        <v>250</v>
      </c>
      <c r="F14" s="64">
        <v>70</v>
      </c>
      <c r="G14" s="64">
        <v>60</v>
      </c>
      <c r="H14" s="64"/>
      <c r="I14" s="64"/>
      <c r="J14" s="64">
        <v>20</v>
      </c>
      <c r="K14" s="64">
        <v>40</v>
      </c>
      <c r="L14" s="64">
        <f t="shared" si="1"/>
        <v>190</v>
      </c>
      <c r="M14" s="64"/>
      <c r="N14" s="64"/>
      <c r="O14" s="64">
        <v>50</v>
      </c>
      <c r="P14" s="69">
        <v>10</v>
      </c>
      <c r="Q14" s="62">
        <f t="shared" si="0"/>
        <v>250</v>
      </c>
    </row>
    <row r="15" spans="1:17">
      <c r="A15" s="74">
        <v>10</v>
      </c>
      <c r="B15" s="74" t="s">
        <v>164</v>
      </c>
      <c r="C15" s="84" t="s">
        <v>73</v>
      </c>
      <c r="D15" s="88">
        <v>440</v>
      </c>
      <c r="E15" s="75">
        <v>125</v>
      </c>
      <c r="F15" s="75">
        <v>40</v>
      </c>
      <c r="G15" s="75">
        <v>30</v>
      </c>
      <c r="H15" s="75"/>
      <c r="I15" s="75"/>
      <c r="J15" s="75">
        <v>10</v>
      </c>
      <c r="K15" s="75">
        <v>15</v>
      </c>
      <c r="L15" s="75">
        <f t="shared" si="1"/>
        <v>95</v>
      </c>
      <c r="M15" s="75"/>
      <c r="N15" s="75"/>
      <c r="O15" s="75">
        <v>20</v>
      </c>
      <c r="P15" s="77">
        <v>10</v>
      </c>
      <c r="Q15" s="62">
        <f t="shared" si="0"/>
        <v>125</v>
      </c>
    </row>
    <row r="16" spans="1:17">
      <c r="A16" s="58">
        <v>5</v>
      </c>
      <c r="B16" s="63" t="s">
        <v>17</v>
      </c>
      <c r="C16" s="83" t="s">
        <v>37</v>
      </c>
      <c r="D16" s="87">
        <v>1100</v>
      </c>
      <c r="E16" s="64">
        <v>195</v>
      </c>
      <c r="F16" s="64">
        <v>60</v>
      </c>
      <c r="G16" s="64">
        <v>60</v>
      </c>
      <c r="H16" s="64">
        <v>10</v>
      </c>
      <c r="I16" s="64"/>
      <c r="J16" s="64"/>
      <c r="K16" s="64">
        <v>30</v>
      </c>
      <c r="L16" s="64">
        <f t="shared" si="1"/>
        <v>160</v>
      </c>
      <c r="M16" s="64"/>
      <c r="N16" s="64"/>
      <c r="O16" s="64">
        <v>25</v>
      </c>
      <c r="P16" s="69">
        <v>10</v>
      </c>
      <c r="Q16" s="62">
        <f t="shared" si="0"/>
        <v>195</v>
      </c>
    </row>
    <row r="17" spans="1:17">
      <c r="A17" s="74">
        <v>10</v>
      </c>
      <c r="B17" s="74" t="s">
        <v>171</v>
      </c>
      <c r="C17" s="84" t="s">
        <v>33</v>
      </c>
      <c r="D17" s="88">
        <v>220</v>
      </c>
      <c r="E17" s="75">
        <v>39</v>
      </c>
      <c r="F17" s="75">
        <v>10</v>
      </c>
      <c r="G17" s="75">
        <v>10</v>
      </c>
      <c r="H17" s="75"/>
      <c r="I17" s="75"/>
      <c r="J17" s="75"/>
      <c r="K17" s="75"/>
      <c r="L17" s="75">
        <f t="shared" si="1"/>
        <v>20</v>
      </c>
      <c r="M17" s="75"/>
      <c r="N17" s="75"/>
      <c r="O17" s="75">
        <v>10</v>
      </c>
      <c r="P17" s="77">
        <v>9</v>
      </c>
      <c r="Q17" s="62">
        <f t="shared" si="0"/>
        <v>39</v>
      </c>
    </row>
    <row r="18" spans="1:17">
      <c r="A18" s="58">
        <v>10</v>
      </c>
      <c r="B18" s="63" t="s">
        <v>191</v>
      </c>
      <c r="C18" s="83" t="s">
        <v>25</v>
      </c>
      <c r="D18" s="87">
        <v>1220</v>
      </c>
      <c r="E18" s="64">
        <v>215</v>
      </c>
      <c r="F18" s="64">
        <v>40</v>
      </c>
      <c r="G18" s="64">
        <v>40</v>
      </c>
      <c r="H18" s="64">
        <v>40</v>
      </c>
      <c r="I18" s="64"/>
      <c r="J18" s="64">
        <v>10</v>
      </c>
      <c r="K18" s="64">
        <v>45</v>
      </c>
      <c r="L18" s="64">
        <f t="shared" si="1"/>
        <v>175</v>
      </c>
      <c r="M18" s="64"/>
      <c r="N18" s="64"/>
      <c r="O18" s="64">
        <v>30</v>
      </c>
      <c r="P18" s="69">
        <v>10</v>
      </c>
      <c r="Q18" s="62">
        <f t="shared" si="0"/>
        <v>215</v>
      </c>
    </row>
    <row r="19" spans="1:17">
      <c r="A19" s="74">
        <v>10</v>
      </c>
      <c r="B19" s="74" t="s">
        <v>176</v>
      </c>
      <c r="C19" s="84" t="s">
        <v>26</v>
      </c>
      <c r="D19" s="88">
        <v>5800</v>
      </c>
      <c r="E19" s="75">
        <v>1030</v>
      </c>
      <c r="F19" s="75">
        <v>200</v>
      </c>
      <c r="G19" s="75">
        <v>200</v>
      </c>
      <c r="H19" s="75">
        <v>200</v>
      </c>
      <c r="I19" s="75"/>
      <c r="J19" s="75">
        <v>50</v>
      </c>
      <c r="K19" s="75">
        <v>200</v>
      </c>
      <c r="L19" s="75">
        <f t="shared" si="1"/>
        <v>850</v>
      </c>
      <c r="M19" s="75"/>
      <c r="N19" s="75"/>
      <c r="O19" s="75">
        <v>130</v>
      </c>
      <c r="P19" s="77">
        <v>50</v>
      </c>
      <c r="Q19" s="62">
        <f t="shared" si="0"/>
        <v>1030</v>
      </c>
    </row>
    <row r="20" spans="1:17">
      <c r="A20" s="58">
        <v>10</v>
      </c>
      <c r="B20" s="63" t="s">
        <v>18</v>
      </c>
      <c r="C20" s="83" t="s">
        <v>38</v>
      </c>
      <c r="D20" s="87">
        <v>1940</v>
      </c>
      <c r="E20" s="64">
        <v>345</v>
      </c>
      <c r="F20" s="64">
        <v>80</v>
      </c>
      <c r="G20" s="64">
        <v>70</v>
      </c>
      <c r="H20" s="64">
        <v>60</v>
      </c>
      <c r="I20" s="64"/>
      <c r="J20" s="64">
        <v>10</v>
      </c>
      <c r="K20" s="64">
        <v>65</v>
      </c>
      <c r="L20" s="64">
        <f t="shared" si="1"/>
        <v>285</v>
      </c>
      <c r="M20" s="64"/>
      <c r="N20" s="64"/>
      <c r="O20" s="64">
        <v>50</v>
      </c>
      <c r="P20" s="69">
        <v>10</v>
      </c>
      <c r="Q20" s="62">
        <f t="shared" si="0"/>
        <v>345</v>
      </c>
    </row>
    <row r="21" spans="1:17">
      <c r="A21" s="74">
        <v>10</v>
      </c>
      <c r="B21" s="74" t="s">
        <v>180</v>
      </c>
      <c r="C21" s="84" t="s">
        <v>75</v>
      </c>
      <c r="D21" s="88">
        <v>210</v>
      </c>
      <c r="E21" s="75">
        <v>40</v>
      </c>
      <c r="F21" s="75">
        <v>10</v>
      </c>
      <c r="G21" s="75"/>
      <c r="H21" s="75">
        <v>10</v>
      </c>
      <c r="I21" s="75"/>
      <c r="J21" s="75"/>
      <c r="K21" s="75">
        <v>8</v>
      </c>
      <c r="L21" s="75">
        <f t="shared" si="1"/>
        <v>28</v>
      </c>
      <c r="M21" s="75"/>
      <c r="N21" s="75"/>
      <c r="O21" s="75">
        <v>10</v>
      </c>
      <c r="P21" s="77">
        <v>2</v>
      </c>
      <c r="Q21" s="62">
        <f t="shared" si="0"/>
        <v>40</v>
      </c>
    </row>
    <row r="22" spans="1:17">
      <c r="A22" s="58">
        <v>10</v>
      </c>
      <c r="B22" s="63" t="s">
        <v>2</v>
      </c>
      <c r="C22" s="83" t="s">
        <v>21</v>
      </c>
      <c r="D22" s="87">
        <v>100</v>
      </c>
      <c r="E22" s="64">
        <v>19</v>
      </c>
      <c r="F22" s="64"/>
      <c r="G22" s="64">
        <v>10</v>
      </c>
      <c r="H22" s="64"/>
      <c r="I22" s="64"/>
      <c r="J22" s="64"/>
      <c r="K22" s="64">
        <v>4</v>
      </c>
      <c r="L22" s="64">
        <f t="shared" si="1"/>
        <v>14</v>
      </c>
      <c r="M22" s="64"/>
      <c r="N22" s="64"/>
      <c r="O22" s="64">
        <v>4</v>
      </c>
      <c r="P22" s="69">
        <v>1</v>
      </c>
      <c r="Q22" s="62">
        <f t="shared" si="0"/>
        <v>19</v>
      </c>
    </row>
    <row r="23" spans="1:17">
      <c r="A23" s="74">
        <v>10</v>
      </c>
      <c r="B23" s="74" t="s">
        <v>104</v>
      </c>
      <c r="C23" s="84" t="s">
        <v>28</v>
      </c>
      <c r="D23" s="88">
        <v>150</v>
      </c>
      <c r="E23" s="75">
        <v>28</v>
      </c>
      <c r="F23" s="75">
        <v>5</v>
      </c>
      <c r="G23" s="75">
        <v>5</v>
      </c>
      <c r="H23" s="75">
        <v>2</v>
      </c>
      <c r="I23" s="75"/>
      <c r="J23" s="75">
        <v>5</v>
      </c>
      <c r="K23" s="75">
        <v>5</v>
      </c>
      <c r="L23" s="75">
        <f t="shared" si="1"/>
        <v>22</v>
      </c>
      <c r="M23" s="75"/>
      <c r="N23" s="75"/>
      <c r="O23" s="75">
        <v>4</v>
      </c>
      <c r="P23" s="77">
        <v>2</v>
      </c>
      <c r="Q23" s="62">
        <f t="shared" si="0"/>
        <v>28</v>
      </c>
    </row>
    <row r="24" spans="1:17">
      <c r="A24" s="58">
        <v>10</v>
      </c>
      <c r="B24" s="63" t="s">
        <v>5</v>
      </c>
      <c r="C24" s="83" t="s">
        <v>24</v>
      </c>
      <c r="D24" s="87">
        <v>300</v>
      </c>
      <c r="E24" s="64">
        <v>63</v>
      </c>
      <c r="F24" s="64">
        <v>10</v>
      </c>
      <c r="G24" s="64">
        <v>10</v>
      </c>
      <c r="H24" s="64">
        <v>10</v>
      </c>
      <c r="I24" s="64"/>
      <c r="J24" s="64">
        <v>10</v>
      </c>
      <c r="K24" s="64">
        <v>10</v>
      </c>
      <c r="L24" s="64">
        <f t="shared" si="1"/>
        <v>50</v>
      </c>
      <c r="M24" s="64"/>
      <c r="N24" s="64"/>
      <c r="O24" s="64">
        <v>10</v>
      </c>
      <c r="P24" s="69">
        <v>3</v>
      </c>
      <c r="Q24" s="62">
        <f t="shared" si="0"/>
        <v>63</v>
      </c>
    </row>
    <row r="25" spans="1:17">
      <c r="A25" s="74">
        <v>10</v>
      </c>
      <c r="B25" s="74" t="s">
        <v>193</v>
      </c>
      <c r="C25" s="84" t="s">
        <v>29</v>
      </c>
      <c r="D25" s="88">
        <v>340</v>
      </c>
      <c r="E25" s="75"/>
      <c r="F25" s="75"/>
      <c r="G25" s="75"/>
      <c r="H25" s="75"/>
      <c r="I25" s="75"/>
      <c r="J25" s="75"/>
      <c r="K25" s="75"/>
      <c r="L25" s="75">
        <f t="shared" si="1"/>
        <v>0</v>
      </c>
      <c r="M25" s="75"/>
      <c r="N25" s="75"/>
      <c r="O25" s="75"/>
      <c r="P25" s="77"/>
      <c r="Q25" s="62">
        <f t="shared" si="0"/>
        <v>0</v>
      </c>
    </row>
    <row r="26" spans="1:17" ht="14.4" thickBot="1">
      <c r="A26" s="58">
        <v>10</v>
      </c>
      <c r="B26" s="63" t="s">
        <v>19</v>
      </c>
      <c r="C26" s="83" t="s">
        <v>39</v>
      </c>
      <c r="D26" s="87">
        <v>60</v>
      </c>
      <c r="E26" s="64">
        <v>13</v>
      </c>
      <c r="F26" s="64">
        <v>5</v>
      </c>
      <c r="G26" s="64">
        <v>4</v>
      </c>
      <c r="H26" s="64"/>
      <c r="I26" s="64"/>
      <c r="J26" s="64"/>
      <c r="K26" s="64">
        <v>2</v>
      </c>
      <c r="L26" s="64">
        <f t="shared" si="1"/>
        <v>11</v>
      </c>
      <c r="M26" s="64"/>
      <c r="N26" s="64"/>
      <c r="O26" s="64">
        <v>1</v>
      </c>
      <c r="P26" s="69">
        <v>1</v>
      </c>
      <c r="Q26" s="62">
        <f t="shared" si="0"/>
        <v>13</v>
      </c>
    </row>
    <row r="27" spans="1:17" ht="14.4" thickBot="1">
      <c r="A27" s="66"/>
      <c r="B27" s="66"/>
      <c r="C27" s="104"/>
      <c r="D27" s="104">
        <f>SUM(D11:D26)</f>
        <v>13355</v>
      </c>
      <c r="E27" s="104">
        <f t="shared" ref="E27:Q27" si="2">SUM(E11:E26)</f>
        <v>2529</v>
      </c>
      <c r="F27" s="104">
        <f t="shared" si="2"/>
        <v>575</v>
      </c>
      <c r="G27" s="104">
        <f t="shared" si="2"/>
        <v>539</v>
      </c>
      <c r="H27" s="104">
        <f t="shared" si="2"/>
        <v>332</v>
      </c>
      <c r="I27" s="104">
        <f t="shared" si="2"/>
        <v>0</v>
      </c>
      <c r="J27" s="104">
        <f t="shared" si="2"/>
        <v>135</v>
      </c>
      <c r="K27" s="104">
        <f t="shared" si="2"/>
        <v>445</v>
      </c>
      <c r="L27" s="104">
        <f t="shared" si="2"/>
        <v>2026</v>
      </c>
      <c r="M27" s="104">
        <f t="shared" si="2"/>
        <v>0</v>
      </c>
      <c r="N27" s="104">
        <f t="shared" si="2"/>
        <v>0</v>
      </c>
      <c r="O27" s="104">
        <f t="shared" si="2"/>
        <v>371</v>
      </c>
      <c r="P27" s="104">
        <f t="shared" si="2"/>
        <v>132</v>
      </c>
      <c r="Q27" s="104">
        <f t="shared" si="2"/>
        <v>2529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6"/>
  <sheetViews>
    <sheetView topLeftCell="A13" zoomScale="90" zoomScaleNormal="90" workbookViewId="0">
      <selection activeCell="G43" sqref="G43"/>
    </sheetView>
  </sheetViews>
  <sheetFormatPr defaultRowHeight="13.8"/>
  <cols>
    <col min="1" max="1" width="8.88671875" style="22"/>
    <col min="2" max="2" width="27.44140625" style="22" customWidth="1"/>
    <col min="3" max="3" width="18.33203125" style="22" customWidth="1"/>
    <col min="4" max="5" width="0" style="22" hidden="1" customWidth="1"/>
    <col min="6" max="7" width="8.88671875" style="22"/>
    <col min="8" max="8" width="24.77734375" style="22" bestFit="1" customWidth="1"/>
    <col min="9" max="10" width="8.88671875" style="22"/>
    <col min="11" max="11" width="45" style="22" customWidth="1"/>
    <col min="12" max="16384" width="8.88671875" style="22"/>
  </cols>
  <sheetData>
    <row r="1" spans="1:17" ht="27.6">
      <c r="A1" s="133" t="s">
        <v>216</v>
      </c>
      <c r="B1" s="37" t="s">
        <v>89</v>
      </c>
      <c r="C1" s="37" t="s">
        <v>89</v>
      </c>
      <c r="D1" s="37" t="s">
        <v>89</v>
      </c>
      <c r="E1" s="37" t="s">
        <v>89</v>
      </c>
      <c r="F1" s="37" t="s">
        <v>215</v>
      </c>
      <c r="G1" s="37"/>
      <c r="H1" s="125" t="s">
        <v>171</v>
      </c>
      <c r="I1" s="126">
        <v>0</v>
      </c>
      <c r="J1" s="126" t="s">
        <v>98</v>
      </c>
      <c r="K1" s="139" t="s">
        <v>185</v>
      </c>
    </row>
    <row r="2" spans="1:17" ht="124.2">
      <c r="A2" s="133" t="s">
        <v>95</v>
      </c>
      <c r="B2" s="37" t="s">
        <v>76</v>
      </c>
      <c r="C2" s="134">
        <v>30.7</v>
      </c>
      <c r="D2" s="134">
        <v>30.8</v>
      </c>
      <c r="E2" s="134">
        <v>30.9</v>
      </c>
      <c r="F2" s="134" t="s">
        <v>217</v>
      </c>
      <c r="G2" s="134"/>
      <c r="H2" s="114" t="s">
        <v>176</v>
      </c>
      <c r="I2" s="22">
        <v>0</v>
      </c>
      <c r="J2" s="22" t="s">
        <v>98</v>
      </c>
      <c r="K2" s="5" t="s">
        <v>224</v>
      </c>
    </row>
    <row r="3" spans="1:17" ht="41.4">
      <c r="A3" s="37" t="s">
        <v>42</v>
      </c>
      <c r="B3" s="135">
        <v>0.17699999999999999</v>
      </c>
      <c r="C3" s="135">
        <v>0.11899999999999999</v>
      </c>
      <c r="D3" s="135">
        <v>0.115</v>
      </c>
      <c r="E3" s="135">
        <v>0.14599999999999999</v>
      </c>
      <c r="F3" s="135">
        <v>7.4999999999999997E-2</v>
      </c>
      <c r="G3" s="135"/>
      <c r="H3" s="114" t="s">
        <v>180</v>
      </c>
      <c r="I3" s="22">
        <v>0</v>
      </c>
      <c r="J3" s="22" t="s">
        <v>98</v>
      </c>
      <c r="K3" s="5" t="s">
        <v>225</v>
      </c>
    </row>
    <row r="4" spans="1:17" ht="41.4">
      <c r="A4" s="37" t="s">
        <v>43</v>
      </c>
      <c r="B4" s="135">
        <v>2.1999999999999999E-2</v>
      </c>
      <c r="C4" s="135">
        <v>1.4E-2</v>
      </c>
      <c r="D4" s="135">
        <v>1.6E-2</v>
      </c>
      <c r="E4" s="135">
        <v>2.5000000000000001E-2</v>
      </c>
      <c r="F4" s="135">
        <v>0.01</v>
      </c>
      <c r="G4" s="135"/>
      <c r="H4" s="114" t="s">
        <v>172</v>
      </c>
      <c r="I4" s="22">
        <v>0</v>
      </c>
      <c r="J4" s="22" t="s">
        <v>98</v>
      </c>
      <c r="K4" s="5" t="s">
        <v>226</v>
      </c>
    </row>
    <row r="5" spans="1:17">
      <c r="A5" s="37" t="s">
        <v>44</v>
      </c>
      <c r="B5" s="135">
        <v>1.4999999999999999E-2</v>
      </c>
      <c r="C5" s="135">
        <v>1.6E-2</v>
      </c>
      <c r="D5" s="135">
        <v>0.02</v>
      </c>
      <c r="E5" s="135">
        <v>0.01</v>
      </c>
      <c r="F5" s="135">
        <v>0.01</v>
      </c>
      <c r="G5" s="135"/>
      <c r="H5" s="125" t="s">
        <v>15</v>
      </c>
      <c r="I5" s="126">
        <v>0</v>
      </c>
      <c r="J5" s="126" t="s">
        <v>98</v>
      </c>
      <c r="K5" s="139" t="s">
        <v>166</v>
      </c>
    </row>
    <row r="6" spans="1:17">
      <c r="A6" s="37"/>
      <c r="B6" s="136">
        <f>SUM(B7:B9)</f>
        <v>5.3999999999999999E-2</v>
      </c>
      <c r="C6" s="136">
        <f t="shared" ref="C6:F6" si="0">SUM(C7:C9)</f>
        <v>2.3000000000000003E-2</v>
      </c>
      <c r="D6" s="136">
        <f t="shared" si="0"/>
        <v>3.3000000000000002E-2</v>
      </c>
      <c r="E6" s="136">
        <f t="shared" si="0"/>
        <v>0.02</v>
      </c>
      <c r="F6" s="136">
        <f t="shared" si="0"/>
        <v>5.0000000000000001E-3</v>
      </c>
      <c r="G6" s="135"/>
      <c r="H6" s="114"/>
    </row>
    <row r="7" spans="1:17">
      <c r="A7" s="37" t="s">
        <v>45</v>
      </c>
      <c r="B7" s="135">
        <v>4.3999999999999997E-2</v>
      </c>
      <c r="C7" s="135">
        <v>1.7000000000000001E-2</v>
      </c>
      <c r="D7" s="135">
        <v>2.8000000000000001E-2</v>
      </c>
      <c r="E7" s="135">
        <v>1.6E-2</v>
      </c>
      <c r="F7" s="135">
        <v>5.0000000000000001E-3</v>
      </c>
      <c r="G7" s="135"/>
      <c r="H7" s="125" t="s">
        <v>205</v>
      </c>
      <c r="I7" s="126">
        <v>0</v>
      </c>
      <c r="J7" s="126" t="s">
        <v>99</v>
      </c>
      <c r="K7" s="139" t="s">
        <v>223</v>
      </c>
    </row>
    <row r="8" spans="1:17">
      <c r="A8" s="37" t="s">
        <v>46</v>
      </c>
      <c r="B8" s="135">
        <v>2E-3</v>
      </c>
      <c r="C8" s="135">
        <v>2E-3</v>
      </c>
      <c r="D8" s="135">
        <v>2E-3</v>
      </c>
      <c r="E8" s="135">
        <v>3.0000000000000001E-3</v>
      </c>
      <c r="F8" s="135"/>
      <c r="G8" s="135"/>
    </row>
    <row r="9" spans="1:17">
      <c r="A9" s="37" t="s">
        <v>48</v>
      </c>
      <c r="B9" s="135">
        <v>8.0000000000000002E-3</v>
      </c>
      <c r="C9" s="135">
        <v>4.0000000000000001E-3</v>
      </c>
      <c r="D9" s="135">
        <v>3.0000000000000001E-3</v>
      </c>
      <c r="E9" s="135">
        <v>1E-3</v>
      </c>
      <c r="F9" s="135"/>
      <c r="G9" s="135"/>
    </row>
    <row r="10" spans="1:17">
      <c r="A10" s="37"/>
      <c r="B10" s="136">
        <f>SUM(B11:B12)</f>
        <v>1.2999999999999999E-2</v>
      </c>
      <c r="C10" s="136">
        <f t="shared" ref="C10:F10" si="1">SUM(C11:C12)</f>
        <v>6.0000000000000001E-3</v>
      </c>
      <c r="D10" s="136">
        <f t="shared" si="1"/>
        <v>0.01</v>
      </c>
      <c r="E10" s="136">
        <f t="shared" si="1"/>
        <v>7.0000000000000001E-3</v>
      </c>
      <c r="F10" s="136">
        <f t="shared" si="1"/>
        <v>0.01</v>
      </c>
      <c r="G10" s="135"/>
    </row>
    <row r="11" spans="1:17">
      <c r="A11" s="37" t="s">
        <v>47</v>
      </c>
      <c r="B11" s="135">
        <v>8.9999999999999993E-3</v>
      </c>
      <c r="C11" s="135">
        <v>3.0000000000000001E-3</v>
      </c>
      <c r="D11" s="135">
        <v>6.0000000000000001E-3</v>
      </c>
      <c r="E11" s="135">
        <v>3.0000000000000001E-3</v>
      </c>
      <c r="F11" s="135">
        <v>5.0000000000000001E-3</v>
      </c>
      <c r="G11" s="135"/>
    </row>
    <row r="12" spans="1:17">
      <c r="A12" s="37" t="s">
        <v>49</v>
      </c>
      <c r="B12" s="135">
        <v>4.0000000000000001E-3</v>
      </c>
      <c r="C12" s="135">
        <v>3.0000000000000001E-3</v>
      </c>
      <c r="D12" s="135">
        <v>4.0000000000000001E-3</v>
      </c>
      <c r="E12" s="135">
        <v>4.0000000000000001E-3</v>
      </c>
      <c r="F12" s="135">
        <v>5.0000000000000001E-3</v>
      </c>
      <c r="G12" s="135"/>
    </row>
    <row r="13" spans="1:17" ht="14.4" thickBot="1"/>
    <row r="14" spans="1:17" ht="28.2" thickBot="1">
      <c r="A14" s="65" t="s">
        <v>111</v>
      </c>
      <c r="B14" s="66" t="s">
        <v>78</v>
      </c>
      <c r="C14" s="66" t="s">
        <v>110</v>
      </c>
      <c r="D14" s="66" t="s">
        <v>80</v>
      </c>
      <c r="E14" s="67" t="s">
        <v>65</v>
      </c>
      <c r="F14" s="115" t="s">
        <v>81</v>
      </c>
      <c r="G14" s="115" t="s">
        <v>68</v>
      </c>
      <c r="H14" s="115" t="s">
        <v>50</v>
      </c>
      <c r="I14" s="115" t="s">
        <v>51</v>
      </c>
      <c r="J14" s="115" t="s">
        <v>82</v>
      </c>
      <c r="K14" s="115" t="s">
        <v>109</v>
      </c>
      <c r="L14" s="91" t="s">
        <v>86</v>
      </c>
      <c r="M14" s="92" t="s">
        <v>83</v>
      </c>
      <c r="N14" s="93" t="s">
        <v>44</v>
      </c>
      <c r="O14" s="94" t="s">
        <v>84</v>
      </c>
      <c r="P14" s="95" t="s">
        <v>85</v>
      </c>
    </row>
    <row r="15" spans="1:17">
      <c r="L15" s="135">
        <v>0.17699999999999999</v>
      </c>
      <c r="M15" s="135">
        <v>2.1999999999999999E-2</v>
      </c>
      <c r="N15" s="135">
        <v>1.4999999999999999E-2</v>
      </c>
      <c r="O15" s="137">
        <v>5.3999999999999999E-2</v>
      </c>
      <c r="P15" s="137">
        <v>1.2999999999999999E-2</v>
      </c>
      <c r="Q15" s="62"/>
    </row>
    <row r="16" spans="1:17">
      <c r="A16" s="74">
        <v>5</v>
      </c>
      <c r="B16" s="74" t="s">
        <v>163</v>
      </c>
      <c r="C16" s="84" t="s">
        <v>40</v>
      </c>
      <c r="D16" s="88">
        <f>2000-2000+420</f>
        <v>420</v>
      </c>
      <c r="E16" s="75">
        <v>120</v>
      </c>
      <c r="F16" s="75">
        <v>30</v>
      </c>
      <c r="G16" s="75">
        <v>20</v>
      </c>
      <c r="H16" s="75">
        <v>20</v>
      </c>
      <c r="I16" s="75"/>
      <c r="J16" s="75">
        <v>10</v>
      </c>
      <c r="K16" s="75"/>
      <c r="L16" s="75">
        <f>SUM(F16:K16)</f>
        <v>80</v>
      </c>
      <c r="M16" s="75">
        <v>10</v>
      </c>
      <c r="N16" s="75">
        <v>5</v>
      </c>
      <c r="O16" s="75">
        <v>20</v>
      </c>
      <c r="P16" s="77">
        <v>5</v>
      </c>
      <c r="Q16" s="62">
        <f t="shared" ref="Q16:Q45" si="2">SUM(F16:K16,M16:P16)</f>
        <v>120</v>
      </c>
    </row>
    <row r="17" spans="1:17">
      <c r="A17" s="58">
        <v>10</v>
      </c>
      <c r="B17" s="63" t="s">
        <v>11</v>
      </c>
      <c r="C17" s="83" t="s">
        <v>30</v>
      </c>
      <c r="D17" s="87">
        <f>2000-2000+70</f>
        <v>70</v>
      </c>
      <c r="E17" s="64">
        <v>20</v>
      </c>
      <c r="F17" s="64">
        <v>10</v>
      </c>
      <c r="G17" s="64"/>
      <c r="H17" s="64"/>
      <c r="I17" s="64"/>
      <c r="J17" s="64"/>
      <c r="K17" s="64"/>
      <c r="L17" s="64">
        <f t="shared" ref="L17:L45" si="3">SUM(F17:K17)</f>
        <v>10</v>
      </c>
      <c r="M17" s="64"/>
      <c r="N17" s="64"/>
      <c r="O17" s="64">
        <v>10</v>
      </c>
      <c r="P17" s="69"/>
      <c r="Q17" s="62">
        <f t="shared" si="2"/>
        <v>20</v>
      </c>
    </row>
    <row r="18" spans="1:17">
      <c r="A18" s="74">
        <v>10</v>
      </c>
      <c r="B18" s="74" t="s">
        <v>190</v>
      </c>
      <c r="C18" s="84" t="s">
        <v>31</v>
      </c>
      <c r="D18" s="88">
        <f>6000-6000+840</f>
        <v>840</v>
      </c>
      <c r="E18" s="75">
        <v>240</v>
      </c>
      <c r="F18" s="75">
        <v>50</v>
      </c>
      <c r="G18" s="75">
        <v>40</v>
      </c>
      <c r="H18" s="75">
        <v>40</v>
      </c>
      <c r="I18" s="75"/>
      <c r="J18" s="75">
        <v>20</v>
      </c>
      <c r="K18" s="75"/>
      <c r="L18" s="75">
        <f t="shared" si="3"/>
        <v>150</v>
      </c>
      <c r="M18" s="75">
        <v>20</v>
      </c>
      <c r="N18" s="75">
        <v>10</v>
      </c>
      <c r="O18" s="75">
        <v>50</v>
      </c>
      <c r="P18" s="77">
        <v>10</v>
      </c>
      <c r="Q18" s="62">
        <f t="shared" si="2"/>
        <v>240</v>
      </c>
    </row>
    <row r="19" spans="1:17">
      <c r="A19" s="58">
        <v>10</v>
      </c>
      <c r="B19" s="63" t="s">
        <v>13</v>
      </c>
      <c r="C19" s="83" t="s">
        <v>32</v>
      </c>
      <c r="D19" s="87">
        <f>3000-3000+2080</f>
        <v>2080</v>
      </c>
      <c r="E19" s="64">
        <v>580</v>
      </c>
      <c r="F19" s="64">
        <v>120</v>
      </c>
      <c r="G19" s="64">
        <v>100</v>
      </c>
      <c r="H19" s="64">
        <v>100</v>
      </c>
      <c r="I19" s="64"/>
      <c r="J19" s="64">
        <v>40</v>
      </c>
      <c r="K19" s="64"/>
      <c r="L19" s="64">
        <f t="shared" si="3"/>
        <v>360</v>
      </c>
      <c r="M19" s="64">
        <v>50</v>
      </c>
      <c r="N19" s="64">
        <v>30</v>
      </c>
      <c r="O19" s="64">
        <v>110</v>
      </c>
      <c r="P19" s="69">
        <v>30</v>
      </c>
      <c r="Q19" s="62">
        <f t="shared" si="2"/>
        <v>580</v>
      </c>
    </row>
    <row r="20" spans="1:17">
      <c r="A20" s="74">
        <v>10</v>
      </c>
      <c r="B20" s="74" t="s">
        <v>164</v>
      </c>
      <c r="C20" s="84" t="s">
        <v>73</v>
      </c>
      <c r="D20" s="88">
        <f>5000-5000+860</f>
        <v>860</v>
      </c>
      <c r="E20" s="75">
        <v>240</v>
      </c>
      <c r="F20" s="75">
        <v>60</v>
      </c>
      <c r="G20" s="75">
        <v>40</v>
      </c>
      <c r="H20" s="75">
        <v>40</v>
      </c>
      <c r="I20" s="75"/>
      <c r="J20" s="75">
        <v>20</v>
      </c>
      <c r="K20" s="75"/>
      <c r="L20" s="75">
        <f t="shared" si="3"/>
        <v>160</v>
      </c>
      <c r="M20" s="75">
        <v>20</v>
      </c>
      <c r="N20" s="75">
        <v>10</v>
      </c>
      <c r="O20" s="75">
        <v>40</v>
      </c>
      <c r="P20" s="77">
        <v>10</v>
      </c>
      <c r="Q20" s="62">
        <f t="shared" si="2"/>
        <v>240</v>
      </c>
    </row>
    <row r="21" spans="1:17">
      <c r="A21" s="131"/>
      <c r="B21" s="132"/>
      <c r="C21" s="132"/>
      <c r="D21" s="132"/>
      <c r="L21" s="135">
        <v>0.11899999999999999</v>
      </c>
      <c r="M21" s="135">
        <v>1.4E-2</v>
      </c>
      <c r="N21" s="135">
        <v>1.6E-2</v>
      </c>
      <c r="O21" s="137">
        <v>2.3E-2</v>
      </c>
      <c r="P21" s="137">
        <v>6.0000000000000001E-3</v>
      </c>
      <c r="Q21" s="62"/>
    </row>
    <row r="22" spans="1:17">
      <c r="A22" s="74">
        <v>5</v>
      </c>
      <c r="B22" s="74" t="s">
        <v>218</v>
      </c>
      <c r="C22" s="84" t="s">
        <v>37</v>
      </c>
      <c r="D22" s="88">
        <f>2000-2000+1120</f>
        <v>1120</v>
      </c>
      <c r="E22" s="75">
        <v>190</v>
      </c>
      <c r="F22" s="75">
        <v>45</v>
      </c>
      <c r="G22" s="75">
        <v>40</v>
      </c>
      <c r="H22" s="75">
        <v>40</v>
      </c>
      <c r="I22" s="75"/>
      <c r="J22" s="75"/>
      <c r="K22" s="75"/>
      <c r="L22" s="75">
        <f t="shared" si="3"/>
        <v>125</v>
      </c>
      <c r="M22" s="75">
        <v>15</v>
      </c>
      <c r="N22" s="75">
        <v>20</v>
      </c>
      <c r="O22" s="75">
        <v>25</v>
      </c>
      <c r="P22" s="77">
        <v>5</v>
      </c>
      <c r="Q22" s="62">
        <f t="shared" si="2"/>
        <v>190</v>
      </c>
    </row>
    <row r="23" spans="1:17">
      <c r="A23" s="58">
        <v>10</v>
      </c>
      <c r="B23" s="63" t="s">
        <v>6</v>
      </c>
      <c r="C23" s="83" t="s">
        <v>25</v>
      </c>
      <c r="D23" s="87">
        <f>8000-8000+1000</f>
        <v>1000</v>
      </c>
      <c r="E23" s="64">
        <v>170</v>
      </c>
      <c r="F23" s="64">
        <v>40</v>
      </c>
      <c r="G23" s="64">
        <v>30</v>
      </c>
      <c r="H23" s="64">
        <v>20</v>
      </c>
      <c r="I23" s="64"/>
      <c r="J23" s="64">
        <v>10</v>
      </c>
      <c r="K23" s="64"/>
      <c r="L23" s="64">
        <f t="shared" si="3"/>
        <v>100</v>
      </c>
      <c r="M23" s="64">
        <v>20</v>
      </c>
      <c r="N23" s="64">
        <v>20</v>
      </c>
      <c r="O23" s="64">
        <v>20</v>
      </c>
      <c r="P23" s="69">
        <v>10</v>
      </c>
      <c r="Q23" s="62">
        <f t="shared" si="2"/>
        <v>170</v>
      </c>
    </row>
    <row r="24" spans="1:17">
      <c r="A24" s="74">
        <v>10</v>
      </c>
      <c r="B24" s="74" t="s">
        <v>176</v>
      </c>
      <c r="C24" s="84" t="s">
        <v>26</v>
      </c>
      <c r="D24" s="88">
        <f>6000-6000+4600</f>
        <v>4600</v>
      </c>
      <c r="E24" s="75">
        <v>800</v>
      </c>
      <c r="F24" s="75">
        <v>180</v>
      </c>
      <c r="G24" s="75">
        <v>160</v>
      </c>
      <c r="H24" s="75">
        <v>180</v>
      </c>
      <c r="I24" s="75"/>
      <c r="J24" s="75">
        <v>20</v>
      </c>
      <c r="K24" s="75"/>
      <c r="L24" s="75">
        <f t="shared" si="3"/>
        <v>540</v>
      </c>
      <c r="M24" s="75">
        <v>60</v>
      </c>
      <c r="N24" s="75">
        <v>70</v>
      </c>
      <c r="O24" s="75">
        <v>100</v>
      </c>
      <c r="P24" s="77">
        <v>30</v>
      </c>
      <c r="Q24" s="62">
        <f t="shared" si="2"/>
        <v>800</v>
      </c>
    </row>
    <row r="25" spans="1:17">
      <c r="A25" s="58">
        <v>10</v>
      </c>
      <c r="B25" s="63" t="s">
        <v>18</v>
      </c>
      <c r="C25" s="83" t="s">
        <v>38</v>
      </c>
      <c r="D25" s="87">
        <f>2000-2000+1200</f>
        <v>1200</v>
      </c>
      <c r="E25" s="64">
        <v>210</v>
      </c>
      <c r="F25" s="64">
        <v>50</v>
      </c>
      <c r="G25" s="64">
        <v>30</v>
      </c>
      <c r="H25" s="64">
        <v>40</v>
      </c>
      <c r="I25" s="64"/>
      <c r="J25" s="64">
        <v>10</v>
      </c>
      <c r="K25" s="64"/>
      <c r="L25" s="64">
        <f t="shared" si="3"/>
        <v>130</v>
      </c>
      <c r="M25" s="64">
        <v>20</v>
      </c>
      <c r="N25" s="64">
        <v>20</v>
      </c>
      <c r="O25" s="64">
        <v>30</v>
      </c>
      <c r="P25" s="69">
        <v>10</v>
      </c>
      <c r="Q25" s="62">
        <f t="shared" si="2"/>
        <v>210</v>
      </c>
    </row>
    <row r="26" spans="1:17">
      <c r="A26" s="131"/>
      <c r="B26" s="132"/>
      <c r="C26" s="132"/>
      <c r="D26" s="132"/>
      <c r="L26" s="135">
        <v>0.115</v>
      </c>
      <c r="M26" s="135">
        <v>1.6E-2</v>
      </c>
      <c r="N26" s="135">
        <v>0.02</v>
      </c>
      <c r="O26" s="136">
        <v>3.3000000000000002E-2</v>
      </c>
      <c r="P26" s="138">
        <v>0.01</v>
      </c>
      <c r="Q26" s="62"/>
    </row>
    <row r="27" spans="1:17">
      <c r="A27" s="74">
        <v>4</v>
      </c>
      <c r="B27" s="74" t="s">
        <v>219</v>
      </c>
      <c r="C27" s="84" t="s">
        <v>88</v>
      </c>
      <c r="D27" s="88">
        <f>500-500+28</f>
        <v>28</v>
      </c>
      <c r="E27" s="75">
        <v>4</v>
      </c>
      <c r="F27" s="75">
        <v>4</v>
      </c>
      <c r="G27" s="75"/>
      <c r="H27" s="75"/>
      <c r="I27" s="75"/>
      <c r="J27" s="75"/>
      <c r="K27" s="75"/>
      <c r="L27" s="75">
        <f t="shared" si="3"/>
        <v>4</v>
      </c>
      <c r="M27" s="75"/>
      <c r="N27" s="75"/>
      <c r="O27" s="75"/>
      <c r="P27" s="77"/>
      <c r="Q27" s="62">
        <f t="shared" si="2"/>
        <v>4</v>
      </c>
    </row>
    <row r="28" spans="1:17">
      <c r="A28" s="58">
        <v>10</v>
      </c>
      <c r="B28" s="63" t="s">
        <v>72</v>
      </c>
      <c r="C28" s="83" t="s">
        <v>75</v>
      </c>
      <c r="D28" s="87">
        <f>1000-1000+20</f>
        <v>20</v>
      </c>
      <c r="E28" s="64">
        <v>10</v>
      </c>
      <c r="F28" s="64"/>
      <c r="G28" s="64"/>
      <c r="H28" s="64"/>
      <c r="I28" s="64"/>
      <c r="J28" s="64"/>
      <c r="K28" s="64"/>
      <c r="L28" s="64">
        <f t="shared" si="3"/>
        <v>0</v>
      </c>
      <c r="M28" s="64"/>
      <c r="N28" s="64">
        <v>5</v>
      </c>
      <c r="O28" s="64">
        <v>5</v>
      </c>
      <c r="P28" s="69"/>
      <c r="Q28" s="62">
        <f t="shared" si="2"/>
        <v>10</v>
      </c>
    </row>
    <row r="29" spans="1:17">
      <c r="A29" s="74">
        <v>10</v>
      </c>
      <c r="B29" s="74" t="s">
        <v>94</v>
      </c>
      <c r="C29" s="84" t="s">
        <v>22</v>
      </c>
      <c r="D29" s="88">
        <f>7000-7000+340</f>
        <v>340</v>
      </c>
      <c r="E29" s="75">
        <v>60</v>
      </c>
      <c r="F29" s="75">
        <v>10</v>
      </c>
      <c r="G29" s="75">
        <v>10</v>
      </c>
      <c r="H29" s="75"/>
      <c r="I29" s="75"/>
      <c r="J29" s="75">
        <v>5</v>
      </c>
      <c r="K29" s="75"/>
      <c r="L29" s="75">
        <f t="shared" si="3"/>
        <v>25</v>
      </c>
      <c r="M29" s="75">
        <v>10</v>
      </c>
      <c r="N29" s="75">
        <v>10</v>
      </c>
      <c r="O29" s="75">
        <v>10</v>
      </c>
      <c r="P29" s="77">
        <v>5</v>
      </c>
      <c r="Q29" s="62">
        <f t="shared" si="2"/>
        <v>60</v>
      </c>
    </row>
    <row r="30" spans="1:17">
      <c r="A30" s="58">
        <v>1</v>
      </c>
      <c r="B30" s="63" t="s">
        <v>115</v>
      </c>
      <c r="C30" s="83" t="s">
        <v>188</v>
      </c>
      <c r="D30" s="87">
        <f>100-100+10</f>
        <v>10</v>
      </c>
      <c r="E30" s="64">
        <v>2</v>
      </c>
      <c r="F30" s="64"/>
      <c r="G30" s="64">
        <v>2</v>
      </c>
      <c r="H30" s="64"/>
      <c r="I30" s="64"/>
      <c r="J30" s="64"/>
      <c r="K30" s="64"/>
      <c r="L30" s="64">
        <f t="shared" si="3"/>
        <v>2</v>
      </c>
      <c r="M30" s="64"/>
      <c r="N30" s="64"/>
      <c r="O30" s="64"/>
      <c r="P30" s="69"/>
      <c r="Q30" s="62">
        <f t="shared" si="2"/>
        <v>2</v>
      </c>
    </row>
    <row r="31" spans="1:17">
      <c r="A31" s="74">
        <v>10</v>
      </c>
      <c r="B31" s="74" t="s">
        <v>104</v>
      </c>
      <c r="C31" s="84" t="s">
        <v>28</v>
      </c>
      <c r="D31" s="88">
        <f>1000-1000+10</f>
        <v>10</v>
      </c>
      <c r="E31" s="75">
        <v>0</v>
      </c>
      <c r="F31" s="75"/>
      <c r="G31" s="75"/>
      <c r="H31" s="75"/>
      <c r="I31" s="75"/>
      <c r="J31" s="75"/>
      <c r="K31" s="75"/>
      <c r="L31" s="75">
        <f t="shared" si="3"/>
        <v>0</v>
      </c>
      <c r="M31" s="75"/>
      <c r="N31" s="75"/>
      <c r="O31" s="75"/>
      <c r="P31" s="77"/>
      <c r="Q31" s="62">
        <f t="shared" si="2"/>
        <v>0</v>
      </c>
    </row>
    <row r="32" spans="1:17">
      <c r="A32" s="131"/>
      <c r="B32" s="132"/>
      <c r="C32" s="132"/>
      <c r="D32" s="132"/>
      <c r="E32" s="132"/>
      <c r="L32" s="135">
        <v>0.14599999999999999</v>
      </c>
      <c r="M32" s="135">
        <v>2.5000000000000001E-2</v>
      </c>
      <c r="N32" s="135">
        <v>0.01</v>
      </c>
      <c r="O32" s="136">
        <v>0.02</v>
      </c>
      <c r="P32" s="138">
        <v>7.0000000000000001E-3</v>
      </c>
      <c r="Q32" s="62"/>
    </row>
    <row r="33" spans="1:17">
      <c r="A33" s="74">
        <v>5</v>
      </c>
      <c r="B33" s="74" t="s">
        <v>192</v>
      </c>
      <c r="C33" s="84" t="s">
        <v>34</v>
      </c>
      <c r="D33" s="88">
        <f>500-500+50</f>
        <v>50</v>
      </c>
      <c r="E33" s="75">
        <v>10</v>
      </c>
      <c r="F33" s="75">
        <v>5</v>
      </c>
      <c r="G33" s="75"/>
      <c r="H33" s="75"/>
      <c r="I33" s="75"/>
      <c r="J33" s="75"/>
      <c r="K33" s="75"/>
      <c r="L33" s="75">
        <f t="shared" si="3"/>
        <v>5</v>
      </c>
      <c r="M33" s="75"/>
      <c r="N33" s="75">
        <v>5</v>
      </c>
      <c r="O33" s="75"/>
      <c r="P33" s="77"/>
      <c r="Q33" s="62">
        <f t="shared" si="2"/>
        <v>10</v>
      </c>
    </row>
    <row r="34" spans="1:17">
      <c r="A34" s="58">
        <v>4</v>
      </c>
      <c r="B34" s="63" t="s">
        <v>167</v>
      </c>
      <c r="C34" s="83" t="s">
        <v>168</v>
      </c>
      <c r="D34" s="87">
        <f>500-500+120</f>
        <v>120</v>
      </c>
      <c r="E34" s="64">
        <v>24</v>
      </c>
      <c r="F34" s="64">
        <v>8</v>
      </c>
      <c r="G34" s="64">
        <v>8</v>
      </c>
      <c r="H34" s="64"/>
      <c r="I34" s="64"/>
      <c r="J34" s="64"/>
      <c r="K34" s="64"/>
      <c r="L34" s="64">
        <f t="shared" si="3"/>
        <v>16</v>
      </c>
      <c r="M34" s="64">
        <v>4</v>
      </c>
      <c r="N34" s="64">
        <v>4</v>
      </c>
      <c r="O34" s="64"/>
      <c r="P34" s="69"/>
      <c r="Q34" s="62">
        <f t="shared" si="2"/>
        <v>24</v>
      </c>
    </row>
    <row r="35" spans="1:17">
      <c r="A35" s="74">
        <v>5</v>
      </c>
      <c r="B35" s="74" t="s">
        <v>173</v>
      </c>
      <c r="C35" s="84" t="s">
        <v>169</v>
      </c>
      <c r="D35" s="88">
        <f>500-500+60</f>
        <v>60</v>
      </c>
      <c r="E35" s="75">
        <v>10</v>
      </c>
      <c r="F35" s="75">
        <v>5</v>
      </c>
      <c r="G35" s="75">
        <v>5</v>
      </c>
      <c r="H35" s="75"/>
      <c r="I35" s="75"/>
      <c r="J35" s="75"/>
      <c r="K35" s="75"/>
      <c r="L35" s="75">
        <f t="shared" si="3"/>
        <v>10</v>
      </c>
      <c r="M35" s="75"/>
      <c r="N35" s="75"/>
      <c r="O35" s="75"/>
      <c r="P35" s="77"/>
      <c r="Q35" s="62">
        <f t="shared" si="2"/>
        <v>10</v>
      </c>
    </row>
    <row r="36" spans="1:17">
      <c r="A36" s="58">
        <v>10</v>
      </c>
      <c r="B36" s="63" t="s">
        <v>207</v>
      </c>
      <c r="C36" s="83" t="s">
        <v>189</v>
      </c>
      <c r="D36" s="87">
        <f>700-700+10</f>
        <v>10</v>
      </c>
      <c r="E36" s="64"/>
      <c r="F36" s="64"/>
      <c r="G36" s="64"/>
      <c r="H36" s="64"/>
      <c r="I36" s="64"/>
      <c r="J36" s="64"/>
      <c r="K36" s="64"/>
      <c r="L36" s="64">
        <f t="shared" si="3"/>
        <v>0</v>
      </c>
      <c r="M36" s="64"/>
      <c r="N36" s="64"/>
      <c r="O36" s="64"/>
      <c r="P36" s="69"/>
      <c r="Q36" s="62">
        <f t="shared" si="2"/>
        <v>0</v>
      </c>
    </row>
    <row r="37" spans="1:17">
      <c r="A37" s="74">
        <v>1</v>
      </c>
      <c r="B37" s="74" t="s">
        <v>175</v>
      </c>
      <c r="C37" s="84" t="s">
        <v>170</v>
      </c>
      <c r="D37" s="88">
        <f>50-50+30</f>
        <v>30</v>
      </c>
      <c r="E37" s="75">
        <v>6</v>
      </c>
      <c r="F37" s="75">
        <v>2</v>
      </c>
      <c r="G37" s="75">
        <v>4</v>
      </c>
      <c r="H37" s="75"/>
      <c r="I37" s="75"/>
      <c r="J37" s="75"/>
      <c r="K37" s="75"/>
      <c r="L37" s="75">
        <f t="shared" si="3"/>
        <v>6</v>
      </c>
      <c r="M37" s="75"/>
      <c r="N37" s="75"/>
      <c r="O37" s="75"/>
      <c r="P37" s="77"/>
      <c r="Q37" s="62">
        <f t="shared" si="2"/>
        <v>6</v>
      </c>
    </row>
    <row r="38" spans="1:17">
      <c r="A38" s="74">
        <v>10</v>
      </c>
      <c r="B38" s="74" t="s">
        <v>193</v>
      </c>
      <c r="C38" s="84" t="s">
        <v>29</v>
      </c>
      <c r="D38" s="88">
        <f>2000-2000+370</f>
        <v>370</v>
      </c>
      <c r="E38" s="75">
        <v>60</v>
      </c>
      <c r="F38" s="75">
        <v>10</v>
      </c>
      <c r="G38" s="75"/>
      <c r="H38" s="75"/>
      <c r="I38" s="75"/>
      <c r="J38" s="75">
        <v>10</v>
      </c>
      <c r="K38" s="75"/>
      <c r="L38" s="75">
        <f t="shared" si="3"/>
        <v>20</v>
      </c>
      <c r="M38" s="75">
        <v>10</v>
      </c>
      <c r="N38" s="75">
        <v>10</v>
      </c>
      <c r="O38" s="75">
        <v>10</v>
      </c>
      <c r="P38" s="77">
        <v>10</v>
      </c>
      <c r="Q38" s="62">
        <f t="shared" si="2"/>
        <v>60</v>
      </c>
    </row>
    <row r="39" spans="1:17">
      <c r="A39" s="131"/>
      <c r="B39" s="132"/>
      <c r="C39" s="132"/>
      <c r="D39" s="132"/>
      <c r="L39" s="135">
        <v>7.4999999999999997E-2</v>
      </c>
      <c r="M39" s="135">
        <v>0.01</v>
      </c>
      <c r="N39" s="135">
        <v>0.01</v>
      </c>
      <c r="O39" s="136">
        <v>5.0000000000000001E-3</v>
      </c>
      <c r="P39" s="138">
        <v>0.01</v>
      </c>
      <c r="Q39" s="62"/>
    </row>
    <row r="40" spans="1:17">
      <c r="A40" s="74">
        <v>5</v>
      </c>
      <c r="B40" s="74" t="s">
        <v>220</v>
      </c>
      <c r="C40" s="84" t="s">
        <v>210</v>
      </c>
      <c r="D40" s="88">
        <f>1630-1630+90</f>
        <v>90</v>
      </c>
      <c r="E40" s="75">
        <v>10</v>
      </c>
      <c r="F40" s="75">
        <v>5</v>
      </c>
      <c r="G40" s="75"/>
      <c r="H40" s="75">
        <v>5</v>
      </c>
      <c r="I40" s="75"/>
      <c r="J40" s="75"/>
      <c r="K40" s="75"/>
      <c r="L40" s="75">
        <f t="shared" si="3"/>
        <v>10</v>
      </c>
      <c r="M40" s="75"/>
      <c r="N40" s="75"/>
      <c r="O40" s="75"/>
      <c r="P40" s="77"/>
      <c r="Q40" s="62">
        <f t="shared" si="2"/>
        <v>10</v>
      </c>
    </row>
    <row r="41" spans="1:17">
      <c r="A41" s="58">
        <v>10</v>
      </c>
      <c r="B41" s="63" t="s">
        <v>208</v>
      </c>
      <c r="C41" s="83" t="s">
        <v>197</v>
      </c>
      <c r="D41" s="87">
        <f>3000-3000+320</f>
        <v>320</v>
      </c>
      <c r="E41" s="64">
        <v>35</v>
      </c>
      <c r="F41" s="64">
        <v>5</v>
      </c>
      <c r="G41" s="64">
        <v>5</v>
      </c>
      <c r="H41" s="64">
        <v>5</v>
      </c>
      <c r="I41" s="64"/>
      <c r="J41" s="64"/>
      <c r="K41" s="64"/>
      <c r="L41" s="64">
        <f t="shared" si="3"/>
        <v>15</v>
      </c>
      <c r="M41" s="64">
        <v>5</v>
      </c>
      <c r="N41" s="64">
        <v>5</v>
      </c>
      <c r="O41" s="64">
        <v>5</v>
      </c>
      <c r="P41" s="69">
        <v>5</v>
      </c>
      <c r="Q41" s="62">
        <f t="shared" si="2"/>
        <v>35</v>
      </c>
    </row>
    <row r="42" spans="1:17">
      <c r="A42" s="74">
        <v>5</v>
      </c>
      <c r="B42" s="74" t="s">
        <v>221</v>
      </c>
      <c r="C42" s="84" t="s">
        <v>211</v>
      </c>
      <c r="D42" s="88">
        <f>1000-1000+180</f>
        <v>180</v>
      </c>
      <c r="E42" s="75">
        <v>20</v>
      </c>
      <c r="F42" s="75">
        <v>5</v>
      </c>
      <c r="G42" s="75">
        <v>5</v>
      </c>
      <c r="H42" s="75">
        <v>10</v>
      </c>
      <c r="I42" s="75"/>
      <c r="J42" s="75"/>
      <c r="K42" s="75"/>
      <c r="L42" s="75">
        <f t="shared" si="3"/>
        <v>20</v>
      </c>
      <c r="M42" s="75"/>
      <c r="N42" s="75"/>
      <c r="O42" s="75"/>
      <c r="P42" s="77"/>
      <c r="Q42" s="62">
        <f t="shared" si="2"/>
        <v>20</v>
      </c>
    </row>
    <row r="43" spans="1:17">
      <c r="A43" s="58">
        <v>5</v>
      </c>
      <c r="B43" s="63" t="s">
        <v>209</v>
      </c>
      <c r="C43" s="83" t="s">
        <v>212</v>
      </c>
      <c r="D43" s="87">
        <f>620-620+90</f>
        <v>90</v>
      </c>
      <c r="E43" s="64">
        <v>10</v>
      </c>
      <c r="F43" s="64"/>
      <c r="G43" s="64"/>
      <c r="H43" s="64"/>
      <c r="I43" s="64"/>
      <c r="J43" s="64"/>
      <c r="K43" s="64"/>
      <c r="L43" s="64">
        <f t="shared" si="3"/>
        <v>0</v>
      </c>
      <c r="M43" s="64">
        <v>10</v>
      </c>
      <c r="N43" s="64"/>
      <c r="O43" s="64"/>
      <c r="P43" s="69"/>
      <c r="Q43" s="62">
        <f t="shared" si="2"/>
        <v>10</v>
      </c>
    </row>
    <row r="44" spans="1:17">
      <c r="A44" s="74">
        <v>10</v>
      </c>
      <c r="B44" s="74" t="s">
        <v>200</v>
      </c>
      <c r="C44" s="84" t="s">
        <v>213</v>
      </c>
      <c r="D44" s="88">
        <f>2000-2000+630</f>
        <v>630</v>
      </c>
      <c r="E44" s="75">
        <v>70</v>
      </c>
      <c r="F44" s="75">
        <v>20</v>
      </c>
      <c r="G44" s="75">
        <v>10</v>
      </c>
      <c r="H44" s="75">
        <v>20</v>
      </c>
      <c r="I44" s="75"/>
      <c r="J44" s="75"/>
      <c r="K44" s="75"/>
      <c r="L44" s="75">
        <f t="shared" si="3"/>
        <v>50</v>
      </c>
      <c r="M44" s="75">
        <v>5</v>
      </c>
      <c r="N44" s="75">
        <v>5</v>
      </c>
      <c r="O44" s="75">
        <v>5</v>
      </c>
      <c r="P44" s="77">
        <v>5</v>
      </c>
      <c r="Q44" s="62">
        <f t="shared" si="2"/>
        <v>70</v>
      </c>
    </row>
    <row r="45" spans="1:17">
      <c r="A45" s="58" t="s">
        <v>206</v>
      </c>
      <c r="B45" s="63" t="s">
        <v>222</v>
      </c>
      <c r="C45" s="83" t="s">
        <v>214</v>
      </c>
      <c r="D45" s="87">
        <f>1000-1000+460</f>
        <v>460</v>
      </c>
      <c r="E45" s="64">
        <v>50</v>
      </c>
      <c r="F45" s="64"/>
      <c r="G45" s="64"/>
      <c r="H45" s="64"/>
      <c r="I45" s="64"/>
      <c r="J45" s="64"/>
      <c r="K45" s="64"/>
      <c r="L45" s="64">
        <f t="shared" si="3"/>
        <v>0</v>
      </c>
      <c r="M45" s="64">
        <v>20</v>
      </c>
      <c r="N45" s="64">
        <v>10</v>
      </c>
      <c r="O45" s="64">
        <v>10</v>
      </c>
      <c r="P45" s="69">
        <v>10</v>
      </c>
      <c r="Q45" s="62">
        <f t="shared" si="2"/>
        <v>50</v>
      </c>
    </row>
    <row r="46" spans="1:17" s="23" customFormat="1">
      <c r="E46" s="23">
        <f>SUM(E15:E45)</f>
        <v>2951</v>
      </c>
      <c r="F46" s="23">
        <f t="shared" ref="F46:H46" si="4">SUM(F15:F45)</f>
        <v>664</v>
      </c>
      <c r="G46" s="23">
        <f t="shared" si="4"/>
        <v>509</v>
      </c>
      <c r="H46" s="23">
        <f t="shared" si="4"/>
        <v>520</v>
      </c>
      <c r="J46" s="23">
        <f>SUM(J15:J45)</f>
        <v>145</v>
      </c>
      <c r="Q46" s="23">
        <f>SUM(Q15:Q45)</f>
        <v>2951</v>
      </c>
    </row>
  </sheetData>
  <phoneticPr fontId="1" type="noConversion"/>
  <conditionalFormatting sqref="B16:B21 B26 B39 B32:E32">
    <cfRule type="duplicateValues" dxfId="2390" priority="13"/>
  </conditionalFormatting>
  <conditionalFormatting sqref="B22:B25">
    <cfRule type="duplicateValues" dxfId="2389" priority="8"/>
  </conditionalFormatting>
  <conditionalFormatting sqref="B27:B31">
    <cfRule type="duplicateValues" dxfId="2388" priority="7"/>
  </conditionalFormatting>
  <conditionalFormatting sqref="B33:B38">
    <cfRule type="duplicateValues" dxfId="2387" priority="6"/>
  </conditionalFormatting>
  <conditionalFormatting sqref="B40:B44">
    <cfRule type="duplicateValues" dxfId="2386" priority="5"/>
  </conditionalFormatting>
  <conditionalFormatting sqref="C39:D39">
    <cfRule type="duplicateValues" dxfId="2385" priority="4"/>
  </conditionalFormatting>
  <conditionalFormatting sqref="C26:D26">
    <cfRule type="duplicateValues" dxfId="2384" priority="3"/>
  </conditionalFormatting>
  <conditionalFormatting sqref="C21:D21">
    <cfRule type="duplicateValues" dxfId="2383" priority="2"/>
  </conditionalFormatting>
  <conditionalFormatting sqref="B45">
    <cfRule type="duplicateValues" dxfId="2382" priority="1"/>
  </conditionalFormatting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4"/>
  <sheetViews>
    <sheetView topLeftCell="A4" workbookViewId="0">
      <selection activeCell="A10" sqref="A9:A10"/>
    </sheetView>
  </sheetViews>
  <sheetFormatPr defaultRowHeight="16.2"/>
  <cols>
    <col min="1" max="1" width="8.33203125" bestFit="1" customWidth="1"/>
    <col min="2" max="2" width="26.77734375" customWidth="1"/>
    <col min="3" max="3" width="17.6640625" customWidth="1"/>
    <col min="4" max="7" width="8.88671875" customWidth="1"/>
  </cols>
  <sheetData>
    <row r="1" spans="1:21" ht="28.2" thickBot="1">
      <c r="A1" s="65" t="s">
        <v>111</v>
      </c>
      <c r="B1" s="66" t="s">
        <v>78</v>
      </c>
      <c r="C1" s="66" t="s">
        <v>110</v>
      </c>
      <c r="D1" s="66" t="s">
        <v>80</v>
      </c>
      <c r="E1" s="67" t="s">
        <v>65</v>
      </c>
      <c r="F1" s="115" t="s">
        <v>81</v>
      </c>
      <c r="G1" s="115" t="s">
        <v>68</v>
      </c>
      <c r="H1" s="115" t="s">
        <v>50</v>
      </c>
      <c r="I1" s="115" t="s">
        <v>51</v>
      </c>
      <c r="J1" s="115" t="s">
        <v>82</v>
      </c>
      <c r="K1" s="115" t="s">
        <v>109</v>
      </c>
      <c r="L1" s="91" t="s">
        <v>86</v>
      </c>
      <c r="M1" s="92" t="s">
        <v>83</v>
      </c>
      <c r="N1" s="93" t="s">
        <v>44</v>
      </c>
      <c r="O1" s="94" t="s">
        <v>84</v>
      </c>
      <c r="P1" s="95" t="s">
        <v>85</v>
      </c>
    </row>
    <row r="2" spans="1:21" s="22" customFormat="1">
      <c r="A2" s="74">
        <v>5</v>
      </c>
      <c r="B2" s="84" t="s">
        <v>20</v>
      </c>
      <c r="C2" s="88" t="s">
        <v>40</v>
      </c>
      <c r="D2" s="75">
        <v>160</v>
      </c>
      <c r="E2" s="75">
        <v>41</v>
      </c>
      <c r="F2" s="75"/>
      <c r="G2" s="75"/>
      <c r="H2" s="75">
        <v>26</v>
      </c>
      <c r="I2" s="75"/>
      <c r="J2" s="75"/>
      <c r="K2" s="75"/>
      <c r="L2" s="75">
        <f t="shared" ref="L2:L3" si="0">SUM(F2:K2)</f>
        <v>26</v>
      </c>
      <c r="M2" s="75"/>
      <c r="N2" s="75"/>
      <c r="O2" s="75">
        <v>10</v>
      </c>
      <c r="P2" s="75">
        <v>5</v>
      </c>
      <c r="Q2" s="62">
        <f t="shared" ref="Q2:Q15" si="1">SUM(F2:K2,M2:P2)</f>
        <v>41</v>
      </c>
      <c r="R2"/>
      <c r="S2"/>
      <c r="T2"/>
      <c r="U2"/>
    </row>
    <row r="3" spans="1:21" s="22" customFormat="1">
      <c r="A3" s="63">
        <v>5</v>
      </c>
      <c r="B3" s="83" t="s">
        <v>17</v>
      </c>
      <c r="C3" s="87" t="s">
        <v>36</v>
      </c>
      <c r="D3" s="64">
        <v>70</v>
      </c>
      <c r="E3" s="64">
        <v>70</v>
      </c>
      <c r="F3" s="64"/>
      <c r="G3" s="64"/>
      <c r="H3" s="64">
        <v>70</v>
      </c>
      <c r="I3" s="64"/>
      <c r="J3" s="64"/>
      <c r="K3" s="64"/>
      <c r="L3" s="64">
        <f t="shared" si="0"/>
        <v>70</v>
      </c>
      <c r="M3" s="64"/>
      <c r="N3" s="64"/>
      <c r="O3" s="64"/>
      <c r="P3" s="64"/>
      <c r="Q3" s="62">
        <f t="shared" si="1"/>
        <v>70</v>
      </c>
      <c r="R3"/>
      <c r="S3"/>
      <c r="T3"/>
      <c r="U3"/>
    </row>
    <row r="4" spans="1:21" s="22" customFormat="1">
      <c r="A4" s="74">
        <v>5</v>
      </c>
      <c r="B4" s="84" t="s">
        <v>17</v>
      </c>
      <c r="C4" s="88" t="s">
        <v>37</v>
      </c>
      <c r="D4" s="75">
        <v>1490</v>
      </c>
      <c r="E4" s="75">
        <v>205</v>
      </c>
      <c r="F4" s="75"/>
      <c r="G4" s="75"/>
      <c r="H4" s="75">
        <v>120</v>
      </c>
      <c r="I4" s="75"/>
      <c r="J4" s="75"/>
      <c r="K4" s="75">
        <v>35</v>
      </c>
      <c r="L4" s="75">
        <f>SUM(F4:K4)</f>
        <v>155</v>
      </c>
      <c r="M4" s="75"/>
      <c r="N4" s="75"/>
      <c r="O4" s="75">
        <v>40</v>
      </c>
      <c r="P4" s="75">
        <v>10</v>
      </c>
      <c r="Q4" s="62">
        <f t="shared" si="1"/>
        <v>205</v>
      </c>
      <c r="R4"/>
      <c r="S4"/>
      <c r="T4"/>
      <c r="U4"/>
    </row>
    <row r="5" spans="1:21" s="22" customFormat="1">
      <c r="A5" s="63">
        <v>10</v>
      </c>
      <c r="B5" s="83" t="s">
        <v>6</v>
      </c>
      <c r="C5" s="87" t="s">
        <v>25</v>
      </c>
      <c r="D5" s="64">
        <v>880</v>
      </c>
      <c r="E5" s="64">
        <v>155</v>
      </c>
      <c r="F5" s="64"/>
      <c r="G5" s="64"/>
      <c r="H5" s="64">
        <v>100</v>
      </c>
      <c r="I5" s="64"/>
      <c r="J5" s="64"/>
      <c r="K5" s="64">
        <v>25</v>
      </c>
      <c r="L5" s="64">
        <f t="shared" ref="L5:L15" si="2">SUM(F5:K5)</f>
        <v>125</v>
      </c>
      <c r="M5" s="64"/>
      <c r="N5" s="64"/>
      <c r="O5" s="64">
        <v>20</v>
      </c>
      <c r="P5" s="64">
        <v>10</v>
      </c>
      <c r="Q5" s="62">
        <f t="shared" si="1"/>
        <v>155</v>
      </c>
      <c r="R5"/>
      <c r="S5"/>
      <c r="T5"/>
      <c r="U5"/>
    </row>
    <row r="6" spans="1:21" s="22" customFormat="1">
      <c r="A6" s="74">
        <v>10</v>
      </c>
      <c r="B6" s="84" t="s">
        <v>7</v>
      </c>
      <c r="C6" s="88" t="s">
        <v>26</v>
      </c>
      <c r="D6" s="75">
        <v>3920</v>
      </c>
      <c r="E6" s="75">
        <v>700</v>
      </c>
      <c r="F6" s="75"/>
      <c r="G6" s="75">
        <v>100</v>
      </c>
      <c r="H6" s="75">
        <v>300</v>
      </c>
      <c r="I6" s="75"/>
      <c r="J6" s="75"/>
      <c r="K6" s="75">
        <v>160</v>
      </c>
      <c r="L6" s="75">
        <f t="shared" si="2"/>
        <v>560</v>
      </c>
      <c r="M6" s="75"/>
      <c r="N6" s="75"/>
      <c r="O6" s="75">
        <v>100</v>
      </c>
      <c r="P6" s="75">
        <v>40</v>
      </c>
      <c r="Q6" s="62">
        <f t="shared" si="1"/>
        <v>700</v>
      </c>
      <c r="R6"/>
      <c r="S6"/>
      <c r="T6"/>
      <c r="U6"/>
    </row>
    <row r="7" spans="1:21" s="22" customFormat="1">
      <c r="A7" s="63">
        <v>10</v>
      </c>
      <c r="B7" s="83" t="s">
        <v>18</v>
      </c>
      <c r="C7" s="87" t="s">
        <v>38</v>
      </c>
      <c r="D7" s="64">
        <v>1320</v>
      </c>
      <c r="E7" s="64">
        <v>235</v>
      </c>
      <c r="F7" s="64"/>
      <c r="G7" s="64"/>
      <c r="H7" s="64">
        <v>120</v>
      </c>
      <c r="I7" s="64"/>
      <c r="J7" s="64"/>
      <c r="K7" s="64">
        <v>75</v>
      </c>
      <c r="L7" s="64">
        <f t="shared" si="2"/>
        <v>195</v>
      </c>
      <c r="M7" s="64"/>
      <c r="N7" s="64"/>
      <c r="O7" s="64">
        <v>30</v>
      </c>
      <c r="P7" s="64">
        <v>10</v>
      </c>
      <c r="Q7" s="62">
        <f t="shared" si="1"/>
        <v>235</v>
      </c>
      <c r="R7"/>
      <c r="S7"/>
      <c r="T7"/>
      <c r="U7"/>
    </row>
    <row r="8" spans="1:21" s="22" customFormat="1">
      <c r="A8" s="74">
        <v>5</v>
      </c>
      <c r="B8" s="84" t="s">
        <v>8</v>
      </c>
      <c r="C8" s="88" t="s">
        <v>27</v>
      </c>
      <c r="D8" s="75">
        <v>300</v>
      </c>
      <c r="E8" s="75">
        <v>58</v>
      </c>
      <c r="F8" s="75"/>
      <c r="G8" s="75"/>
      <c r="H8" s="75">
        <v>30</v>
      </c>
      <c r="I8" s="75"/>
      <c r="J8" s="75"/>
      <c r="K8" s="75">
        <v>13</v>
      </c>
      <c r="L8" s="75">
        <f t="shared" si="2"/>
        <v>43</v>
      </c>
      <c r="M8" s="75"/>
      <c r="N8" s="75"/>
      <c r="O8" s="75">
        <v>10</v>
      </c>
      <c r="P8" s="75">
        <v>5</v>
      </c>
      <c r="Q8" s="62">
        <f t="shared" si="1"/>
        <v>58</v>
      </c>
      <c r="R8"/>
      <c r="S8"/>
      <c r="T8"/>
      <c r="U8"/>
    </row>
    <row r="9" spans="1:21" s="22" customFormat="1">
      <c r="A9" s="63">
        <v>4</v>
      </c>
      <c r="B9" s="83" t="s">
        <v>87</v>
      </c>
      <c r="C9" s="87" t="s">
        <v>88</v>
      </c>
      <c r="D9" s="64">
        <v>88</v>
      </c>
      <c r="E9" s="64">
        <v>16</v>
      </c>
      <c r="F9" s="64"/>
      <c r="G9" s="64"/>
      <c r="H9" s="64">
        <v>8</v>
      </c>
      <c r="I9" s="64"/>
      <c r="J9" s="64"/>
      <c r="K9" s="64">
        <v>8</v>
      </c>
      <c r="L9" s="64">
        <f t="shared" si="2"/>
        <v>16</v>
      </c>
      <c r="M9" s="64"/>
      <c r="N9" s="64"/>
      <c r="O9" s="64"/>
      <c r="P9" s="64"/>
      <c r="Q9" s="62">
        <f t="shared" si="1"/>
        <v>16</v>
      </c>
      <c r="R9"/>
      <c r="S9"/>
      <c r="T9"/>
      <c r="U9"/>
    </row>
    <row r="10" spans="1:21" s="22" customFormat="1">
      <c r="A10" s="74">
        <v>5</v>
      </c>
      <c r="B10" s="84" t="s">
        <v>71</v>
      </c>
      <c r="C10" s="88" t="s">
        <v>74</v>
      </c>
      <c r="D10" s="75">
        <v>75</v>
      </c>
      <c r="E10" s="75">
        <v>15</v>
      </c>
      <c r="F10" s="75"/>
      <c r="G10" s="75"/>
      <c r="H10" s="75">
        <v>10</v>
      </c>
      <c r="I10" s="75"/>
      <c r="J10" s="75"/>
      <c r="K10" s="75">
        <v>5</v>
      </c>
      <c r="L10" s="75">
        <f t="shared" si="2"/>
        <v>15</v>
      </c>
      <c r="M10" s="75"/>
      <c r="N10" s="75"/>
      <c r="O10" s="75"/>
      <c r="P10" s="75"/>
      <c r="Q10" s="62">
        <f t="shared" si="1"/>
        <v>15</v>
      </c>
      <c r="R10"/>
      <c r="S10"/>
      <c r="T10"/>
      <c r="U10"/>
    </row>
    <row r="11" spans="1:21" s="22" customFormat="1">
      <c r="A11" s="63">
        <v>10</v>
      </c>
      <c r="B11" s="83" t="s">
        <v>9</v>
      </c>
      <c r="C11" s="87" t="s">
        <v>28</v>
      </c>
      <c r="D11" s="64">
        <v>190</v>
      </c>
      <c r="E11" s="64">
        <v>37</v>
      </c>
      <c r="F11" s="64"/>
      <c r="G11" s="64"/>
      <c r="H11" s="64">
        <v>10</v>
      </c>
      <c r="I11" s="64"/>
      <c r="J11" s="64"/>
      <c r="K11" s="64">
        <v>12</v>
      </c>
      <c r="L11" s="64">
        <f t="shared" si="2"/>
        <v>22</v>
      </c>
      <c r="M11" s="64"/>
      <c r="N11" s="64"/>
      <c r="O11" s="64">
        <v>10</v>
      </c>
      <c r="P11" s="64">
        <v>5</v>
      </c>
      <c r="Q11" s="62">
        <f t="shared" si="1"/>
        <v>37</v>
      </c>
      <c r="R11"/>
      <c r="S11"/>
      <c r="T11"/>
      <c r="U11"/>
    </row>
    <row r="12" spans="1:21" s="22" customFormat="1">
      <c r="A12" s="74">
        <v>10</v>
      </c>
      <c r="B12" s="84" t="s">
        <v>5</v>
      </c>
      <c r="C12" s="88" t="s">
        <v>24</v>
      </c>
      <c r="D12" s="75">
        <v>90</v>
      </c>
      <c r="E12" s="75">
        <v>17</v>
      </c>
      <c r="F12" s="75"/>
      <c r="G12" s="75"/>
      <c r="H12" s="75"/>
      <c r="I12" s="75"/>
      <c r="J12" s="75"/>
      <c r="K12" s="75">
        <v>10</v>
      </c>
      <c r="L12" s="75">
        <f t="shared" si="2"/>
        <v>10</v>
      </c>
      <c r="M12" s="75"/>
      <c r="N12" s="75"/>
      <c r="O12" s="75">
        <v>5</v>
      </c>
      <c r="P12" s="75">
        <v>2</v>
      </c>
      <c r="Q12" s="62">
        <f t="shared" si="1"/>
        <v>17</v>
      </c>
      <c r="R12"/>
      <c r="S12"/>
      <c r="T12"/>
      <c r="U12"/>
    </row>
    <row r="13" spans="1:21" s="22" customFormat="1">
      <c r="A13" s="63">
        <v>1</v>
      </c>
      <c r="B13" s="83" t="s">
        <v>227</v>
      </c>
      <c r="C13" s="87" t="s">
        <v>170</v>
      </c>
      <c r="D13" s="64">
        <v>24</v>
      </c>
      <c r="E13" s="64">
        <v>4</v>
      </c>
      <c r="F13" s="64"/>
      <c r="G13" s="64"/>
      <c r="H13" s="64"/>
      <c r="I13" s="64"/>
      <c r="J13" s="64"/>
      <c r="K13" s="64">
        <v>4</v>
      </c>
      <c r="L13" s="64">
        <f t="shared" si="2"/>
        <v>4</v>
      </c>
      <c r="M13" s="64"/>
      <c r="N13" s="64"/>
      <c r="O13" s="64"/>
      <c r="P13" s="64"/>
      <c r="Q13" s="62">
        <f t="shared" si="1"/>
        <v>4</v>
      </c>
      <c r="R13"/>
      <c r="S13"/>
      <c r="T13"/>
      <c r="U13"/>
    </row>
    <row r="14" spans="1:21" s="22" customFormat="1">
      <c r="A14" s="74">
        <v>10</v>
      </c>
      <c r="B14" s="84" t="s">
        <v>10</v>
      </c>
      <c r="C14" s="88" t="s">
        <v>29</v>
      </c>
      <c r="D14" s="75">
        <v>170</v>
      </c>
      <c r="E14" s="75">
        <v>0</v>
      </c>
      <c r="F14" s="75"/>
      <c r="G14" s="75"/>
      <c r="H14" s="75"/>
      <c r="I14" s="75"/>
      <c r="J14" s="75"/>
      <c r="K14" s="75"/>
      <c r="L14" s="75">
        <f t="shared" si="2"/>
        <v>0</v>
      </c>
      <c r="M14" s="75"/>
      <c r="N14" s="75"/>
      <c r="O14" s="75"/>
      <c r="P14" s="75"/>
      <c r="Q14" s="62">
        <f t="shared" si="1"/>
        <v>0</v>
      </c>
      <c r="R14"/>
      <c r="S14"/>
      <c r="T14"/>
      <c r="U14"/>
    </row>
    <row r="15" spans="1:21" s="22" customFormat="1" ht="16.8" thickBot="1">
      <c r="A15" s="63">
        <v>10</v>
      </c>
      <c r="B15" s="83" t="s">
        <v>174</v>
      </c>
      <c r="C15" s="87" t="s">
        <v>39</v>
      </c>
      <c r="D15" s="64">
        <v>140</v>
      </c>
      <c r="E15" s="64">
        <v>27</v>
      </c>
      <c r="F15" s="64"/>
      <c r="G15" s="64"/>
      <c r="H15" s="64"/>
      <c r="I15" s="64"/>
      <c r="J15" s="64"/>
      <c r="K15" s="64">
        <v>20</v>
      </c>
      <c r="L15" s="64">
        <f t="shared" si="2"/>
        <v>20</v>
      </c>
      <c r="M15" s="64"/>
      <c r="N15" s="64"/>
      <c r="O15" s="64">
        <v>5</v>
      </c>
      <c r="P15" s="64">
        <v>2</v>
      </c>
      <c r="Q15" s="62">
        <f t="shared" si="1"/>
        <v>27</v>
      </c>
      <c r="R15"/>
      <c r="S15"/>
      <c r="T15"/>
      <c r="U15"/>
    </row>
    <row r="16" spans="1:21" ht="16.8" thickBot="1">
      <c r="A16" s="66"/>
      <c r="B16" s="66"/>
      <c r="C16" s="104"/>
      <c r="D16" s="104">
        <f>SUM(D2:D15)</f>
        <v>8917</v>
      </c>
      <c r="E16" s="104">
        <f t="shared" ref="E16:Q16" si="3">SUM(E2:E15)</f>
        <v>1580</v>
      </c>
      <c r="F16" s="104">
        <f t="shared" si="3"/>
        <v>0</v>
      </c>
      <c r="G16" s="104">
        <f t="shared" si="3"/>
        <v>100</v>
      </c>
      <c r="H16" s="104">
        <f t="shared" si="3"/>
        <v>794</v>
      </c>
      <c r="I16" s="104">
        <f t="shared" si="3"/>
        <v>0</v>
      </c>
      <c r="J16" s="104">
        <f t="shared" si="3"/>
        <v>0</v>
      </c>
      <c r="K16" s="104">
        <f t="shared" si="3"/>
        <v>367</v>
      </c>
      <c r="L16" s="104">
        <f t="shared" si="3"/>
        <v>1261</v>
      </c>
      <c r="M16" s="104">
        <f t="shared" si="3"/>
        <v>0</v>
      </c>
      <c r="N16" s="104">
        <f t="shared" si="3"/>
        <v>0</v>
      </c>
      <c r="O16" s="104">
        <f t="shared" si="3"/>
        <v>230</v>
      </c>
      <c r="P16" s="104">
        <f t="shared" si="3"/>
        <v>89</v>
      </c>
      <c r="Q16" s="104">
        <f t="shared" si="3"/>
        <v>1580</v>
      </c>
    </row>
    <row r="17" spans="1:21" ht="16.8" thickBot="1"/>
    <row r="18" spans="1:21" ht="28.2" thickBot="1">
      <c r="A18" s="65" t="s">
        <v>111</v>
      </c>
      <c r="B18" s="66" t="s">
        <v>78</v>
      </c>
      <c r="C18" s="66" t="s">
        <v>110</v>
      </c>
      <c r="D18" s="66" t="s">
        <v>80</v>
      </c>
      <c r="E18" s="67" t="s">
        <v>65</v>
      </c>
      <c r="F18" s="115" t="s">
        <v>81</v>
      </c>
      <c r="G18" s="115" t="s">
        <v>68</v>
      </c>
      <c r="H18" s="115" t="s">
        <v>50</v>
      </c>
      <c r="I18" s="115" t="s">
        <v>51</v>
      </c>
      <c r="J18" s="115" t="s">
        <v>82</v>
      </c>
      <c r="K18" s="115" t="s">
        <v>109</v>
      </c>
      <c r="L18" s="91" t="s">
        <v>86</v>
      </c>
      <c r="M18" s="92" t="s">
        <v>83</v>
      </c>
      <c r="N18" s="93" t="s">
        <v>44</v>
      </c>
      <c r="O18" s="94" t="s">
        <v>84</v>
      </c>
      <c r="P18" s="95" t="s">
        <v>85</v>
      </c>
    </row>
    <row r="19" spans="1:21" s="22" customFormat="1">
      <c r="A19" s="74">
        <v>10</v>
      </c>
      <c r="B19" s="84" t="s">
        <v>208</v>
      </c>
      <c r="C19" s="88" t="s">
        <v>197</v>
      </c>
      <c r="D19" s="75">
        <v>290</v>
      </c>
      <c r="E19" s="75">
        <v>32</v>
      </c>
      <c r="F19" s="75"/>
      <c r="G19" s="75"/>
      <c r="H19" s="75">
        <v>20</v>
      </c>
      <c r="I19" s="75"/>
      <c r="J19" s="75"/>
      <c r="K19" s="75">
        <v>8</v>
      </c>
      <c r="L19" s="75">
        <f t="shared" ref="L19:L23" si="4">SUM(F19:K19)</f>
        <v>28</v>
      </c>
      <c r="M19" s="75"/>
      <c r="N19" s="75"/>
      <c r="O19" s="75">
        <v>2</v>
      </c>
      <c r="P19" s="75">
        <v>2</v>
      </c>
      <c r="Q19" s="62">
        <f t="shared" ref="Q19:Q23" si="5">SUM(F19:K19,M19:P19)</f>
        <v>32</v>
      </c>
      <c r="R19"/>
      <c r="S19"/>
      <c r="T19"/>
      <c r="U19"/>
    </row>
    <row r="20" spans="1:21" s="22" customFormat="1">
      <c r="A20" s="63">
        <v>5</v>
      </c>
      <c r="B20" s="83" t="s">
        <v>228</v>
      </c>
      <c r="C20" s="87" t="s">
        <v>211</v>
      </c>
      <c r="D20" s="64">
        <v>50</v>
      </c>
      <c r="E20" s="64">
        <v>6</v>
      </c>
      <c r="F20" s="64"/>
      <c r="G20" s="64"/>
      <c r="H20" s="64">
        <v>5</v>
      </c>
      <c r="I20" s="64"/>
      <c r="J20" s="64"/>
      <c r="K20" s="64"/>
      <c r="L20" s="64">
        <f t="shared" si="4"/>
        <v>5</v>
      </c>
      <c r="M20" s="64"/>
      <c r="N20" s="64"/>
      <c r="O20" s="64">
        <v>1</v>
      </c>
      <c r="P20" s="64"/>
      <c r="Q20" s="62">
        <f t="shared" si="5"/>
        <v>6</v>
      </c>
      <c r="R20"/>
      <c r="S20"/>
      <c r="T20"/>
      <c r="U20"/>
    </row>
    <row r="21" spans="1:21" s="22" customFormat="1">
      <c r="A21" s="74">
        <v>5</v>
      </c>
      <c r="B21" s="84" t="s">
        <v>209</v>
      </c>
      <c r="C21" s="88" t="s">
        <v>212</v>
      </c>
      <c r="D21" s="75">
        <v>180</v>
      </c>
      <c r="E21" s="75">
        <v>20</v>
      </c>
      <c r="F21" s="75"/>
      <c r="G21" s="75"/>
      <c r="H21" s="75">
        <v>10</v>
      </c>
      <c r="I21" s="75"/>
      <c r="J21" s="75"/>
      <c r="K21" s="75">
        <v>5</v>
      </c>
      <c r="L21" s="75">
        <f t="shared" si="4"/>
        <v>15</v>
      </c>
      <c r="M21" s="75"/>
      <c r="N21" s="75"/>
      <c r="O21" s="75">
        <v>3</v>
      </c>
      <c r="P21" s="75">
        <v>2</v>
      </c>
      <c r="Q21" s="62">
        <f t="shared" si="5"/>
        <v>20</v>
      </c>
      <c r="R21"/>
      <c r="S21"/>
      <c r="T21"/>
      <c r="U21"/>
    </row>
    <row r="22" spans="1:21" s="22" customFormat="1">
      <c r="A22" s="63">
        <v>10</v>
      </c>
      <c r="B22" s="83" t="s">
        <v>229</v>
      </c>
      <c r="C22" s="87" t="s">
        <v>213</v>
      </c>
      <c r="D22" s="64">
        <v>430</v>
      </c>
      <c r="E22" s="64">
        <v>48</v>
      </c>
      <c r="F22" s="64"/>
      <c r="G22" s="64"/>
      <c r="H22" s="64">
        <v>30</v>
      </c>
      <c r="I22" s="64"/>
      <c r="J22" s="64"/>
      <c r="K22" s="64">
        <v>8</v>
      </c>
      <c r="L22" s="64">
        <f t="shared" si="4"/>
        <v>38</v>
      </c>
      <c r="M22" s="64"/>
      <c r="N22" s="64"/>
      <c r="O22" s="64">
        <v>5</v>
      </c>
      <c r="P22" s="64">
        <v>5</v>
      </c>
      <c r="Q22" s="62">
        <f t="shared" si="5"/>
        <v>48</v>
      </c>
      <c r="R22"/>
      <c r="S22"/>
      <c r="T22"/>
      <c r="U22"/>
    </row>
    <row r="23" spans="1:21" s="22" customFormat="1" ht="16.8" thickBot="1">
      <c r="A23" s="74">
        <v>10</v>
      </c>
      <c r="B23" s="84" t="s">
        <v>230</v>
      </c>
      <c r="C23" s="88" t="s">
        <v>214</v>
      </c>
      <c r="D23" s="75">
        <v>80</v>
      </c>
      <c r="E23" s="75">
        <v>9</v>
      </c>
      <c r="F23" s="75"/>
      <c r="G23" s="75"/>
      <c r="H23" s="75">
        <v>5</v>
      </c>
      <c r="I23" s="75"/>
      <c r="J23" s="75"/>
      <c r="K23" s="75">
        <v>2</v>
      </c>
      <c r="L23" s="75">
        <f t="shared" si="4"/>
        <v>7</v>
      </c>
      <c r="M23" s="75"/>
      <c r="N23" s="75"/>
      <c r="O23" s="75">
        <v>1</v>
      </c>
      <c r="P23" s="75">
        <v>1</v>
      </c>
      <c r="Q23" s="62">
        <f t="shared" si="5"/>
        <v>9</v>
      </c>
      <c r="R23"/>
      <c r="S23"/>
      <c r="T23"/>
      <c r="U23"/>
    </row>
    <row r="24" spans="1:21" ht="16.8" thickBot="1">
      <c r="A24" s="66"/>
      <c r="B24" s="66"/>
      <c r="C24" s="104"/>
      <c r="D24" s="104">
        <f>SUM(D19:D23)</f>
        <v>1030</v>
      </c>
      <c r="E24" s="104">
        <f t="shared" ref="E24:Q24" si="6">SUM(E19:E23)</f>
        <v>115</v>
      </c>
      <c r="F24" s="104">
        <f t="shared" si="6"/>
        <v>0</v>
      </c>
      <c r="G24" s="104">
        <f t="shared" si="6"/>
        <v>0</v>
      </c>
      <c r="H24" s="104">
        <f t="shared" si="6"/>
        <v>70</v>
      </c>
      <c r="I24" s="104">
        <f t="shared" si="6"/>
        <v>0</v>
      </c>
      <c r="J24" s="104">
        <f t="shared" si="6"/>
        <v>0</v>
      </c>
      <c r="K24" s="104">
        <f t="shared" si="6"/>
        <v>23</v>
      </c>
      <c r="L24" s="104">
        <f t="shared" si="6"/>
        <v>93</v>
      </c>
      <c r="M24" s="104">
        <f t="shared" si="6"/>
        <v>0</v>
      </c>
      <c r="N24" s="104">
        <f t="shared" si="6"/>
        <v>0</v>
      </c>
      <c r="O24" s="104">
        <f t="shared" si="6"/>
        <v>12</v>
      </c>
      <c r="P24" s="104">
        <f t="shared" si="6"/>
        <v>10</v>
      </c>
      <c r="Q24" s="104">
        <f t="shared" si="6"/>
        <v>115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2"/>
  <sheetViews>
    <sheetView workbookViewId="0">
      <selection activeCell="Q2" sqref="Q2:Q3"/>
    </sheetView>
  </sheetViews>
  <sheetFormatPr defaultRowHeight="15.6"/>
  <cols>
    <col min="1" max="1" width="8.33203125" style="3" bestFit="1" customWidth="1"/>
    <col min="2" max="2" width="26.44140625" style="3" bestFit="1" customWidth="1"/>
    <col min="3" max="3" width="18" style="3" bestFit="1" customWidth="1"/>
    <col min="4" max="5" width="6.5546875" style="3" bestFit="1" customWidth="1"/>
    <col min="6" max="6" width="7.77734375" style="3" bestFit="1" customWidth="1"/>
    <col min="7" max="7" width="8.77734375" style="3" bestFit="1" customWidth="1"/>
    <col min="8" max="8" width="6.6640625" style="3" bestFit="1" customWidth="1"/>
    <col min="9" max="9" width="5.5546875" style="3" bestFit="1" customWidth="1"/>
    <col min="10" max="10" width="4.77734375" style="3" bestFit="1" customWidth="1"/>
    <col min="11" max="11" width="7.5546875" style="3" bestFit="1" customWidth="1"/>
    <col min="12" max="12" width="8.109375" style="3" bestFit="1" customWidth="1"/>
    <col min="13" max="13" width="7.21875" style="3" bestFit="1" customWidth="1"/>
    <col min="14" max="14" width="5.88671875" style="3" bestFit="1" customWidth="1"/>
    <col min="15" max="15" width="6.6640625" style="3" bestFit="1" customWidth="1"/>
    <col min="16" max="16" width="7" style="3" bestFit="1" customWidth="1"/>
    <col min="17" max="17" width="8.88671875" style="3"/>
    <col min="18" max="18" width="27.88671875" style="3" customWidth="1"/>
    <col min="19" max="19" width="28" style="3" customWidth="1"/>
    <col min="20" max="20" width="12.6640625" style="3" customWidth="1"/>
    <col min="21" max="21" width="17.5546875" style="3" customWidth="1"/>
    <col min="22" max="16384" width="8.88671875" style="3"/>
  </cols>
  <sheetData>
    <row r="1" spans="1:25" ht="29.4" thickBot="1">
      <c r="A1" s="65" t="s">
        <v>111</v>
      </c>
      <c r="B1" s="66" t="s">
        <v>78</v>
      </c>
      <c r="C1" s="66" t="s">
        <v>110</v>
      </c>
      <c r="D1" s="66" t="s">
        <v>80</v>
      </c>
      <c r="E1" s="67" t="s">
        <v>65</v>
      </c>
      <c r="F1" s="115" t="s">
        <v>81</v>
      </c>
      <c r="G1" s="115" t="s">
        <v>68</v>
      </c>
      <c r="H1" s="115" t="s">
        <v>50</v>
      </c>
      <c r="I1" s="115" t="s">
        <v>51</v>
      </c>
      <c r="J1" s="115" t="s">
        <v>82</v>
      </c>
      <c r="K1" s="115" t="s">
        <v>109</v>
      </c>
      <c r="L1" s="91" t="s">
        <v>86</v>
      </c>
      <c r="M1" s="92" t="s">
        <v>83</v>
      </c>
      <c r="N1" s="93" t="s">
        <v>44</v>
      </c>
      <c r="O1" s="94" t="s">
        <v>84</v>
      </c>
      <c r="P1" s="95" t="s">
        <v>85</v>
      </c>
      <c r="R1" s="140"/>
      <c r="S1" s="141"/>
      <c r="T1" s="144" t="s">
        <v>236</v>
      </c>
      <c r="U1" s="144" t="s">
        <v>237</v>
      </c>
      <c r="V1" s="144" t="s">
        <v>238</v>
      </c>
      <c r="W1" s="144" t="s">
        <v>239</v>
      </c>
      <c r="X1" s="143" t="s">
        <v>235</v>
      </c>
      <c r="Y1" s="142" t="s">
        <v>234</v>
      </c>
    </row>
    <row r="2" spans="1:25" s="22" customFormat="1" ht="16.2">
      <c r="A2" s="74">
        <v>5</v>
      </c>
      <c r="B2" s="84" t="s">
        <v>20</v>
      </c>
      <c r="C2" s="88" t="s">
        <v>40</v>
      </c>
      <c r="D2" s="75">
        <v>400</v>
      </c>
      <c r="E2" s="75">
        <v>105</v>
      </c>
      <c r="F2" s="75"/>
      <c r="G2" s="75">
        <v>20</v>
      </c>
      <c r="H2" s="75">
        <v>20</v>
      </c>
      <c r="I2" s="75">
        <v>20</v>
      </c>
      <c r="J2" s="75"/>
      <c r="K2" s="75">
        <v>5</v>
      </c>
      <c r="L2" s="75">
        <f t="shared" ref="L2:L21" si="0">SUM(F2:K2)</f>
        <v>65</v>
      </c>
      <c r="M2" s="75">
        <v>10</v>
      </c>
      <c r="N2" s="75"/>
      <c r="O2" s="75">
        <v>20</v>
      </c>
      <c r="P2" s="75">
        <v>10</v>
      </c>
      <c r="Q2" s="62">
        <f t="shared" ref="Q2:Q21" si="1">SUM(F2:K2,M2:P2)</f>
        <v>105</v>
      </c>
      <c r="R2"/>
      <c r="S2" s="141" t="s">
        <v>13</v>
      </c>
      <c r="T2" s="141">
        <v>600</v>
      </c>
      <c r="U2" s="142">
        <v>50</v>
      </c>
      <c r="V2" s="142">
        <v>20</v>
      </c>
      <c r="W2" s="142"/>
      <c r="X2" s="142"/>
      <c r="Y2" s="142">
        <v>70</v>
      </c>
    </row>
    <row r="3" spans="1:25" s="22" customFormat="1" ht="16.2">
      <c r="A3" s="63">
        <v>10</v>
      </c>
      <c r="B3" s="83" t="s">
        <v>11</v>
      </c>
      <c r="C3" s="87" t="s">
        <v>30</v>
      </c>
      <c r="D3" s="64">
        <v>5</v>
      </c>
      <c r="E3" s="64">
        <v>0</v>
      </c>
      <c r="F3" s="64"/>
      <c r="G3" s="64"/>
      <c r="H3" s="64"/>
      <c r="I3" s="64"/>
      <c r="J3" s="64"/>
      <c r="K3" s="64"/>
      <c r="L3" s="64">
        <f t="shared" si="0"/>
        <v>0</v>
      </c>
      <c r="M3" s="64"/>
      <c r="N3" s="64"/>
      <c r="O3" s="64">
        <v>0</v>
      </c>
      <c r="P3" s="64">
        <v>0</v>
      </c>
      <c r="Q3" s="62">
        <f t="shared" si="1"/>
        <v>0</v>
      </c>
      <c r="R3"/>
      <c r="S3" s="141" t="s">
        <v>12</v>
      </c>
      <c r="T3" s="141"/>
      <c r="U3" s="142">
        <v>30</v>
      </c>
      <c r="V3" s="142">
        <v>50</v>
      </c>
      <c r="W3" s="142"/>
      <c r="X3" s="142"/>
      <c r="Y3" s="142">
        <v>80</v>
      </c>
    </row>
    <row r="4" spans="1:25" s="22" customFormat="1" ht="16.2">
      <c r="A4" s="74">
        <v>10</v>
      </c>
      <c r="B4" s="84" t="s">
        <v>12</v>
      </c>
      <c r="C4" s="88" t="s">
        <v>31</v>
      </c>
      <c r="D4" s="75">
        <v>130</v>
      </c>
      <c r="E4" s="75">
        <v>30</v>
      </c>
      <c r="F4" s="75"/>
      <c r="G4" s="75"/>
      <c r="H4" s="75"/>
      <c r="I4" s="75">
        <v>30</v>
      </c>
      <c r="J4" s="75"/>
      <c r="K4" s="75"/>
      <c r="L4" s="75">
        <f t="shared" si="0"/>
        <v>30</v>
      </c>
      <c r="M4" s="75"/>
      <c r="N4" s="75"/>
      <c r="O4" s="75">
        <v>0</v>
      </c>
      <c r="P4" s="75">
        <v>0</v>
      </c>
      <c r="Q4" s="62">
        <f t="shared" si="1"/>
        <v>30</v>
      </c>
      <c r="R4"/>
      <c r="S4" s="141" t="s">
        <v>7</v>
      </c>
      <c r="T4" s="141"/>
      <c r="U4" s="142"/>
      <c r="V4" s="142">
        <v>30</v>
      </c>
      <c r="W4" s="142">
        <v>51</v>
      </c>
      <c r="X4" s="142"/>
      <c r="Y4" s="142"/>
    </row>
    <row r="5" spans="1:25" s="22" customFormat="1" ht="16.2">
      <c r="A5" s="63">
        <v>10</v>
      </c>
      <c r="B5" s="83" t="s">
        <v>13</v>
      </c>
      <c r="C5" s="87" t="s">
        <v>32</v>
      </c>
      <c r="D5" s="64">
        <v>520</v>
      </c>
      <c r="E5" s="64">
        <v>140</v>
      </c>
      <c r="F5" s="64"/>
      <c r="G5" s="64"/>
      <c r="H5" s="64"/>
      <c r="I5" s="64">
        <v>80</v>
      </c>
      <c r="J5" s="64"/>
      <c r="K5" s="64">
        <v>10</v>
      </c>
      <c r="L5" s="64">
        <f t="shared" si="0"/>
        <v>90</v>
      </c>
      <c r="M5" s="64">
        <v>10</v>
      </c>
      <c r="N5" s="64"/>
      <c r="O5" s="64">
        <v>30</v>
      </c>
      <c r="P5" s="64">
        <v>10</v>
      </c>
      <c r="Q5" s="62">
        <f t="shared" si="1"/>
        <v>140</v>
      </c>
      <c r="R5"/>
      <c r="S5" s="141" t="s">
        <v>3</v>
      </c>
      <c r="T5" s="141"/>
      <c r="U5" s="142"/>
      <c r="V5" s="142">
        <v>10</v>
      </c>
      <c r="W5" s="142">
        <v>26</v>
      </c>
      <c r="X5" s="142">
        <v>350</v>
      </c>
      <c r="Y5" s="142"/>
    </row>
    <row r="6" spans="1:25" s="22" customFormat="1" ht="16.2">
      <c r="A6" s="74">
        <v>10</v>
      </c>
      <c r="B6" s="84" t="s">
        <v>70</v>
      </c>
      <c r="C6" s="88" t="s">
        <v>73</v>
      </c>
      <c r="D6" s="75">
        <v>10</v>
      </c>
      <c r="E6" s="75">
        <v>0</v>
      </c>
      <c r="F6" s="75"/>
      <c r="G6" s="75"/>
      <c r="H6" s="75"/>
      <c r="I6" s="75"/>
      <c r="J6" s="75"/>
      <c r="K6" s="75"/>
      <c r="L6" s="75">
        <f t="shared" si="0"/>
        <v>0</v>
      </c>
      <c r="M6" s="75"/>
      <c r="N6" s="75"/>
      <c r="O6" s="75">
        <v>0</v>
      </c>
      <c r="P6" s="75">
        <v>0</v>
      </c>
      <c r="Q6" s="62">
        <f t="shared" si="1"/>
        <v>0</v>
      </c>
      <c r="R6"/>
    </row>
    <row r="7" spans="1:25" s="22" customFormat="1" ht="16.2">
      <c r="A7" s="63">
        <v>10</v>
      </c>
      <c r="B7" s="83" t="s">
        <v>231</v>
      </c>
      <c r="C7" s="87" t="s">
        <v>232</v>
      </c>
      <c r="D7" s="64">
        <v>380</v>
      </c>
      <c r="E7" s="64">
        <v>100</v>
      </c>
      <c r="F7" s="64"/>
      <c r="G7" s="64">
        <v>20</v>
      </c>
      <c r="H7" s="64">
        <v>20</v>
      </c>
      <c r="I7" s="64">
        <v>10</v>
      </c>
      <c r="J7" s="64"/>
      <c r="K7" s="64">
        <v>10</v>
      </c>
      <c r="L7" s="64">
        <f t="shared" si="0"/>
        <v>60</v>
      </c>
      <c r="M7" s="64">
        <v>10</v>
      </c>
      <c r="N7" s="64"/>
      <c r="O7" s="64">
        <v>20</v>
      </c>
      <c r="P7" s="64">
        <v>10</v>
      </c>
      <c r="Q7" s="62">
        <f t="shared" si="1"/>
        <v>100</v>
      </c>
      <c r="R7"/>
      <c r="S7"/>
      <c r="T7"/>
      <c r="U7"/>
      <c r="V7"/>
      <c r="W7"/>
      <c r="X7"/>
    </row>
    <row r="8" spans="1:25" s="22" customFormat="1" ht="16.2">
      <c r="A8" s="74">
        <v>5</v>
      </c>
      <c r="B8" s="84" t="s">
        <v>17</v>
      </c>
      <c r="C8" s="88" t="s">
        <v>37</v>
      </c>
      <c r="D8" s="75">
        <v>1140</v>
      </c>
      <c r="E8" s="75">
        <v>205</v>
      </c>
      <c r="F8" s="75"/>
      <c r="G8" s="75">
        <v>50</v>
      </c>
      <c r="H8" s="75">
        <v>40</v>
      </c>
      <c r="I8" s="75">
        <v>30</v>
      </c>
      <c r="J8" s="75"/>
      <c r="K8" s="75">
        <v>30</v>
      </c>
      <c r="L8" s="75">
        <f t="shared" si="0"/>
        <v>150</v>
      </c>
      <c r="M8" s="75">
        <v>15</v>
      </c>
      <c r="N8" s="75"/>
      <c r="O8" s="75">
        <v>30</v>
      </c>
      <c r="P8" s="75">
        <v>10</v>
      </c>
      <c r="Q8" s="62">
        <f t="shared" si="1"/>
        <v>205</v>
      </c>
      <c r="R8"/>
      <c r="S8"/>
      <c r="T8"/>
      <c r="U8"/>
      <c r="V8"/>
      <c r="W8"/>
      <c r="X8"/>
    </row>
    <row r="9" spans="1:25" s="22" customFormat="1" ht="16.2">
      <c r="A9" s="63">
        <v>10</v>
      </c>
      <c r="B9" s="83" t="s">
        <v>14</v>
      </c>
      <c r="C9" s="87" t="s">
        <v>33</v>
      </c>
      <c r="D9" s="64">
        <v>20</v>
      </c>
      <c r="E9" s="64">
        <v>0</v>
      </c>
      <c r="F9" s="64"/>
      <c r="G9" s="64"/>
      <c r="H9" s="64"/>
      <c r="I9" s="64"/>
      <c r="J9" s="64"/>
      <c r="K9" s="64"/>
      <c r="L9" s="64">
        <f t="shared" si="0"/>
        <v>0</v>
      </c>
      <c r="M9" s="64"/>
      <c r="N9" s="64"/>
      <c r="O9" s="64">
        <v>0</v>
      </c>
      <c r="P9" s="64">
        <v>0</v>
      </c>
      <c r="Q9" s="62">
        <f t="shared" si="1"/>
        <v>0</v>
      </c>
      <c r="R9"/>
      <c r="S9"/>
      <c r="T9"/>
      <c r="U9"/>
      <c r="V9"/>
      <c r="W9"/>
      <c r="X9"/>
    </row>
    <row r="10" spans="1:25" s="22" customFormat="1" ht="16.2">
      <c r="A10" s="74">
        <v>10</v>
      </c>
      <c r="B10" s="84" t="s">
        <v>6</v>
      </c>
      <c r="C10" s="88" t="s">
        <v>25</v>
      </c>
      <c r="D10" s="75">
        <v>960</v>
      </c>
      <c r="E10" s="75">
        <v>175</v>
      </c>
      <c r="F10" s="75"/>
      <c r="G10" s="75">
        <v>30</v>
      </c>
      <c r="H10" s="75">
        <v>30</v>
      </c>
      <c r="I10" s="75">
        <v>30</v>
      </c>
      <c r="J10" s="75"/>
      <c r="K10" s="75">
        <v>25</v>
      </c>
      <c r="L10" s="75">
        <f t="shared" si="0"/>
        <v>115</v>
      </c>
      <c r="M10" s="75">
        <v>20</v>
      </c>
      <c r="N10" s="75"/>
      <c r="O10" s="75">
        <v>30</v>
      </c>
      <c r="P10" s="75">
        <v>10</v>
      </c>
      <c r="Q10" s="62">
        <f t="shared" si="1"/>
        <v>175</v>
      </c>
      <c r="R10"/>
      <c r="S10"/>
      <c r="T10"/>
      <c r="U10"/>
      <c r="V10"/>
      <c r="W10"/>
      <c r="X10"/>
    </row>
    <row r="11" spans="1:25" s="22" customFormat="1" ht="16.2">
      <c r="A11" s="63">
        <v>10</v>
      </c>
      <c r="B11" s="83" t="s">
        <v>7</v>
      </c>
      <c r="C11" s="87" t="s">
        <v>26</v>
      </c>
      <c r="D11" s="64">
        <v>4200</v>
      </c>
      <c r="E11" s="64">
        <v>750</v>
      </c>
      <c r="F11" s="64"/>
      <c r="G11" s="64">
        <v>200</v>
      </c>
      <c r="H11" s="64">
        <v>200</v>
      </c>
      <c r="I11" s="64">
        <v>80</v>
      </c>
      <c r="J11" s="64"/>
      <c r="K11" s="64">
        <v>100</v>
      </c>
      <c r="L11" s="64">
        <f t="shared" si="0"/>
        <v>580</v>
      </c>
      <c r="M11" s="64">
        <v>50</v>
      </c>
      <c r="N11" s="64"/>
      <c r="O11" s="64">
        <v>100</v>
      </c>
      <c r="P11" s="64">
        <v>20</v>
      </c>
      <c r="Q11" s="62">
        <f t="shared" si="1"/>
        <v>750</v>
      </c>
      <c r="R11"/>
      <c r="S11"/>
      <c r="T11"/>
      <c r="U11"/>
      <c r="V11"/>
      <c r="W11"/>
      <c r="X11"/>
    </row>
    <row r="12" spans="1:25" s="22" customFormat="1" ht="16.2">
      <c r="A12" s="74">
        <v>10</v>
      </c>
      <c r="B12" s="84" t="s">
        <v>18</v>
      </c>
      <c r="C12" s="88" t="s">
        <v>38</v>
      </c>
      <c r="D12" s="75">
        <v>1520</v>
      </c>
      <c r="E12" s="75">
        <v>270</v>
      </c>
      <c r="F12" s="75"/>
      <c r="G12" s="75">
        <v>50</v>
      </c>
      <c r="H12" s="75">
        <v>50</v>
      </c>
      <c r="I12" s="75">
        <v>40</v>
      </c>
      <c r="J12" s="75"/>
      <c r="K12" s="75">
        <v>50</v>
      </c>
      <c r="L12" s="75">
        <f t="shared" si="0"/>
        <v>190</v>
      </c>
      <c r="M12" s="75">
        <v>20</v>
      </c>
      <c r="N12" s="75"/>
      <c r="O12" s="75">
        <v>40</v>
      </c>
      <c r="P12" s="75">
        <v>20</v>
      </c>
      <c r="Q12" s="62">
        <f t="shared" si="1"/>
        <v>270</v>
      </c>
      <c r="R12"/>
      <c r="S12"/>
      <c r="T12"/>
      <c r="U12"/>
      <c r="V12"/>
      <c r="W12"/>
      <c r="X12"/>
    </row>
    <row r="13" spans="1:25" s="22" customFormat="1" ht="16.2">
      <c r="A13" s="63">
        <v>5</v>
      </c>
      <c r="B13" s="83" t="s">
        <v>8</v>
      </c>
      <c r="C13" s="87" t="s">
        <v>233</v>
      </c>
      <c r="D13" s="64">
        <v>250</v>
      </c>
      <c r="E13" s="64">
        <v>50</v>
      </c>
      <c r="F13" s="64"/>
      <c r="G13" s="64">
        <v>5</v>
      </c>
      <c r="H13" s="64">
        <v>10</v>
      </c>
      <c r="I13" s="64">
        <v>5</v>
      </c>
      <c r="J13" s="64"/>
      <c r="K13" s="64">
        <v>10</v>
      </c>
      <c r="L13" s="64">
        <f t="shared" si="0"/>
        <v>30</v>
      </c>
      <c r="M13" s="64">
        <v>5</v>
      </c>
      <c r="N13" s="64"/>
      <c r="O13" s="64">
        <v>5</v>
      </c>
      <c r="P13" s="64">
        <v>10</v>
      </c>
      <c r="Q13" s="62">
        <f t="shared" si="1"/>
        <v>50</v>
      </c>
      <c r="R13"/>
      <c r="S13"/>
      <c r="T13"/>
      <c r="U13"/>
      <c r="V13"/>
      <c r="W13"/>
      <c r="X13"/>
    </row>
    <row r="14" spans="1:25" s="22" customFormat="1" ht="16.2">
      <c r="A14" s="74">
        <v>10</v>
      </c>
      <c r="B14" s="84" t="s">
        <v>72</v>
      </c>
      <c r="C14" s="88" t="s">
        <v>75</v>
      </c>
      <c r="D14" s="75">
        <v>30</v>
      </c>
      <c r="E14" s="75">
        <v>6</v>
      </c>
      <c r="F14" s="75"/>
      <c r="G14" s="75"/>
      <c r="H14" s="75"/>
      <c r="I14" s="75"/>
      <c r="J14" s="75"/>
      <c r="K14" s="75">
        <v>1</v>
      </c>
      <c r="L14" s="75">
        <f t="shared" si="0"/>
        <v>1</v>
      </c>
      <c r="M14" s="75"/>
      <c r="N14" s="75"/>
      <c r="O14" s="75">
        <v>5</v>
      </c>
      <c r="P14" s="75">
        <v>0</v>
      </c>
      <c r="Q14" s="62">
        <f t="shared" si="1"/>
        <v>6</v>
      </c>
      <c r="R14"/>
      <c r="S14"/>
      <c r="T14"/>
      <c r="U14"/>
      <c r="V14"/>
      <c r="W14"/>
      <c r="X14"/>
    </row>
    <row r="15" spans="1:25" s="22" customFormat="1" ht="16.2">
      <c r="A15" s="63">
        <v>10</v>
      </c>
      <c r="B15" s="83" t="s">
        <v>2</v>
      </c>
      <c r="C15" s="87" t="s">
        <v>21</v>
      </c>
      <c r="D15" s="64">
        <v>10</v>
      </c>
      <c r="E15" s="64">
        <v>0</v>
      </c>
      <c r="F15" s="64"/>
      <c r="G15" s="64"/>
      <c r="H15" s="64"/>
      <c r="I15" s="64"/>
      <c r="J15" s="64"/>
      <c r="K15" s="64"/>
      <c r="L15" s="64">
        <f t="shared" si="0"/>
        <v>0</v>
      </c>
      <c r="M15" s="64"/>
      <c r="N15" s="64"/>
      <c r="O15" s="64">
        <v>0</v>
      </c>
      <c r="P15" s="64">
        <v>0</v>
      </c>
      <c r="Q15" s="62">
        <f t="shared" si="1"/>
        <v>0</v>
      </c>
      <c r="R15"/>
      <c r="S15"/>
      <c r="T15"/>
      <c r="U15"/>
      <c r="V15"/>
      <c r="W15"/>
      <c r="X15"/>
    </row>
    <row r="16" spans="1:25" s="22" customFormat="1" ht="16.2">
      <c r="A16" s="74">
        <v>10</v>
      </c>
      <c r="B16" s="84" t="s">
        <v>3</v>
      </c>
      <c r="C16" s="88" t="s">
        <v>22</v>
      </c>
      <c r="D16" s="75">
        <v>680</v>
      </c>
      <c r="E16" s="75">
        <v>130</v>
      </c>
      <c r="F16" s="75"/>
      <c r="G16" s="75">
        <v>20</v>
      </c>
      <c r="H16" s="75">
        <v>20</v>
      </c>
      <c r="I16" s="75">
        <v>20</v>
      </c>
      <c r="J16" s="75"/>
      <c r="K16" s="75">
        <v>20</v>
      </c>
      <c r="L16" s="75">
        <f t="shared" si="0"/>
        <v>80</v>
      </c>
      <c r="M16" s="75">
        <v>10</v>
      </c>
      <c r="N16" s="75"/>
      <c r="O16" s="75">
        <v>30</v>
      </c>
      <c r="P16" s="75">
        <v>10</v>
      </c>
      <c r="Q16" s="62">
        <f t="shared" si="1"/>
        <v>130</v>
      </c>
      <c r="R16"/>
      <c r="S16"/>
      <c r="T16"/>
      <c r="U16"/>
      <c r="V16"/>
      <c r="W16"/>
      <c r="X16"/>
    </row>
    <row r="17" spans="1:24" s="22" customFormat="1" ht="16.2">
      <c r="A17" s="63">
        <v>10</v>
      </c>
      <c r="B17" s="83" t="s">
        <v>9</v>
      </c>
      <c r="C17" s="87" t="s">
        <v>28</v>
      </c>
      <c r="D17" s="64">
        <v>210</v>
      </c>
      <c r="E17" s="64">
        <v>40</v>
      </c>
      <c r="F17" s="64"/>
      <c r="G17" s="64">
        <v>5</v>
      </c>
      <c r="H17" s="64">
        <v>10</v>
      </c>
      <c r="I17" s="64">
        <v>5</v>
      </c>
      <c r="J17" s="64"/>
      <c r="K17" s="64">
        <v>5</v>
      </c>
      <c r="L17" s="64">
        <f t="shared" si="0"/>
        <v>25</v>
      </c>
      <c r="M17" s="64">
        <v>5</v>
      </c>
      <c r="N17" s="64"/>
      <c r="O17" s="64">
        <v>5</v>
      </c>
      <c r="P17" s="64">
        <v>5</v>
      </c>
      <c r="Q17" s="62">
        <f t="shared" si="1"/>
        <v>40</v>
      </c>
      <c r="R17"/>
      <c r="S17"/>
      <c r="T17"/>
      <c r="U17"/>
      <c r="V17"/>
      <c r="W17"/>
      <c r="X17"/>
    </row>
    <row r="18" spans="1:24" s="22" customFormat="1" ht="16.2">
      <c r="A18" s="74">
        <v>5</v>
      </c>
      <c r="B18" s="84" t="s">
        <v>15</v>
      </c>
      <c r="C18" s="88" t="s">
        <v>34</v>
      </c>
      <c r="D18" s="75">
        <v>20</v>
      </c>
      <c r="E18" s="75">
        <v>5</v>
      </c>
      <c r="F18" s="75"/>
      <c r="G18" s="75">
        <v>5</v>
      </c>
      <c r="H18" s="75"/>
      <c r="I18" s="75"/>
      <c r="J18" s="75"/>
      <c r="K18" s="75"/>
      <c r="L18" s="75">
        <f t="shared" si="0"/>
        <v>5</v>
      </c>
      <c r="M18" s="75"/>
      <c r="N18" s="75"/>
      <c r="O18" s="75">
        <v>0</v>
      </c>
      <c r="P18" s="75">
        <v>0</v>
      </c>
      <c r="Q18" s="62">
        <f t="shared" si="1"/>
        <v>5</v>
      </c>
      <c r="R18"/>
      <c r="S18"/>
      <c r="T18"/>
      <c r="U18"/>
      <c r="V18"/>
      <c r="W18"/>
      <c r="X18"/>
    </row>
    <row r="19" spans="1:24" s="22" customFormat="1" ht="16.2">
      <c r="A19" s="63">
        <v>5</v>
      </c>
      <c r="B19" s="83" t="s">
        <v>101</v>
      </c>
      <c r="C19" s="87" t="s">
        <v>102</v>
      </c>
      <c r="D19" s="64">
        <v>120</v>
      </c>
      <c r="E19" s="64">
        <v>25</v>
      </c>
      <c r="F19" s="64"/>
      <c r="G19" s="64">
        <v>5</v>
      </c>
      <c r="H19" s="64"/>
      <c r="I19" s="64">
        <v>5</v>
      </c>
      <c r="J19" s="64"/>
      <c r="K19" s="64">
        <v>5</v>
      </c>
      <c r="L19" s="64">
        <f t="shared" si="0"/>
        <v>15</v>
      </c>
      <c r="M19" s="64">
        <v>5</v>
      </c>
      <c r="N19" s="64"/>
      <c r="O19" s="64">
        <v>5</v>
      </c>
      <c r="P19" s="64">
        <v>0</v>
      </c>
      <c r="Q19" s="62">
        <f t="shared" si="1"/>
        <v>25</v>
      </c>
      <c r="R19"/>
      <c r="S19"/>
      <c r="T19"/>
      <c r="U19"/>
      <c r="V19"/>
      <c r="W19"/>
      <c r="X19"/>
    </row>
    <row r="20" spans="1:24" s="22" customFormat="1" ht="16.2">
      <c r="A20" s="74">
        <v>10</v>
      </c>
      <c r="B20" s="84" t="s">
        <v>207</v>
      </c>
      <c r="C20" s="88" t="s">
        <v>189</v>
      </c>
      <c r="D20" s="75">
        <v>1</v>
      </c>
      <c r="E20" s="75">
        <v>0</v>
      </c>
      <c r="F20" s="75"/>
      <c r="G20" s="75"/>
      <c r="H20" s="75"/>
      <c r="I20" s="75"/>
      <c r="J20" s="75"/>
      <c r="K20" s="75"/>
      <c r="L20" s="75">
        <f t="shared" si="0"/>
        <v>0</v>
      </c>
      <c r="M20" s="75"/>
      <c r="N20" s="75"/>
      <c r="O20" s="75">
        <v>0</v>
      </c>
      <c r="P20" s="75">
        <v>0</v>
      </c>
      <c r="Q20" s="62">
        <f t="shared" si="1"/>
        <v>0</v>
      </c>
      <c r="R20"/>
      <c r="S20"/>
      <c r="T20"/>
      <c r="U20"/>
      <c r="V20"/>
      <c r="W20"/>
      <c r="X20"/>
    </row>
    <row r="21" spans="1:24" s="22" customFormat="1" ht="16.8" thickBot="1">
      <c r="A21" s="63">
        <v>10</v>
      </c>
      <c r="B21" s="83" t="s">
        <v>10</v>
      </c>
      <c r="C21" s="87" t="s">
        <v>29</v>
      </c>
      <c r="D21" s="64">
        <v>300</v>
      </c>
      <c r="E21" s="64">
        <v>0</v>
      </c>
      <c r="F21" s="64"/>
      <c r="G21" s="64"/>
      <c r="H21" s="64"/>
      <c r="I21" s="64"/>
      <c r="J21" s="64"/>
      <c r="K21" s="64"/>
      <c r="L21" s="64">
        <f t="shared" si="0"/>
        <v>0</v>
      </c>
      <c r="M21" s="64"/>
      <c r="N21" s="64"/>
      <c r="O21" s="64">
        <v>0</v>
      </c>
      <c r="P21" s="64">
        <v>0</v>
      </c>
      <c r="Q21" s="62">
        <f t="shared" si="1"/>
        <v>0</v>
      </c>
      <c r="R21"/>
      <c r="S21"/>
      <c r="T21"/>
      <c r="U21"/>
      <c r="V21"/>
      <c r="W21"/>
      <c r="X21"/>
    </row>
    <row r="22" spans="1:24" ht="16.2" thickBot="1">
      <c r="A22" s="66"/>
      <c r="B22" s="66"/>
      <c r="C22" s="104"/>
      <c r="D22" s="104">
        <f t="shared" ref="D22:O22" si="2">SUM(D2:D21)</f>
        <v>10906</v>
      </c>
      <c r="E22" s="104">
        <f t="shared" si="2"/>
        <v>2031</v>
      </c>
      <c r="F22" s="104">
        <f t="shared" si="2"/>
        <v>0</v>
      </c>
      <c r="G22" s="104">
        <f t="shared" si="2"/>
        <v>410</v>
      </c>
      <c r="H22" s="104">
        <f t="shared" si="2"/>
        <v>400</v>
      </c>
      <c r="I22" s="104">
        <f t="shared" si="2"/>
        <v>355</v>
      </c>
      <c r="J22" s="104">
        <f t="shared" si="2"/>
        <v>0</v>
      </c>
      <c r="K22" s="104">
        <f t="shared" si="2"/>
        <v>271</v>
      </c>
      <c r="L22" s="104">
        <f t="shared" si="2"/>
        <v>1436</v>
      </c>
      <c r="M22" s="104">
        <f t="shared" si="2"/>
        <v>160</v>
      </c>
      <c r="N22" s="104">
        <f t="shared" si="2"/>
        <v>0</v>
      </c>
      <c r="O22" s="104">
        <f t="shared" si="2"/>
        <v>320</v>
      </c>
      <c r="P22" s="104">
        <f>SUM(P2:P21)</f>
        <v>115</v>
      </c>
      <c r="Q22" s="104">
        <f>SUM(Q2:Q21)</f>
        <v>2031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1"/>
  <sheetViews>
    <sheetView zoomScale="80" zoomScaleNormal="80"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P3" sqref="A2:P3"/>
    </sheetView>
  </sheetViews>
  <sheetFormatPr defaultRowHeight="13.8"/>
  <cols>
    <col min="1" max="1" width="8.88671875" style="22"/>
    <col min="2" max="2" width="23.6640625" style="22" customWidth="1"/>
    <col min="3" max="3" width="23.77734375" style="22" customWidth="1"/>
    <col min="4" max="18" width="8.88671875" style="22"/>
    <col min="19" max="19" width="26.44140625" style="22" bestFit="1" customWidth="1"/>
    <col min="20" max="20" width="10.6640625" style="22" customWidth="1"/>
    <col min="21" max="16384" width="8.88671875" style="22"/>
  </cols>
  <sheetData>
    <row r="1" spans="1:25" ht="29.4" thickBot="1">
      <c r="A1" s="65" t="s">
        <v>111</v>
      </c>
      <c r="B1" s="66" t="s">
        <v>78</v>
      </c>
      <c r="C1" s="66" t="s">
        <v>110</v>
      </c>
      <c r="D1" s="66" t="s">
        <v>80</v>
      </c>
      <c r="E1" s="67" t="s">
        <v>65</v>
      </c>
      <c r="F1" s="115" t="s">
        <v>81</v>
      </c>
      <c r="G1" s="115" t="s">
        <v>68</v>
      </c>
      <c r="H1" s="115" t="s">
        <v>50</v>
      </c>
      <c r="I1" s="115" t="s">
        <v>51</v>
      </c>
      <c r="J1" s="115" t="s">
        <v>82</v>
      </c>
      <c r="K1" s="115" t="s">
        <v>241</v>
      </c>
      <c r="L1" s="91" t="s">
        <v>86</v>
      </c>
      <c r="M1" s="92" t="s">
        <v>83</v>
      </c>
      <c r="N1" s="93" t="s">
        <v>44</v>
      </c>
      <c r="O1" s="94" t="s">
        <v>84</v>
      </c>
      <c r="P1" s="95" t="s">
        <v>85</v>
      </c>
      <c r="S1" s="147" t="s">
        <v>244</v>
      </c>
      <c r="T1" s="147" t="s">
        <v>236</v>
      </c>
      <c r="U1" s="147" t="s">
        <v>248</v>
      </c>
      <c r="V1" s="147" t="s">
        <v>238</v>
      </c>
      <c r="W1" s="147" t="s">
        <v>243</v>
      </c>
      <c r="X1" s="148" t="s">
        <v>235</v>
      </c>
      <c r="Y1" s="148" t="s">
        <v>245</v>
      </c>
    </row>
    <row r="2" spans="1:25" ht="14.4">
      <c r="A2" s="74">
        <v>5</v>
      </c>
      <c r="B2" s="84" t="s">
        <v>20</v>
      </c>
      <c r="C2" s="88" t="s">
        <v>40</v>
      </c>
      <c r="D2" s="75">
        <v>380</v>
      </c>
      <c r="E2" s="75">
        <v>100</v>
      </c>
      <c r="F2" s="75">
        <v>20</v>
      </c>
      <c r="G2" s="75">
        <v>10</v>
      </c>
      <c r="H2" s="75">
        <v>20</v>
      </c>
      <c r="I2" s="75">
        <v>10</v>
      </c>
      <c r="J2" s="75"/>
      <c r="K2" s="75"/>
      <c r="L2" s="75">
        <f t="shared" ref="L2:L30" si="0">SUM(F2:K2)</f>
        <v>60</v>
      </c>
      <c r="M2" s="75">
        <v>10</v>
      </c>
      <c r="N2" s="75">
        <v>5</v>
      </c>
      <c r="O2" s="75">
        <v>20</v>
      </c>
      <c r="P2" s="75">
        <v>5</v>
      </c>
      <c r="Q2" s="62">
        <f t="shared" ref="Q2:Q30" si="1">SUM(F2:K2,M2:P2)</f>
        <v>100</v>
      </c>
      <c r="S2" s="141" t="s">
        <v>13</v>
      </c>
      <c r="T2" s="141">
        <v>600</v>
      </c>
      <c r="U2" s="142">
        <v>50</v>
      </c>
      <c r="V2" s="142">
        <v>20</v>
      </c>
      <c r="W2" s="142"/>
      <c r="X2" s="142"/>
      <c r="Y2" s="149">
        <f>SUM(T2:X2)</f>
        <v>670</v>
      </c>
    </row>
    <row r="3" spans="1:25" ht="14.4">
      <c r="A3" s="63">
        <v>10</v>
      </c>
      <c r="B3" s="83" t="s">
        <v>11</v>
      </c>
      <c r="C3" s="87" t="s">
        <v>30</v>
      </c>
      <c r="D3" s="64">
        <v>20</v>
      </c>
      <c r="E3" s="64">
        <v>20</v>
      </c>
      <c r="F3" s="64"/>
      <c r="G3" s="64"/>
      <c r="H3" s="64"/>
      <c r="I3" s="64">
        <v>10</v>
      </c>
      <c r="J3" s="64"/>
      <c r="K3" s="64"/>
      <c r="L3" s="64">
        <f t="shared" si="0"/>
        <v>10</v>
      </c>
      <c r="M3" s="64"/>
      <c r="N3" s="64"/>
      <c r="O3" s="64">
        <v>10</v>
      </c>
      <c r="P3" s="64"/>
      <c r="Q3" s="62">
        <f t="shared" si="1"/>
        <v>20</v>
      </c>
      <c r="S3" s="141" t="s">
        <v>165</v>
      </c>
      <c r="T3" s="141"/>
      <c r="U3" s="142">
        <v>30</v>
      </c>
      <c r="V3" s="142">
        <v>50</v>
      </c>
      <c r="W3" s="142"/>
      <c r="X3" s="142"/>
      <c r="Y3" s="149">
        <f t="shared" ref="Y3:Y7" si="2">SUM(T3:X3)</f>
        <v>80</v>
      </c>
    </row>
    <row r="4" spans="1:25" ht="14.4">
      <c r="A4" s="74">
        <v>10</v>
      </c>
      <c r="B4" s="84" t="s">
        <v>12</v>
      </c>
      <c r="C4" s="88" t="s">
        <v>31</v>
      </c>
      <c r="D4" s="75">
        <v>20</v>
      </c>
      <c r="E4" s="75">
        <v>20</v>
      </c>
      <c r="F4" s="75"/>
      <c r="G4" s="75"/>
      <c r="H4" s="75"/>
      <c r="I4" s="75">
        <v>10</v>
      </c>
      <c r="J4" s="75"/>
      <c r="K4" s="75"/>
      <c r="L4" s="75">
        <f t="shared" si="0"/>
        <v>10</v>
      </c>
      <c r="M4" s="75"/>
      <c r="N4" s="75"/>
      <c r="O4" s="75">
        <v>10</v>
      </c>
      <c r="P4" s="75"/>
      <c r="Q4" s="62">
        <f t="shared" si="1"/>
        <v>20</v>
      </c>
      <c r="S4" s="141" t="s">
        <v>7</v>
      </c>
      <c r="T4" s="141"/>
      <c r="U4" s="142"/>
      <c r="V4" s="150">
        <v>30</v>
      </c>
      <c r="W4" s="150">
        <v>51</v>
      </c>
      <c r="X4" s="142"/>
      <c r="Y4" s="149">
        <f t="shared" si="2"/>
        <v>81</v>
      </c>
    </row>
    <row r="5" spans="1:25" ht="14.4">
      <c r="A5" s="63">
        <v>10</v>
      </c>
      <c r="B5" s="83" t="s">
        <v>13</v>
      </c>
      <c r="C5" s="87" t="s">
        <v>32</v>
      </c>
      <c r="D5" s="64">
        <v>400</v>
      </c>
      <c r="E5" s="64">
        <v>100</v>
      </c>
      <c r="F5" s="64">
        <v>10</v>
      </c>
      <c r="G5" s="64">
        <v>20</v>
      </c>
      <c r="H5" s="64">
        <v>10</v>
      </c>
      <c r="I5" s="64">
        <v>20</v>
      </c>
      <c r="J5" s="64"/>
      <c r="K5" s="64"/>
      <c r="L5" s="64">
        <f t="shared" si="0"/>
        <v>60</v>
      </c>
      <c r="M5" s="64">
        <v>10</v>
      </c>
      <c r="N5" s="64">
        <v>5</v>
      </c>
      <c r="O5" s="64">
        <v>20</v>
      </c>
      <c r="P5" s="64">
        <v>5</v>
      </c>
      <c r="Q5" s="62">
        <f t="shared" si="1"/>
        <v>100</v>
      </c>
      <c r="S5" s="141" t="s">
        <v>3</v>
      </c>
      <c r="T5" s="141"/>
      <c r="U5" s="142"/>
      <c r="V5" s="142">
        <v>10</v>
      </c>
      <c r="W5" s="150">
        <v>26</v>
      </c>
      <c r="X5" s="142">
        <v>350</v>
      </c>
      <c r="Y5" s="149">
        <f t="shared" si="2"/>
        <v>386</v>
      </c>
    </row>
    <row r="6" spans="1:25" ht="14.4">
      <c r="A6" s="74">
        <v>5</v>
      </c>
      <c r="B6" s="84" t="s">
        <v>17</v>
      </c>
      <c r="C6" s="88" t="s">
        <v>36</v>
      </c>
      <c r="D6" s="75">
        <v>15</v>
      </c>
      <c r="E6" s="75">
        <v>15</v>
      </c>
      <c r="F6" s="75"/>
      <c r="G6" s="75">
        <v>15</v>
      </c>
      <c r="H6" s="75"/>
      <c r="I6" s="75"/>
      <c r="J6" s="75"/>
      <c r="K6" s="75"/>
      <c r="L6" s="75">
        <f t="shared" si="0"/>
        <v>15</v>
      </c>
      <c r="M6" s="75"/>
      <c r="N6" s="75"/>
      <c r="O6" s="75"/>
      <c r="P6" s="75"/>
      <c r="Q6" s="62">
        <f t="shared" si="1"/>
        <v>15</v>
      </c>
      <c r="S6" s="141" t="s">
        <v>247</v>
      </c>
      <c r="T6" s="141"/>
      <c r="U6" s="142"/>
      <c r="V6" s="142"/>
      <c r="W6" s="142"/>
      <c r="X6" s="142">
        <v>100</v>
      </c>
      <c r="Y6" s="149">
        <f t="shared" si="2"/>
        <v>100</v>
      </c>
    </row>
    <row r="7" spans="1:25" ht="14.4">
      <c r="A7" s="63">
        <v>5</v>
      </c>
      <c r="B7" s="83" t="s">
        <v>17</v>
      </c>
      <c r="C7" s="87" t="s">
        <v>37</v>
      </c>
      <c r="D7" s="64">
        <v>1225</v>
      </c>
      <c r="E7" s="64">
        <v>220</v>
      </c>
      <c r="F7" s="64">
        <v>40</v>
      </c>
      <c r="G7" s="64">
        <v>35</v>
      </c>
      <c r="H7" s="64">
        <v>40</v>
      </c>
      <c r="I7" s="64">
        <v>20</v>
      </c>
      <c r="J7" s="64"/>
      <c r="K7" s="64"/>
      <c r="L7" s="64">
        <f t="shared" si="0"/>
        <v>135</v>
      </c>
      <c r="M7" s="64">
        <v>15</v>
      </c>
      <c r="N7" s="64">
        <v>25</v>
      </c>
      <c r="O7" s="64">
        <v>35</v>
      </c>
      <c r="P7" s="64">
        <v>10</v>
      </c>
      <c r="Q7" s="62">
        <f t="shared" si="1"/>
        <v>220</v>
      </c>
      <c r="S7" s="141" t="s">
        <v>246</v>
      </c>
      <c r="T7" s="141">
        <v>100</v>
      </c>
      <c r="U7" s="142"/>
      <c r="V7" s="142"/>
      <c r="W7" s="142"/>
      <c r="X7" s="142"/>
      <c r="Y7" s="149">
        <f t="shared" si="2"/>
        <v>100</v>
      </c>
    </row>
    <row r="8" spans="1:25">
      <c r="A8" s="74">
        <v>10</v>
      </c>
      <c r="B8" s="84" t="s">
        <v>14</v>
      </c>
      <c r="C8" s="88" t="s">
        <v>33</v>
      </c>
      <c r="D8" s="75">
        <v>90</v>
      </c>
      <c r="E8" s="75">
        <v>20</v>
      </c>
      <c r="F8" s="75"/>
      <c r="G8" s="75"/>
      <c r="H8" s="75">
        <v>10</v>
      </c>
      <c r="I8" s="75"/>
      <c r="J8" s="75"/>
      <c r="K8" s="75"/>
      <c r="L8" s="75">
        <f t="shared" si="0"/>
        <v>10</v>
      </c>
      <c r="M8" s="75">
        <v>2</v>
      </c>
      <c r="N8" s="75">
        <v>3</v>
      </c>
      <c r="O8" s="75">
        <v>5</v>
      </c>
      <c r="P8" s="75"/>
      <c r="Q8" s="62">
        <f t="shared" si="1"/>
        <v>20</v>
      </c>
      <c r="S8" s="146" t="s">
        <v>242</v>
      </c>
      <c r="T8" s="145"/>
      <c r="U8" s="145"/>
      <c r="V8" s="145"/>
      <c r="W8" s="145"/>
      <c r="X8" s="145"/>
      <c r="Y8" s="146"/>
    </row>
    <row r="9" spans="1:25" ht="14.4">
      <c r="A9" s="63">
        <v>10</v>
      </c>
      <c r="B9" s="83" t="s">
        <v>6</v>
      </c>
      <c r="C9" s="87" t="s">
        <v>25</v>
      </c>
      <c r="D9" s="64">
        <v>340</v>
      </c>
      <c r="E9" s="64">
        <v>60</v>
      </c>
      <c r="F9" s="64">
        <v>10</v>
      </c>
      <c r="G9" s="64">
        <v>10</v>
      </c>
      <c r="H9" s="64"/>
      <c r="I9" s="64">
        <v>10</v>
      </c>
      <c r="J9" s="64"/>
      <c r="K9" s="64"/>
      <c r="L9" s="64">
        <f t="shared" si="0"/>
        <v>30</v>
      </c>
      <c r="M9" s="64">
        <v>10</v>
      </c>
      <c r="N9" s="64">
        <v>10</v>
      </c>
      <c r="O9" s="64">
        <v>10</v>
      </c>
      <c r="P9" s="64"/>
      <c r="Q9" s="62">
        <f t="shared" si="1"/>
        <v>60</v>
      </c>
      <c r="S9" s="141" t="s">
        <v>13</v>
      </c>
      <c r="T9" s="141"/>
      <c r="U9" s="142">
        <v>10</v>
      </c>
      <c r="V9" s="142"/>
      <c r="W9" s="142"/>
      <c r="X9" s="142"/>
      <c r="Y9" s="149">
        <f t="shared" ref="Y9:Y15" si="3">SUM(T9:X9)</f>
        <v>10</v>
      </c>
    </row>
    <row r="10" spans="1:25" ht="14.4">
      <c r="A10" s="74">
        <v>10</v>
      </c>
      <c r="B10" s="84" t="s">
        <v>7</v>
      </c>
      <c r="C10" s="88" t="s">
        <v>26</v>
      </c>
      <c r="D10" s="75">
        <v>4700</v>
      </c>
      <c r="E10" s="75">
        <v>840</v>
      </c>
      <c r="F10" s="75">
        <v>120</v>
      </c>
      <c r="G10" s="75">
        <v>120</v>
      </c>
      <c r="H10" s="75">
        <v>130</v>
      </c>
      <c r="I10" s="75">
        <v>180</v>
      </c>
      <c r="J10" s="75"/>
      <c r="K10" s="75"/>
      <c r="L10" s="75">
        <f t="shared" si="0"/>
        <v>550</v>
      </c>
      <c r="M10" s="75">
        <v>70</v>
      </c>
      <c r="N10" s="75">
        <v>80</v>
      </c>
      <c r="O10" s="75">
        <v>110</v>
      </c>
      <c r="P10" s="75">
        <v>30</v>
      </c>
      <c r="Q10" s="62">
        <f t="shared" si="1"/>
        <v>840</v>
      </c>
      <c r="S10" s="141" t="s">
        <v>165</v>
      </c>
      <c r="T10" s="141"/>
      <c r="U10" s="142"/>
      <c r="V10" s="142">
        <v>10</v>
      </c>
      <c r="W10" s="142"/>
      <c r="X10" s="142"/>
      <c r="Y10" s="149">
        <f t="shared" si="3"/>
        <v>10</v>
      </c>
    </row>
    <row r="11" spans="1:25" ht="14.4">
      <c r="A11" s="63">
        <v>10</v>
      </c>
      <c r="B11" s="83" t="s">
        <v>18</v>
      </c>
      <c r="C11" s="87" t="s">
        <v>38</v>
      </c>
      <c r="D11" s="64">
        <v>1280</v>
      </c>
      <c r="E11" s="64">
        <v>230</v>
      </c>
      <c r="F11" s="64">
        <v>40</v>
      </c>
      <c r="G11" s="64">
        <v>40</v>
      </c>
      <c r="H11" s="64">
        <v>40</v>
      </c>
      <c r="I11" s="64">
        <v>30</v>
      </c>
      <c r="J11" s="64"/>
      <c r="K11" s="64"/>
      <c r="L11" s="64">
        <f t="shared" si="0"/>
        <v>150</v>
      </c>
      <c r="M11" s="64">
        <v>20</v>
      </c>
      <c r="N11" s="64">
        <v>20</v>
      </c>
      <c r="O11" s="64">
        <v>30</v>
      </c>
      <c r="P11" s="64">
        <v>10</v>
      </c>
      <c r="Q11" s="62">
        <f t="shared" si="1"/>
        <v>230</v>
      </c>
      <c r="S11" s="141" t="s">
        <v>190</v>
      </c>
      <c r="T11" s="141"/>
      <c r="U11" s="142">
        <v>10</v>
      </c>
      <c r="V11" s="142"/>
      <c r="W11" s="142"/>
      <c r="X11" s="142"/>
      <c r="Y11" s="149">
        <f t="shared" si="3"/>
        <v>10</v>
      </c>
    </row>
    <row r="12" spans="1:25" ht="14.4">
      <c r="A12" s="74">
        <v>5</v>
      </c>
      <c r="B12" s="84" t="s">
        <v>8</v>
      </c>
      <c r="C12" s="88" t="s">
        <v>27</v>
      </c>
      <c r="D12" s="75">
        <v>145</v>
      </c>
      <c r="E12" s="75">
        <v>25</v>
      </c>
      <c r="F12" s="75"/>
      <c r="G12" s="75"/>
      <c r="H12" s="75">
        <v>10</v>
      </c>
      <c r="I12" s="75">
        <v>5</v>
      </c>
      <c r="J12" s="75"/>
      <c r="K12" s="75"/>
      <c r="L12" s="75">
        <f t="shared" si="0"/>
        <v>15</v>
      </c>
      <c r="M12" s="75"/>
      <c r="N12" s="75">
        <v>5</v>
      </c>
      <c r="O12" s="75">
        <v>5</v>
      </c>
      <c r="P12" s="75"/>
      <c r="Q12" s="62">
        <f t="shared" si="1"/>
        <v>25</v>
      </c>
      <c r="S12" s="141" t="s">
        <v>7</v>
      </c>
      <c r="T12" s="141"/>
      <c r="U12" s="142"/>
      <c r="V12" s="142">
        <v>30</v>
      </c>
      <c r="W12" s="142">
        <v>51</v>
      </c>
      <c r="X12" s="142"/>
      <c r="Y12" s="149">
        <f t="shared" si="3"/>
        <v>81</v>
      </c>
    </row>
    <row r="13" spans="1:25" ht="14.4">
      <c r="A13" s="63">
        <v>5</v>
      </c>
      <c r="B13" s="83" t="s">
        <v>8</v>
      </c>
      <c r="C13" s="87" t="s">
        <v>233</v>
      </c>
      <c r="D13" s="64">
        <v>170</v>
      </c>
      <c r="E13" s="64">
        <v>30</v>
      </c>
      <c r="F13" s="64">
        <v>5</v>
      </c>
      <c r="G13" s="64">
        <v>5</v>
      </c>
      <c r="H13" s="64"/>
      <c r="I13" s="64"/>
      <c r="J13" s="64"/>
      <c r="K13" s="64"/>
      <c r="L13" s="64">
        <f t="shared" si="0"/>
        <v>10</v>
      </c>
      <c r="M13" s="64">
        <v>5</v>
      </c>
      <c r="N13" s="64">
        <v>5</v>
      </c>
      <c r="O13" s="64">
        <v>10</v>
      </c>
      <c r="P13" s="64"/>
      <c r="Q13" s="62">
        <f t="shared" si="1"/>
        <v>30</v>
      </c>
      <c r="S13" s="141" t="s">
        <v>3</v>
      </c>
      <c r="T13" s="141"/>
      <c r="U13" s="142"/>
      <c r="V13" s="142"/>
      <c r="W13" s="142">
        <v>26</v>
      </c>
      <c r="X13" s="142">
        <v>20</v>
      </c>
      <c r="Y13" s="149">
        <f t="shared" si="3"/>
        <v>46</v>
      </c>
    </row>
    <row r="14" spans="1:25" ht="14.4">
      <c r="A14" s="74">
        <v>10</v>
      </c>
      <c r="B14" s="84" t="s">
        <v>72</v>
      </c>
      <c r="C14" s="88" t="s">
        <v>75</v>
      </c>
      <c r="D14" s="75">
        <v>120</v>
      </c>
      <c r="E14" s="75">
        <v>20</v>
      </c>
      <c r="F14" s="75"/>
      <c r="G14" s="75"/>
      <c r="H14" s="75">
        <v>10</v>
      </c>
      <c r="I14" s="75"/>
      <c r="J14" s="75"/>
      <c r="K14" s="75"/>
      <c r="L14" s="75">
        <f t="shared" si="0"/>
        <v>10</v>
      </c>
      <c r="M14" s="75"/>
      <c r="N14" s="75">
        <v>5</v>
      </c>
      <c r="O14" s="75">
        <v>5</v>
      </c>
      <c r="P14" s="75"/>
      <c r="Q14" s="62">
        <f t="shared" si="1"/>
        <v>20</v>
      </c>
      <c r="S14" s="141" t="s">
        <v>247</v>
      </c>
      <c r="T14" s="141"/>
      <c r="U14" s="142"/>
      <c r="V14" s="142"/>
      <c r="W14" s="142"/>
      <c r="X14" s="142"/>
      <c r="Y14" s="149">
        <f t="shared" si="3"/>
        <v>0</v>
      </c>
    </row>
    <row r="15" spans="1:25" ht="14.4">
      <c r="A15" s="63">
        <v>10</v>
      </c>
      <c r="B15" s="83" t="s">
        <v>3</v>
      </c>
      <c r="C15" s="87" t="s">
        <v>22</v>
      </c>
      <c r="D15" s="64">
        <v>440</v>
      </c>
      <c r="E15" s="64">
        <v>85</v>
      </c>
      <c r="F15" s="64"/>
      <c r="G15" s="64"/>
      <c r="H15" s="64"/>
      <c r="I15" s="64">
        <v>30</v>
      </c>
      <c r="J15" s="64"/>
      <c r="K15" s="64">
        <v>20</v>
      </c>
      <c r="L15" s="64">
        <f t="shared" si="0"/>
        <v>50</v>
      </c>
      <c r="M15" s="64">
        <v>5</v>
      </c>
      <c r="N15" s="64">
        <v>10</v>
      </c>
      <c r="O15" s="64">
        <v>10</v>
      </c>
      <c r="P15" s="64">
        <v>10</v>
      </c>
      <c r="Q15" s="62">
        <f t="shared" si="1"/>
        <v>85</v>
      </c>
      <c r="S15" s="141" t="s">
        <v>246</v>
      </c>
      <c r="T15" s="141"/>
      <c r="U15" s="142"/>
      <c r="V15" s="142"/>
      <c r="W15" s="142"/>
      <c r="X15" s="142"/>
      <c r="Y15" s="149">
        <f t="shared" si="3"/>
        <v>0</v>
      </c>
    </row>
    <row r="16" spans="1:25">
      <c r="A16" s="74">
        <v>1</v>
      </c>
      <c r="B16" s="84" t="s">
        <v>115</v>
      </c>
      <c r="C16" s="88" t="s">
        <v>188</v>
      </c>
      <c r="D16" s="75">
        <v>17</v>
      </c>
      <c r="E16" s="75">
        <v>3</v>
      </c>
      <c r="F16" s="75">
        <v>1</v>
      </c>
      <c r="G16" s="75">
        <v>2</v>
      </c>
      <c r="H16" s="75"/>
      <c r="I16" s="75"/>
      <c r="J16" s="75"/>
      <c r="K16" s="75"/>
      <c r="L16" s="75">
        <f t="shared" si="0"/>
        <v>3</v>
      </c>
      <c r="M16" s="75"/>
      <c r="N16" s="75"/>
      <c r="O16" s="75"/>
      <c r="P16" s="75"/>
      <c r="Q16" s="62">
        <f t="shared" si="1"/>
        <v>3</v>
      </c>
    </row>
    <row r="17" spans="1:17">
      <c r="A17" s="63">
        <v>10</v>
      </c>
      <c r="B17" s="83" t="s">
        <v>9</v>
      </c>
      <c r="C17" s="87" t="s">
        <v>28</v>
      </c>
      <c r="D17" s="64">
        <v>200</v>
      </c>
      <c r="E17" s="64">
        <v>40</v>
      </c>
      <c r="F17" s="64">
        <v>5</v>
      </c>
      <c r="G17" s="64">
        <v>5</v>
      </c>
      <c r="H17" s="64">
        <v>5</v>
      </c>
      <c r="I17" s="64">
        <v>5</v>
      </c>
      <c r="J17" s="64"/>
      <c r="K17" s="64"/>
      <c r="L17" s="64">
        <f t="shared" si="0"/>
        <v>20</v>
      </c>
      <c r="M17" s="64">
        <v>5</v>
      </c>
      <c r="N17" s="64">
        <v>5</v>
      </c>
      <c r="O17" s="64">
        <v>5</v>
      </c>
      <c r="P17" s="64">
        <v>5</v>
      </c>
      <c r="Q17" s="62">
        <f t="shared" si="1"/>
        <v>40</v>
      </c>
    </row>
    <row r="18" spans="1:17">
      <c r="A18" s="74">
        <v>5</v>
      </c>
      <c r="B18" s="84" t="s">
        <v>15</v>
      </c>
      <c r="C18" s="88" t="s">
        <v>34</v>
      </c>
      <c r="D18" s="75">
        <v>15</v>
      </c>
      <c r="E18" s="75">
        <v>15</v>
      </c>
      <c r="F18" s="75"/>
      <c r="G18" s="75"/>
      <c r="H18" s="75"/>
      <c r="I18" s="75"/>
      <c r="J18" s="75"/>
      <c r="K18" s="75"/>
      <c r="L18" s="75">
        <f t="shared" si="0"/>
        <v>0</v>
      </c>
      <c r="M18" s="75"/>
      <c r="N18" s="75">
        <v>5</v>
      </c>
      <c r="O18" s="75">
        <v>5</v>
      </c>
      <c r="P18" s="75">
        <v>5</v>
      </c>
      <c r="Q18" s="62">
        <f t="shared" si="1"/>
        <v>15</v>
      </c>
    </row>
    <row r="19" spans="1:17">
      <c r="A19" s="63">
        <v>4</v>
      </c>
      <c r="B19" s="83" t="s">
        <v>167</v>
      </c>
      <c r="C19" s="87" t="s">
        <v>168</v>
      </c>
      <c r="D19" s="64">
        <v>76</v>
      </c>
      <c r="E19" s="64">
        <v>12</v>
      </c>
      <c r="F19" s="64">
        <v>4</v>
      </c>
      <c r="G19" s="64">
        <v>4</v>
      </c>
      <c r="H19" s="64"/>
      <c r="I19" s="64">
        <v>4</v>
      </c>
      <c r="J19" s="64"/>
      <c r="K19" s="64"/>
      <c r="L19" s="64">
        <f t="shared" si="0"/>
        <v>12</v>
      </c>
      <c r="M19" s="64"/>
      <c r="N19" s="64"/>
      <c r="O19" s="64"/>
      <c r="P19" s="64"/>
      <c r="Q19" s="62">
        <f t="shared" si="1"/>
        <v>12</v>
      </c>
    </row>
    <row r="20" spans="1:17">
      <c r="A20" s="74">
        <v>5</v>
      </c>
      <c r="B20" s="84" t="s">
        <v>240</v>
      </c>
      <c r="C20" s="88" t="s">
        <v>169</v>
      </c>
      <c r="D20" s="75">
        <v>80</v>
      </c>
      <c r="E20" s="75">
        <v>15</v>
      </c>
      <c r="F20" s="75">
        <v>5</v>
      </c>
      <c r="G20" s="75">
        <v>5</v>
      </c>
      <c r="H20" s="75"/>
      <c r="I20" s="75">
        <v>5</v>
      </c>
      <c r="J20" s="75"/>
      <c r="K20" s="75"/>
      <c r="L20" s="75">
        <f t="shared" si="0"/>
        <v>15</v>
      </c>
      <c r="M20" s="75"/>
      <c r="N20" s="75"/>
      <c r="O20" s="75"/>
      <c r="P20" s="75"/>
      <c r="Q20" s="62">
        <f t="shared" si="1"/>
        <v>15</v>
      </c>
    </row>
    <row r="21" spans="1:17">
      <c r="A21" s="63">
        <v>10</v>
      </c>
      <c r="B21" s="83" t="s">
        <v>207</v>
      </c>
      <c r="C21" s="87" t="s">
        <v>189</v>
      </c>
      <c r="D21" s="64">
        <v>10</v>
      </c>
      <c r="E21" s="64">
        <v>0</v>
      </c>
      <c r="F21" s="64"/>
      <c r="G21" s="64"/>
      <c r="H21" s="64"/>
      <c r="I21" s="64"/>
      <c r="J21" s="64"/>
      <c r="K21" s="64"/>
      <c r="L21" s="64">
        <f t="shared" si="0"/>
        <v>0</v>
      </c>
      <c r="M21" s="64"/>
      <c r="N21" s="64"/>
      <c r="O21" s="64"/>
      <c r="P21" s="64"/>
      <c r="Q21" s="62">
        <f t="shared" si="1"/>
        <v>0</v>
      </c>
    </row>
    <row r="22" spans="1:17">
      <c r="A22" s="74">
        <v>10</v>
      </c>
      <c r="B22" s="84" t="s">
        <v>5</v>
      </c>
      <c r="C22" s="88" t="s">
        <v>24</v>
      </c>
      <c r="D22" s="75">
        <v>35</v>
      </c>
      <c r="E22" s="75">
        <v>5</v>
      </c>
      <c r="F22" s="75"/>
      <c r="G22" s="75">
        <v>5</v>
      </c>
      <c r="H22" s="75"/>
      <c r="I22" s="75"/>
      <c r="J22" s="75"/>
      <c r="K22" s="75"/>
      <c r="L22" s="75">
        <f t="shared" si="0"/>
        <v>5</v>
      </c>
      <c r="M22" s="75"/>
      <c r="N22" s="75"/>
      <c r="O22" s="75"/>
      <c r="P22" s="75"/>
      <c r="Q22" s="62">
        <f t="shared" si="1"/>
        <v>5</v>
      </c>
    </row>
    <row r="23" spans="1:17">
      <c r="A23" s="63">
        <v>1</v>
      </c>
      <c r="B23" s="83" t="s">
        <v>227</v>
      </c>
      <c r="C23" s="87" t="s">
        <v>170</v>
      </c>
      <c r="D23" s="64">
        <v>50</v>
      </c>
      <c r="E23" s="64">
        <v>10</v>
      </c>
      <c r="F23" s="64">
        <v>5</v>
      </c>
      <c r="G23" s="64">
        <v>5</v>
      </c>
      <c r="H23" s="64"/>
      <c r="I23" s="64"/>
      <c r="J23" s="64"/>
      <c r="K23" s="64"/>
      <c r="L23" s="64">
        <f t="shared" si="0"/>
        <v>10</v>
      </c>
      <c r="M23" s="64"/>
      <c r="N23" s="64"/>
      <c r="O23" s="64"/>
      <c r="P23" s="64"/>
      <c r="Q23" s="62">
        <f t="shared" si="1"/>
        <v>10</v>
      </c>
    </row>
    <row r="24" spans="1:17">
      <c r="A24" s="74">
        <v>10</v>
      </c>
      <c r="B24" s="84" t="s">
        <v>10</v>
      </c>
      <c r="C24" s="88" t="s">
        <v>29</v>
      </c>
      <c r="D24" s="75">
        <v>360</v>
      </c>
      <c r="E24" s="75">
        <v>60</v>
      </c>
      <c r="F24" s="75"/>
      <c r="G24" s="75">
        <v>50</v>
      </c>
      <c r="H24" s="75"/>
      <c r="I24" s="75">
        <v>10</v>
      </c>
      <c r="J24" s="75"/>
      <c r="K24" s="75"/>
      <c r="L24" s="75">
        <f t="shared" si="0"/>
        <v>60</v>
      </c>
      <c r="M24" s="75"/>
      <c r="N24" s="75"/>
      <c r="O24" s="75"/>
      <c r="P24" s="75"/>
      <c r="Q24" s="62">
        <f t="shared" si="1"/>
        <v>60</v>
      </c>
    </row>
    <row r="25" spans="1:17">
      <c r="A25" s="63">
        <v>10</v>
      </c>
      <c r="B25" s="83" t="s">
        <v>19</v>
      </c>
      <c r="C25" s="87" t="s">
        <v>39</v>
      </c>
      <c r="D25" s="64">
        <v>4</v>
      </c>
      <c r="E25" s="64">
        <v>0</v>
      </c>
      <c r="F25" s="64"/>
      <c r="G25" s="64"/>
      <c r="H25" s="64"/>
      <c r="I25" s="64"/>
      <c r="J25" s="64"/>
      <c r="K25" s="64"/>
      <c r="L25" s="64">
        <f t="shared" si="0"/>
        <v>0</v>
      </c>
      <c r="M25" s="64"/>
      <c r="N25" s="64"/>
      <c r="O25" s="64"/>
      <c r="P25" s="64"/>
      <c r="Q25" s="62">
        <f t="shared" si="1"/>
        <v>0</v>
      </c>
    </row>
    <row r="26" spans="1:17">
      <c r="A26" s="74">
        <v>10</v>
      </c>
      <c r="B26" s="84" t="s">
        <v>246</v>
      </c>
      <c r="C26" s="88" t="s">
        <v>197</v>
      </c>
      <c r="D26" s="75">
        <v>320</v>
      </c>
      <c r="E26" s="75">
        <v>40</v>
      </c>
      <c r="F26" s="75">
        <v>5</v>
      </c>
      <c r="G26" s="75">
        <v>5</v>
      </c>
      <c r="H26" s="75">
        <v>5</v>
      </c>
      <c r="I26" s="75">
        <v>5</v>
      </c>
      <c r="J26" s="75"/>
      <c r="K26" s="75"/>
      <c r="L26" s="75">
        <f t="shared" si="0"/>
        <v>20</v>
      </c>
      <c r="M26" s="75">
        <v>5</v>
      </c>
      <c r="N26" s="75">
        <v>5</v>
      </c>
      <c r="O26" s="75">
        <v>5</v>
      </c>
      <c r="P26" s="75">
        <v>5</v>
      </c>
      <c r="Q26" s="62">
        <f t="shared" si="1"/>
        <v>40</v>
      </c>
    </row>
    <row r="27" spans="1:17">
      <c r="A27" s="63">
        <v>5</v>
      </c>
      <c r="B27" s="83" t="s">
        <v>228</v>
      </c>
      <c r="C27" s="87" t="s">
        <v>211</v>
      </c>
      <c r="D27" s="64">
        <v>5</v>
      </c>
      <c r="E27" s="64">
        <v>5</v>
      </c>
      <c r="F27" s="64"/>
      <c r="G27" s="64"/>
      <c r="H27" s="64"/>
      <c r="I27" s="64">
        <v>5</v>
      </c>
      <c r="J27" s="64"/>
      <c r="K27" s="64"/>
      <c r="L27" s="64">
        <f t="shared" si="0"/>
        <v>5</v>
      </c>
      <c r="M27" s="64"/>
      <c r="N27" s="64"/>
      <c r="O27" s="64"/>
      <c r="P27" s="64"/>
      <c r="Q27" s="62">
        <f t="shared" si="1"/>
        <v>5</v>
      </c>
    </row>
    <row r="28" spans="1:17">
      <c r="A28" s="74">
        <v>5</v>
      </c>
      <c r="B28" s="84" t="s">
        <v>209</v>
      </c>
      <c r="C28" s="88" t="s">
        <v>212</v>
      </c>
      <c r="D28" s="75">
        <v>360</v>
      </c>
      <c r="E28" s="75">
        <v>40</v>
      </c>
      <c r="F28" s="75">
        <v>5</v>
      </c>
      <c r="G28" s="75">
        <v>5</v>
      </c>
      <c r="H28" s="75">
        <v>10</v>
      </c>
      <c r="I28" s="75"/>
      <c r="J28" s="75"/>
      <c r="K28" s="75"/>
      <c r="L28" s="75">
        <f t="shared" si="0"/>
        <v>20</v>
      </c>
      <c r="M28" s="75">
        <v>5</v>
      </c>
      <c r="N28" s="75">
        <v>5</v>
      </c>
      <c r="O28" s="75">
        <v>5</v>
      </c>
      <c r="P28" s="75">
        <v>5</v>
      </c>
      <c r="Q28" s="62">
        <f t="shared" si="1"/>
        <v>40</v>
      </c>
    </row>
    <row r="29" spans="1:17">
      <c r="A29" s="63">
        <v>10</v>
      </c>
      <c r="B29" s="83" t="s">
        <v>229</v>
      </c>
      <c r="C29" s="87" t="s">
        <v>213</v>
      </c>
      <c r="D29" s="64">
        <v>430</v>
      </c>
      <c r="E29" s="64">
        <v>50</v>
      </c>
      <c r="F29" s="64">
        <v>10</v>
      </c>
      <c r="G29" s="64">
        <v>5</v>
      </c>
      <c r="H29" s="64">
        <v>10</v>
      </c>
      <c r="I29" s="64">
        <v>5</v>
      </c>
      <c r="J29" s="64"/>
      <c r="K29" s="64"/>
      <c r="L29" s="64">
        <f t="shared" si="0"/>
        <v>30</v>
      </c>
      <c r="M29" s="64">
        <v>5</v>
      </c>
      <c r="N29" s="64">
        <v>5</v>
      </c>
      <c r="O29" s="64">
        <v>5</v>
      </c>
      <c r="P29" s="64">
        <v>5</v>
      </c>
      <c r="Q29" s="62">
        <f t="shared" si="1"/>
        <v>50</v>
      </c>
    </row>
    <row r="30" spans="1:17" ht="14.4" thickBot="1">
      <c r="A30" s="74">
        <v>10</v>
      </c>
      <c r="B30" s="84" t="s">
        <v>230</v>
      </c>
      <c r="C30" s="88" t="s">
        <v>214</v>
      </c>
      <c r="D30" s="75">
        <v>80</v>
      </c>
      <c r="E30" s="75">
        <v>9</v>
      </c>
      <c r="F30" s="75">
        <v>2</v>
      </c>
      <c r="G30" s="75">
        <v>1</v>
      </c>
      <c r="H30" s="75">
        <v>2</v>
      </c>
      <c r="I30" s="75"/>
      <c r="J30" s="75"/>
      <c r="K30" s="75"/>
      <c r="L30" s="75">
        <f t="shared" si="0"/>
        <v>5</v>
      </c>
      <c r="M30" s="75">
        <v>1</v>
      </c>
      <c r="N30" s="75">
        <v>1</v>
      </c>
      <c r="O30" s="75">
        <v>1</v>
      </c>
      <c r="P30" s="75">
        <v>1</v>
      </c>
      <c r="Q30" s="62">
        <f t="shared" si="1"/>
        <v>9</v>
      </c>
    </row>
    <row r="31" spans="1:17" ht="14.4" thickBot="1">
      <c r="A31" s="66"/>
      <c r="B31" s="66"/>
      <c r="C31" s="66"/>
      <c r="D31" s="104">
        <f>SUM(D2:D30)</f>
        <v>11387</v>
      </c>
      <c r="E31" s="104">
        <f>SUM(E2:E30)</f>
        <v>2089</v>
      </c>
      <c r="F31" s="104">
        <f t="shared" ref="F31:Q31" si="4">SUM(F2:F30)</f>
        <v>287</v>
      </c>
      <c r="G31" s="104">
        <f t="shared" si="4"/>
        <v>347</v>
      </c>
      <c r="H31" s="104">
        <f t="shared" si="4"/>
        <v>302</v>
      </c>
      <c r="I31" s="104">
        <f t="shared" si="4"/>
        <v>364</v>
      </c>
      <c r="J31" s="104">
        <f t="shared" si="4"/>
        <v>0</v>
      </c>
      <c r="K31" s="104">
        <f t="shared" si="4"/>
        <v>20</v>
      </c>
      <c r="L31" s="104">
        <f t="shared" si="4"/>
        <v>1320</v>
      </c>
      <c r="M31" s="104">
        <f t="shared" si="4"/>
        <v>168</v>
      </c>
      <c r="N31" s="104">
        <f t="shared" si="4"/>
        <v>199</v>
      </c>
      <c r="O31" s="104">
        <f t="shared" si="4"/>
        <v>306</v>
      </c>
      <c r="P31" s="104">
        <f t="shared" si="4"/>
        <v>96</v>
      </c>
      <c r="Q31" s="104">
        <f t="shared" si="4"/>
        <v>2089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3"/>
  <sheetViews>
    <sheetView zoomScale="90" zoomScaleNormal="90" workbookViewId="0">
      <pane ySplit="1" topLeftCell="A2" activePane="bottomLeft" state="frozen"/>
      <selection pane="bottomLeft" activeCell="L26" sqref="B23:L26"/>
    </sheetView>
  </sheetViews>
  <sheetFormatPr defaultRowHeight="13.8"/>
  <cols>
    <col min="1" max="1" width="8.88671875" style="22"/>
    <col min="2" max="2" width="32" style="22" customWidth="1"/>
    <col min="3" max="3" width="18.109375" style="22" customWidth="1"/>
    <col min="4" max="4" width="7.5546875" style="22" customWidth="1"/>
    <col min="5" max="5" width="9.6640625" style="22" customWidth="1"/>
    <col min="6" max="6" width="7.77734375" style="22" bestFit="1" customWidth="1"/>
    <col min="7" max="7" width="7.5546875" style="22" bestFit="1" customWidth="1"/>
    <col min="8" max="8" width="5.77734375" style="22" bestFit="1" customWidth="1"/>
    <col min="9" max="9" width="5.5546875" style="22" bestFit="1" customWidth="1"/>
    <col min="10" max="10" width="4.77734375" style="22" bestFit="1" customWidth="1"/>
    <col min="11" max="11" width="7.5546875" style="22" bestFit="1" customWidth="1"/>
    <col min="12" max="12" width="8.109375" style="22" bestFit="1" customWidth="1"/>
    <col min="13" max="13" width="11.109375" style="22" bestFit="1" customWidth="1"/>
    <col min="14" max="14" width="5.88671875" style="22" bestFit="1" customWidth="1"/>
    <col min="15" max="15" width="6.6640625" style="22" bestFit="1" customWidth="1"/>
    <col min="16" max="16" width="7" style="22" bestFit="1" customWidth="1"/>
    <col min="17" max="17" width="8.88671875" style="22"/>
    <col min="18" max="18" width="28.6640625" style="22" bestFit="1" customWidth="1"/>
    <col min="19" max="16384" width="8.88671875" style="22"/>
  </cols>
  <sheetData>
    <row r="1" spans="1:24" ht="28.2" thickBot="1">
      <c r="A1" s="65" t="s">
        <v>111</v>
      </c>
      <c r="B1" s="66" t="s">
        <v>78</v>
      </c>
      <c r="C1" s="66" t="s">
        <v>110</v>
      </c>
      <c r="D1" s="66" t="s">
        <v>80</v>
      </c>
      <c r="E1" s="67" t="s">
        <v>65</v>
      </c>
      <c r="F1" s="115" t="s">
        <v>81</v>
      </c>
      <c r="G1" s="115" t="s">
        <v>68</v>
      </c>
      <c r="H1" s="115" t="s">
        <v>50</v>
      </c>
      <c r="I1" s="115" t="s">
        <v>51</v>
      </c>
      <c r="J1" s="115" t="s">
        <v>82</v>
      </c>
      <c r="K1" s="115" t="s">
        <v>235</v>
      </c>
      <c r="L1" s="91" t="s">
        <v>86</v>
      </c>
      <c r="M1" s="92" t="s">
        <v>83</v>
      </c>
      <c r="N1" s="93" t="s">
        <v>44</v>
      </c>
      <c r="O1" s="94" t="s">
        <v>84</v>
      </c>
      <c r="P1" s="95" t="s">
        <v>85</v>
      </c>
      <c r="R1" s="151" t="s">
        <v>244</v>
      </c>
      <c r="S1" s="151" t="s">
        <v>236</v>
      </c>
      <c r="T1" s="151" t="s">
        <v>248</v>
      </c>
      <c r="U1" s="151" t="s">
        <v>238</v>
      </c>
      <c r="V1" s="151" t="s">
        <v>243</v>
      </c>
      <c r="W1" s="152" t="s">
        <v>235</v>
      </c>
      <c r="X1" s="152" t="s">
        <v>245</v>
      </c>
    </row>
    <row r="2" spans="1:24">
      <c r="A2" s="74">
        <v>5</v>
      </c>
      <c r="B2" s="84" t="s">
        <v>20</v>
      </c>
      <c r="C2" s="88" t="s">
        <v>40</v>
      </c>
      <c r="D2" s="75">
        <v>370</v>
      </c>
      <c r="E2" s="75">
        <v>95</v>
      </c>
      <c r="F2" s="75">
        <v>20</v>
      </c>
      <c r="G2" s="75">
        <v>10</v>
      </c>
      <c r="H2" s="75">
        <v>20</v>
      </c>
      <c r="I2" s="75">
        <v>10</v>
      </c>
      <c r="J2" s="75"/>
      <c r="K2" s="75"/>
      <c r="L2" s="75">
        <f t="shared" ref="L2:L17" si="0">SUM(F2:K2)</f>
        <v>60</v>
      </c>
      <c r="M2" s="75">
        <v>5</v>
      </c>
      <c r="N2" s="75">
        <v>5</v>
      </c>
      <c r="O2" s="75">
        <v>20</v>
      </c>
      <c r="P2" s="75">
        <v>5</v>
      </c>
      <c r="Q2" s="62">
        <f t="shared" ref="Q2:Q17" si="1">SUM(F2:K2,M2:P2)</f>
        <v>95</v>
      </c>
      <c r="R2" s="153" t="s">
        <v>13</v>
      </c>
      <c r="S2" s="153">
        <v>600</v>
      </c>
      <c r="T2" s="159" t="s">
        <v>251</v>
      </c>
      <c r="U2" s="154">
        <v>20</v>
      </c>
      <c r="V2" s="154"/>
      <c r="W2" s="154"/>
      <c r="X2" s="155">
        <f>SUM(S2:W2)</f>
        <v>620</v>
      </c>
    </row>
    <row r="3" spans="1:24">
      <c r="A3" s="63">
        <v>10</v>
      </c>
      <c r="B3" s="83" t="s">
        <v>11</v>
      </c>
      <c r="C3" s="87" t="s">
        <v>30</v>
      </c>
      <c r="D3" s="64">
        <v>3</v>
      </c>
      <c r="E3" s="64">
        <v>3</v>
      </c>
      <c r="F3" s="64"/>
      <c r="G3" s="64"/>
      <c r="H3" s="64"/>
      <c r="I3" s="64">
        <v>3</v>
      </c>
      <c r="J3" s="64"/>
      <c r="K3" s="64"/>
      <c r="L3" s="64">
        <f t="shared" si="0"/>
        <v>3</v>
      </c>
      <c r="M3" s="64"/>
      <c r="N3" s="64"/>
      <c r="O3" s="64">
        <v>0</v>
      </c>
      <c r="P3" s="64">
        <v>0</v>
      </c>
      <c r="Q3" s="62">
        <f t="shared" si="1"/>
        <v>3</v>
      </c>
      <c r="R3" s="153" t="s">
        <v>165</v>
      </c>
      <c r="S3" s="153"/>
      <c r="T3" s="159" t="s">
        <v>252</v>
      </c>
      <c r="U3" s="159" t="s">
        <v>251</v>
      </c>
      <c r="V3" s="154"/>
      <c r="W3" s="154"/>
      <c r="X3" s="155">
        <f t="shared" ref="X3:X7" si="2">SUM(S3:W3)</f>
        <v>0</v>
      </c>
    </row>
    <row r="4" spans="1:24">
      <c r="A4" s="74">
        <v>10</v>
      </c>
      <c r="B4" s="84" t="s">
        <v>70</v>
      </c>
      <c r="C4" s="88" t="s">
        <v>249</v>
      </c>
      <c r="D4" s="75">
        <v>400</v>
      </c>
      <c r="E4" s="75">
        <v>105</v>
      </c>
      <c r="F4" s="75">
        <v>20</v>
      </c>
      <c r="G4" s="75">
        <v>10</v>
      </c>
      <c r="H4" s="75">
        <v>20</v>
      </c>
      <c r="I4" s="75">
        <v>10</v>
      </c>
      <c r="J4" s="75"/>
      <c r="K4" s="75"/>
      <c r="L4" s="75">
        <f t="shared" si="0"/>
        <v>60</v>
      </c>
      <c r="M4" s="75">
        <v>5</v>
      </c>
      <c r="N4" s="75">
        <v>5</v>
      </c>
      <c r="O4" s="75">
        <v>25</v>
      </c>
      <c r="P4" s="75">
        <v>10</v>
      </c>
      <c r="Q4" s="62">
        <f t="shared" si="1"/>
        <v>105</v>
      </c>
      <c r="R4" s="156" t="s">
        <v>7</v>
      </c>
      <c r="S4" s="156"/>
      <c r="T4" s="157"/>
      <c r="U4" s="160" t="s">
        <v>253</v>
      </c>
      <c r="V4" s="160" t="s">
        <v>254</v>
      </c>
      <c r="W4" s="157"/>
      <c r="X4" s="158">
        <f t="shared" si="2"/>
        <v>0</v>
      </c>
    </row>
    <row r="5" spans="1:24">
      <c r="A5" s="63">
        <v>5</v>
      </c>
      <c r="B5" s="83" t="s">
        <v>17</v>
      </c>
      <c r="C5" s="87" t="s">
        <v>37</v>
      </c>
      <c r="D5" s="64">
        <v>1335</v>
      </c>
      <c r="E5" s="64">
        <v>190</v>
      </c>
      <c r="F5" s="64">
        <v>30</v>
      </c>
      <c r="G5" s="64">
        <v>30</v>
      </c>
      <c r="H5" s="64">
        <v>35</v>
      </c>
      <c r="I5" s="64">
        <v>30</v>
      </c>
      <c r="J5" s="64"/>
      <c r="K5" s="64"/>
      <c r="L5" s="64">
        <f t="shared" si="0"/>
        <v>125</v>
      </c>
      <c r="M5" s="64">
        <v>15</v>
      </c>
      <c r="N5" s="64">
        <v>15</v>
      </c>
      <c r="O5" s="64">
        <v>25</v>
      </c>
      <c r="P5" s="64">
        <v>10</v>
      </c>
      <c r="Q5" s="62">
        <f t="shared" si="1"/>
        <v>190</v>
      </c>
      <c r="R5" s="153" t="s">
        <v>3</v>
      </c>
      <c r="S5" s="153"/>
      <c r="T5" s="154"/>
      <c r="U5" s="154">
        <v>10</v>
      </c>
      <c r="V5" s="161" t="s">
        <v>255</v>
      </c>
      <c r="W5" s="159" t="s">
        <v>256</v>
      </c>
      <c r="X5" s="155">
        <f t="shared" si="2"/>
        <v>10</v>
      </c>
    </row>
    <row r="6" spans="1:24">
      <c r="A6" s="74">
        <v>10</v>
      </c>
      <c r="B6" s="84" t="s">
        <v>6</v>
      </c>
      <c r="C6" s="88" t="s">
        <v>25</v>
      </c>
      <c r="D6" s="75">
        <v>360</v>
      </c>
      <c r="E6" s="75">
        <v>65</v>
      </c>
      <c r="F6" s="75">
        <v>10</v>
      </c>
      <c r="G6" s="75"/>
      <c r="H6" s="75">
        <v>10</v>
      </c>
      <c r="I6" s="75"/>
      <c r="J6" s="75">
        <v>20</v>
      </c>
      <c r="K6" s="75"/>
      <c r="L6" s="75">
        <f t="shared" si="0"/>
        <v>40</v>
      </c>
      <c r="M6" s="75">
        <v>5</v>
      </c>
      <c r="N6" s="75">
        <v>5</v>
      </c>
      <c r="O6" s="75">
        <v>10</v>
      </c>
      <c r="P6" s="75">
        <v>5</v>
      </c>
      <c r="Q6" s="62">
        <f t="shared" si="1"/>
        <v>65</v>
      </c>
      <c r="R6" s="153" t="s">
        <v>247</v>
      </c>
      <c r="S6" s="153"/>
      <c r="T6" s="154"/>
      <c r="U6" s="154"/>
      <c r="V6" s="154"/>
      <c r="W6" s="154">
        <v>100</v>
      </c>
      <c r="X6" s="155">
        <f t="shared" si="2"/>
        <v>100</v>
      </c>
    </row>
    <row r="7" spans="1:24">
      <c r="A7" s="63">
        <v>10</v>
      </c>
      <c r="B7" s="83" t="s">
        <v>7</v>
      </c>
      <c r="C7" s="87" t="s">
        <v>26</v>
      </c>
      <c r="D7" s="64">
        <v>3760</v>
      </c>
      <c r="E7" s="64">
        <v>535</v>
      </c>
      <c r="F7" s="64">
        <v>80</v>
      </c>
      <c r="G7" s="64">
        <v>80</v>
      </c>
      <c r="H7" s="64">
        <v>100</v>
      </c>
      <c r="I7" s="64">
        <v>60</v>
      </c>
      <c r="J7" s="64">
        <v>40</v>
      </c>
      <c r="K7" s="64"/>
      <c r="L7" s="64">
        <f t="shared" si="0"/>
        <v>360</v>
      </c>
      <c r="M7" s="64">
        <v>40</v>
      </c>
      <c r="N7" s="64">
        <v>50</v>
      </c>
      <c r="O7" s="64">
        <v>65</v>
      </c>
      <c r="P7" s="64">
        <v>20</v>
      </c>
      <c r="Q7" s="62">
        <f t="shared" si="1"/>
        <v>535</v>
      </c>
      <c r="R7" s="153" t="s">
        <v>199</v>
      </c>
      <c r="S7" s="153">
        <v>100</v>
      </c>
      <c r="T7" s="154"/>
      <c r="U7" s="154"/>
      <c r="V7" s="154"/>
      <c r="W7" s="154"/>
      <c r="X7" s="155">
        <f t="shared" si="2"/>
        <v>100</v>
      </c>
    </row>
    <row r="8" spans="1:24">
      <c r="A8" s="74">
        <v>10</v>
      </c>
      <c r="B8" s="84" t="s">
        <v>18</v>
      </c>
      <c r="C8" s="88" t="s">
        <v>38</v>
      </c>
      <c r="D8" s="75">
        <v>1860</v>
      </c>
      <c r="E8" s="75">
        <v>270</v>
      </c>
      <c r="F8" s="75">
        <v>50</v>
      </c>
      <c r="G8" s="75">
        <v>40</v>
      </c>
      <c r="H8" s="75">
        <v>50</v>
      </c>
      <c r="I8" s="75">
        <v>40</v>
      </c>
      <c r="J8" s="75"/>
      <c r="K8" s="75"/>
      <c r="L8" s="75">
        <f t="shared" si="0"/>
        <v>180</v>
      </c>
      <c r="M8" s="75">
        <v>20</v>
      </c>
      <c r="N8" s="75">
        <v>25</v>
      </c>
      <c r="O8" s="75">
        <v>35</v>
      </c>
      <c r="P8" s="75">
        <v>10</v>
      </c>
      <c r="Q8" s="62">
        <f t="shared" si="1"/>
        <v>270</v>
      </c>
      <c r="R8" s="146" t="s">
        <v>242</v>
      </c>
      <c r="S8" s="145"/>
      <c r="T8" s="145"/>
      <c r="U8" s="145"/>
      <c r="V8" s="145"/>
      <c r="W8" s="145"/>
      <c r="X8" s="146"/>
    </row>
    <row r="9" spans="1:24">
      <c r="A9" s="63">
        <v>5</v>
      </c>
      <c r="B9" s="83" t="s">
        <v>8</v>
      </c>
      <c r="C9" s="87" t="s">
        <v>27</v>
      </c>
      <c r="D9" s="64">
        <v>30</v>
      </c>
      <c r="E9" s="64">
        <v>6</v>
      </c>
      <c r="F9" s="64"/>
      <c r="G9" s="64">
        <v>3</v>
      </c>
      <c r="H9" s="64"/>
      <c r="I9" s="64"/>
      <c r="J9" s="64"/>
      <c r="K9" s="64"/>
      <c r="L9" s="64">
        <f t="shared" si="0"/>
        <v>3</v>
      </c>
      <c r="M9" s="64">
        <v>1</v>
      </c>
      <c r="N9" s="64">
        <v>1</v>
      </c>
      <c r="O9" s="64">
        <v>1</v>
      </c>
      <c r="P9" s="64">
        <v>0</v>
      </c>
      <c r="Q9" s="62">
        <f t="shared" si="1"/>
        <v>6</v>
      </c>
      <c r="R9" s="153" t="s">
        <v>13</v>
      </c>
      <c r="S9" s="153"/>
      <c r="T9" s="154">
        <v>10</v>
      </c>
      <c r="U9" s="154"/>
      <c r="V9" s="154"/>
      <c r="W9" s="154"/>
      <c r="X9" s="155">
        <f t="shared" ref="X9:X15" si="3">SUM(S9:W9)</f>
        <v>10</v>
      </c>
    </row>
    <row r="10" spans="1:24">
      <c r="A10" s="74">
        <v>4</v>
      </c>
      <c r="B10" s="84" t="s">
        <v>87</v>
      </c>
      <c r="C10" s="88" t="s">
        <v>88</v>
      </c>
      <c r="D10" s="75">
        <v>8</v>
      </c>
      <c r="E10" s="75">
        <v>2</v>
      </c>
      <c r="F10" s="75"/>
      <c r="G10" s="75">
        <v>2</v>
      </c>
      <c r="H10" s="75"/>
      <c r="I10" s="75"/>
      <c r="J10" s="75"/>
      <c r="K10" s="75"/>
      <c r="L10" s="75">
        <f t="shared" si="0"/>
        <v>2</v>
      </c>
      <c r="M10" s="75"/>
      <c r="N10" s="75"/>
      <c r="O10" s="75"/>
      <c r="P10" s="75"/>
      <c r="Q10" s="62">
        <f t="shared" si="1"/>
        <v>2</v>
      </c>
      <c r="R10" s="153" t="s">
        <v>165</v>
      </c>
      <c r="S10" s="153"/>
      <c r="T10" s="154"/>
      <c r="U10" s="154">
        <v>10</v>
      </c>
      <c r="V10" s="154"/>
      <c r="W10" s="154"/>
      <c r="X10" s="155">
        <f t="shared" si="3"/>
        <v>10</v>
      </c>
    </row>
    <row r="11" spans="1:24">
      <c r="A11" s="63">
        <v>10</v>
      </c>
      <c r="B11" s="83" t="s">
        <v>3</v>
      </c>
      <c r="C11" s="87" t="s">
        <v>22</v>
      </c>
      <c r="D11" s="64">
        <v>330</v>
      </c>
      <c r="E11" s="64">
        <v>55</v>
      </c>
      <c r="F11" s="64">
        <v>5</v>
      </c>
      <c r="G11" s="64">
        <v>5</v>
      </c>
      <c r="H11" s="64">
        <v>5</v>
      </c>
      <c r="I11" s="64">
        <v>10</v>
      </c>
      <c r="J11" s="64">
        <v>5</v>
      </c>
      <c r="K11" s="64"/>
      <c r="L11" s="64">
        <f t="shared" si="0"/>
        <v>30</v>
      </c>
      <c r="M11" s="64">
        <v>5</v>
      </c>
      <c r="N11" s="64">
        <v>5</v>
      </c>
      <c r="O11" s="64">
        <v>5</v>
      </c>
      <c r="P11" s="64">
        <v>10</v>
      </c>
      <c r="Q11" s="62">
        <f t="shared" si="1"/>
        <v>55</v>
      </c>
      <c r="R11" s="153" t="s">
        <v>190</v>
      </c>
      <c r="S11" s="153"/>
      <c r="T11" s="154">
        <v>10</v>
      </c>
      <c r="U11" s="154"/>
      <c r="V11" s="154"/>
      <c r="W11" s="154"/>
      <c r="X11" s="155">
        <f t="shared" si="3"/>
        <v>10</v>
      </c>
    </row>
    <row r="12" spans="1:24">
      <c r="A12" s="74">
        <v>10</v>
      </c>
      <c r="B12" s="84" t="s">
        <v>207</v>
      </c>
      <c r="C12" s="88" t="s">
        <v>189</v>
      </c>
      <c r="D12" s="75">
        <v>5</v>
      </c>
      <c r="E12" s="75">
        <v>5</v>
      </c>
      <c r="F12" s="75"/>
      <c r="G12" s="75">
        <v>5</v>
      </c>
      <c r="H12" s="75"/>
      <c r="I12" s="75"/>
      <c r="J12" s="75"/>
      <c r="K12" s="75"/>
      <c r="L12" s="75">
        <f t="shared" si="0"/>
        <v>5</v>
      </c>
      <c r="M12" s="75"/>
      <c r="N12" s="75"/>
      <c r="O12" s="75">
        <v>0</v>
      </c>
      <c r="P12" s="75">
        <v>0</v>
      </c>
      <c r="Q12" s="62">
        <f t="shared" si="1"/>
        <v>5</v>
      </c>
      <c r="R12" s="153" t="s">
        <v>7</v>
      </c>
      <c r="S12" s="153"/>
      <c r="T12" s="154"/>
      <c r="U12" s="154">
        <v>30</v>
      </c>
      <c r="V12" s="154">
        <v>51</v>
      </c>
      <c r="W12" s="154"/>
      <c r="X12" s="155">
        <f t="shared" si="3"/>
        <v>81</v>
      </c>
    </row>
    <row r="13" spans="1:24">
      <c r="A13" s="63">
        <v>10</v>
      </c>
      <c r="B13" s="83" t="s">
        <v>4</v>
      </c>
      <c r="C13" s="87" t="s">
        <v>23</v>
      </c>
      <c r="D13" s="64">
        <v>1</v>
      </c>
      <c r="E13" s="64">
        <v>1</v>
      </c>
      <c r="F13" s="64"/>
      <c r="G13" s="64"/>
      <c r="H13" s="64"/>
      <c r="I13" s="64"/>
      <c r="J13" s="64">
        <v>1</v>
      </c>
      <c r="K13" s="64"/>
      <c r="L13" s="64">
        <f t="shared" si="0"/>
        <v>1</v>
      </c>
      <c r="M13" s="64"/>
      <c r="N13" s="64"/>
      <c r="O13" s="64">
        <v>0</v>
      </c>
      <c r="P13" s="64">
        <v>0</v>
      </c>
      <c r="Q13" s="62">
        <f t="shared" si="1"/>
        <v>1</v>
      </c>
      <c r="R13" s="153" t="s">
        <v>3</v>
      </c>
      <c r="S13" s="153"/>
      <c r="T13" s="154"/>
      <c r="U13" s="154"/>
      <c r="V13" s="154">
        <v>26</v>
      </c>
      <c r="W13" s="154">
        <v>20</v>
      </c>
      <c r="X13" s="155">
        <f t="shared" si="3"/>
        <v>46</v>
      </c>
    </row>
    <row r="14" spans="1:24">
      <c r="A14" s="74">
        <v>10</v>
      </c>
      <c r="B14" s="84" t="s">
        <v>5</v>
      </c>
      <c r="C14" s="88" t="s">
        <v>24</v>
      </c>
      <c r="D14" s="75">
        <v>160</v>
      </c>
      <c r="E14" s="75">
        <v>30</v>
      </c>
      <c r="F14" s="75">
        <v>10</v>
      </c>
      <c r="G14" s="75">
        <v>5</v>
      </c>
      <c r="H14" s="75"/>
      <c r="I14" s="75"/>
      <c r="J14" s="75">
        <v>5</v>
      </c>
      <c r="K14" s="75"/>
      <c r="L14" s="75">
        <f t="shared" si="0"/>
        <v>20</v>
      </c>
      <c r="M14" s="75">
        <v>5</v>
      </c>
      <c r="N14" s="75"/>
      <c r="O14" s="75">
        <v>5</v>
      </c>
      <c r="P14" s="75">
        <v>0</v>
      </c>
      <c r="Q14" s="62">
        <f t="shared" si="1"/>
        <v>30</v>
      </c>
      <c r="R14" s="153" t="s">
        <v>247</v>
      </c>
      <c r="S14" s="153"/>
      <c r="T14" s="154"/>
      <c r="U14" s="154"/>
      <c r="V14" s="154"/>
      <c r="W14" s="154"/>
      <c r="X14" s="155">
        <f t="shared" si="3"/>
        <v>0</v>
      </c>
    </row>
    <row r="15" spans="1:24">
      <c r="A15" s="63">
        <v>10</v>
      </c>
      <c r="B15" s="83" t="s">
        <v>10</v>
      </c>
      <c r="C15" s="87" t="s">
        <v>29</v>
      </c>
      <c r="D15" s="64">
        <v>300</v>
      </c>
      <c r="E15" s="64">
        <v>60</v>
      </c>
      <c r="F15" s="64"/>
      <c r="G15" s="64">
        <v>20</v>
      </c>
      <c r="H15" s="64"/>
      <c r="I15" s="64"/>
      <c r="J15" s="64"/>
      <c r="K15" s="64">
        <v>40</v>
      </c>
      <c r="L15" s="64">
        <f t="shared" si="0"/>
        <v>60</v>
      </c>
      <c r="M15" s="64"/>
      <c r="N15" s="64"/>
      <c r="O15" s="64">
        <v>0</v>
      </c>
      <c r="P15" s="64">
        <v>0</v>
      </c>
      <c r="Q15" s="62">
        <f t="shared" si="1"/>
        <v>60</v>
      </c>
      <c r="R15" s="153" t="s">
        <v>199</v>
      </c>
      <c r="S15" s="153"/>
      <c r="T15" s="154"/>
      <c r="U15" s="154"/>
      <c r="V15" s="154"/>
      <c r="W15" s="154"/>
      <c r="X15" s="155">
        <f t="shared" si="3"/>
        <v>0</v>
      </c>
    </row>
    <row r="16" spans="1:24">
      <c r="A16" s="74">
        <v>10</v>
      </c>
      <c r="B16" s="84" t="s">
        <v>208</v>
      </c>
      <c r="C16" s="88" t="s">
        <v>197</v>
      </c>
      <c r="D16" s="75">
        <v>290</v>
      </c>
      <c r="E16" s="75">
        <v>30</v>
      </c>
      <c r="F16" s="75">
        <v>20</v>
      </c>
      <c r="G16" s="75"/>
      <c r="H16" s="75"/>
      <c r="I16" s="75"/>
      <c r="J16" s="75"/>
      <c r="K16" s="75"/>
      <c r="L16" s="75">
        <f t="shared" si="0"/>
        <v>20</v>
      </c>
      <c r="M16" s="75">
        <v>2</v>
      </c>
      <c r="N16" s="75">
        <v>2</v>
      </c>
      <c r="O16" s="75">
        <v>2</v>
      </c>
      <c r="P16" s="75">
        <v>4</v>
      </c>
      <c r="Q16" s="62">
        <f t="shared" si="1"/>
        <v>30</v>
      </c>
      <c r="R16" s="146" t="s">
        <v>250</v>
      </c>
      <c r="S16" s="145"/>
      <c r="T16" s="145"/>
      <c r="U16" s="145"/>
      <c r="V16" s="145"/>
      <c r="W16" s="145"/>
      <c r="X16" s="146"/>
    </row>
    <row r="17" spans="1:24" ht="14.4" thickBot="1">
      <c r="A17" s="63">
        <v>10</v>
      </c>
      <c r="B17" s="83" t="s">
        <v>229</v>
      </c>
      <c r="C17" s="87" t="s">
        <v>213</v>
      </c>
      <c r="D17" s="64">
        <v>350</v>
      </c>
      <c r="E17" s="64">
        <v>40</v>
      </c>
      <c r="F17" s="64">
        <v>5</v>
      </c>
      <c r="G17" s="64">
        <v>5</v>
      </c>
      <c r="H17" s="64">
        <v>9</v>
      </c>
      <c r="I17" s="64">
        <v>5</v>
      </c>
      <c r="J17" s="64"/>
      <c r="K17" s="64"/>
      <c r="L17" s="64">
        <f t="shared" si="0"/>
        <v>24</v>
      </c>
      <c r="M17" s="64">
        <v>5</v>
      </c>
      <c r="N17" s="64">
        <v>5</v>
      </c>
      <c r="O17" s="64">
        <v>2</v>
      </c>
      <c r="P17" s="64">
        <v>4</v>
      </c>
      <c r="Q17" s="62">
        <f t="shared" si="1"/>
        <v>40</v>
      </c>
      <c r="R17" s="153" t="s">
        <v>13</v>
      </c>
      <c r="S17" s="153"/>
      <c r="T17" s="154"/>
      <c r="U17" s="154"/>
      <c r="V17" s="154"/>
      <c r="W17" s="154"/>
      <c r="X17" s="155">
        <f t="shared" ref="X17:X23" si="4">SUM(S17:W17)</f>
        <v>0</v>
      </c>
    </row>
    <row r="18" spans="1:24" ht="14.4" thickBot="1">
      <c r="A18" s="66"/>
      <c r="B18" s="66"/>
      <c r="C18" s="66"/>
      <c r="D18" s="104">
        <f t="shared" ref="D18:Q18" si="5">SUM(D2:D17)</f>
        <v>9562</v>
      </c>
      <c r="E18" s="104">
        <f t="shared" si="5"/>
        <v>1492</v>
      </c>
      <c r="F18" s="104">
        <f t="shared" si="5"/>
        <v>250</v>
      </c>
      <c r="G18" s="104">
        <f t="shared" si="5"/>
        <v>215</v>
      </c>
      <c r="H18" s="104">
        <f t="shared" si="5"/>
        <v>249</v>
      </c>
      <c r="I18" s="104">
        <f t="shared" si="5"/>
        <v>168</v>
      </c>
      <c r="J18" s="104">
        <f t="shared" si="5"/>
        <v>71</v>
      </c>
      <c r="K18" s="104">
        <f t="shared" si="5"/>
        <v>40</v>
      </c>
      <c r="L18" s="104">
        <f t="shared" si="5"/>
        <v>993</v>
      </c>
      <c r="M18" s="104">
        <f t="shared" si="5"/>
        <v>108</v>
      </c>
      <c r="N18" s="104">
        <f t="shared" si="5"/>
        <v>118</v>
      </c>
      <c r="O18" s="104">
        <f t="shared" si="5"/>
        <v>195</v>
      </c>
      <c r="P18" s="104">
        <f t="shared" si="5"/>
        <v>78</v>
      </c>
      <c r="Q18" s="104">
        <f t="shared" si="5"/>
        <v>1492</v>
      </c>
      <c r="R18" s="153" t="s">
        <v>165</v>
      </c>
      <c r="S18" s="153"/>
      <c r="T18" s="154"/>
      <c r="U18" s="154">
        <v>3</v>
      </c>
      <c r="V18" s="154"/>
      <c r="W18" s="154"/>
      <c r="X18" s="155">
        <f t="shared" si="4"/>
        <v>3</v>
      </c>
    </row>
    <row r="19" spans="1:24">
      <c r="R19" s="153" t="s">
        <v>190</v>
      </c>
      <c r="S19" s="153"/>
      <c r="T19" s="154"/>
      <c r="U19" s="154"/>
      <c r="V19" s="154"/>
      <c r="W19" s="154"/>
      <c r="X19" s="155">
        <f t="shared" si="4"/>
        <v>0</v>
      </c>
    </row>
    <row r="20" spans="1:24">
      <c r="R20" s="153" t="s">
        <v>7</v>
      </c>
      <c r="S20" s="153"/>
      <c r="T20" s="154"/>
      <c r="U20" s="154"/>
      <c r="V20" s="154"/>
      <c r="W20" s="154"/>
      <c r="X20" s="155">
        <f t="shared" si="4"/>
        <v>0</v>
      </c>
    </row>
    <row r="21" spans="1:24">
      <c r="R21" s="153" t="s">
        <v>3</v>
      </c>
      <c r="S21" s="153"/>
      <c r="T21" s="154"/>
      <c r="U21" s="154">
        <v>10</v>
      </c>
      <c r="V21" s="154"/>
      <c r="W21" s="154"/>
      <c r="X21" s="155">
        <f t="shared" si="4"/>
        <v>10</v>
      </c>
    </row>
    <row r="22" spans="1:24">
      <c r="R22" s="153" t="s">
        <v>247</v>
      </c>
      <c r="S22" s="153"/>
      <c r="T22" s="154"/>
      <c r="U22" s="154"/>
      <c r="V22" s="154"/>
      <c r="W22" s="154">
        <v>40</v>
      </c>
      <c r="X22" s="155">
        <f t="shared" si="4"/>
        <v>40</v>
      </c>
    </row>
    <row r="23" spans="1:24">
      <c r="R23" s="153" t="s">
        <v>199</v>
      </c>
      <c r="S23" s="153">
        <v>20</v>
      </c>
      <c r="T23" s="154"/>
      <c r="U23" s="154"/>
      <c r="V23" s="154"/>
      <c r="W23" s="154"/>
      <c r="X23" s="155">
        <f t="shared" si="4"/>
        <v>20</v>
      </c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7"/>
  <sheetViews>
    <sheetView topLeftCell="C1" zoomScale="90" zoomScaleNormal="90" workbookViewId="0">
      <selection activeCell="I13" sqref="I13"/>
    </sheetView>
  </sheetViews>
  <sheetFormatPr defaultRowHeight="13.2"/>
  <cols>
    <col min="1" max="1" width="8.88671875" style="162"/>
    <col min="2" max="2" width="27.77734375" style="162" bestFit="1" customWidth="1"/>
    <col min="3" max="3" width="18.109375" style="162" customWidth="1"/>
    <col min="4" max="4" width="6.5546875" style="162" bestFit="1" customWidth="1"/>
    <col min="5" max="5" width="9.77734375" style="162" bestFit="1" customWidth="1"/>
    <col min="6" max="17" width="8.88671875" style="162"/>
    <col min="18" max="18" width="25.44140625" style="162" bestFit="1" customWidth="1"/>
    <col min="19" max="16384" width="8.88671875" style="162"/>
  </cols>
  <sheetData>
    <row r="1" spans="1:24" ht="28.2" thickBot="1">
      <c r="A1" s="65" t="s">
        <v>111</v>
      </c>
      <c r="B1" s="66" t="s">
        <v>78</v>
      </c>
      <c r="C1" s="66" t="s">
        <v>110</v>
      </c>
      <c r="D1" s="66" t="s">
        <v>80</v>
      </c>
      <c r="E1" s="67" t="s">
        <v>65</v>
      </c>
      <c r="F1" s="115" t="s">
        <v>81</v>
      </c>
      <c r="G1" s="115" t="s">
        <v>68</v>
      </c>
      <c r="H1" s="115" t="s">
        <v>50</v>
      </c>
      <c r="I1" s="115" t="s">
        <v>51</v>
      </c>
      <c r="J1" s="115" t="s">
        <v>82</v>
      </c>
      <c r="K1" s="115" t="s">
        <v>235</v>
      </c>
      <c r="L1" s="91" t="s">
        <v>86</v>
      </c>
      <c r="M1" s="92" t="s">
        <v>83</v>
      </c>
      <c r="N1" s="93" t="s">
        <v>44</v>
      </c>
      <c r="O1" s="94" t="s">
        <v>84</v>
      </c>
      <c r="P1" s="95" t="s">
        <v>85</v>
      </c>
      <c r="R1" s="151" t="s">
        <v>244</v>
      </c>
      <c r="S1" s="151" t="s">
        <v>236</v>
      </c>
      <c r="T1" s="151" t="s">
        <v>248</v>
      </c>
      <c r="U1" s="151" t="s">
        <v>238</v>
      </c>
      <c r="V1" s="151" t="s">
        <v>243</v>
      </c>
      <c r="W1" s="152" t="s">
        <v>235</v>
      </c>
      <c r="X1" s="152" t="s">
        <v>245</v>
      </c>
    </row>
    <row r="2" spans="1:24" ht="13.8">
      <c r="A2" s="74">
        <v>10</v>
      </c>
      <c r="B2" s="84" t="s">
        <v>257</v>
      </c>
      <c r="C2" s="88" t="s">
        <v>259</v>
      </c>
      <c r="D2" s="75">
        <v>1840</v>
      </c>
      <c r="E2" s="75">
        <v>480</v>
      </c>
      <c r="F2" s="75">
        <v>80</v>
      </c>
      <c r="G2" s="75">
        <v>50</v>
      </c>
      <c r="H2" s="75">
        <v>100</v>
      </c>
      <c r="I2" s="75">
        <v>40</v>
      </c>
      <c r="J2" s="75">
        <v>20</v>
      </c>
      <c r="K2" s="75"/>
      <c r="L2" s="75">
        <f t="shared" ref="L2:L26" si="0">SUM(F2:K2)</f>
        <v>290</v>
      </c>
      <c r="M2" s="75">
        <v>40</v>
      </c>
      <c r="N2" s="75">
        <v>25</v>
      </c>
      <c r="O2" s="75">
        <v>100</v>
      </c>
      <c r="P2" s="75">
        <v>25</v>
      </c>
      <c r="Q2" s="163">
        <f>SUM(F2:K2,M2:P2)</f>
        <v>480</v>
      </c>
      <c r="R2" s="153" t="s">
        <v>13</v>
      </c>
      <c r="S2" s="164" t="s">
        <v>266</v>
      </c>
      <c r="T2" s="160" t="s">
        <v>263</v>
      </c>
      <c r="U2" s="160" t="s">
        <v>264</v>
      </c>
      <c r="V2" s="154"/>
      <c r="W2" s="154"/>
      <c r="X2" s="155">
        <f>SUM(S2:W2)</f>
        <v>0</v>
      </c>
    </row>
    <row r="3" spans="1:24" ht="13.8">
      <c r="A3" s="63">
        <v>10</v>
      </c>
      <c r="B3" s="83" t="s">
        <v>258</v>
      </c>
      <c r="C3" s="87" t="s">
        <v>260</v>
      </c>
      <c r="D3" s="64">
        <v>3860</v>
      </c>
      <c r="E3" s="64">
        <v>1010</v>
      </c>
      <c r="F3" s="64">
        <v>180</v>
      </c>
      <c r="G3" s="64">
        <v>120</v>
      </c>
      <c r="H3" s="64">
        <v>180</v>
      </c>
      <c r="I3" s="64">
        <v>100</v>
      </c>
      <c r="J3" s="64">
        <v>20</v>
      </c>
      <c r="K3" s="64"/>
      <c r="L3" s="64">
        <f t="shared" si="0"/>
        <v>600</v>
      </c>
      <c r="M3" s="64">
        <v>90</v>
      </c>
      <c r="N3" s="64">
        <v>60</v>
      </c>
      <c r="O3" s="64">
        <v>210</v>
      </c>
      <c r="P3" s="64">
        <v>50</v>
      </c>
      <c r="Q3" s="163">
        <f t="shared" ref="Q3:Q26" si="1">SUM(F3:K3,M3:P3)</f>
        <v>1010</v>
      </c>
      <c r="R3" s="153" t="s">
        <v>165</v>
      </c>
      <c r="S3" s="153"/>
      <c r="T3" s="159" t="s">
        <v>265</v>
      </c>
      <c r="U3" s="159" t="s">
        <v>270</v>
      </c>
      <c r="V3" s="154"/>
      <c r="W3" s="154"/>
      <c r="X3" s="155">
        <f t="shared" ref="X3:X7" si="2">SUM(S3:W3)</f>
        <v>0</v>
      </c>
    </row>
    <row r="4" spans="1:24" ht="13.8">
      <c r="A4" s="74">
        <v>5</v>
      </c>
      <c r="B4" s="84" t="s">
        <v>20</v>
      </c>
      <c r="C4" s="88" t="s">
        <v>40</v>
      </c>
      <c r="D4" s="75">
        <v>190</v>
      </c>
      <c r="E4" s="75">
        <v>50</v>
      </c>
      <c r="F4" s="75">
        <v>5</v>
      </c>
      <c r="G4" s="75">
        <v>5</v>
      </c>
      <c r="H4" s="75">
        <v>10</v>
      </c>
      <c r="I4" s="75">
        <v>5</v>
      </c>
      <c r="J4" s="75"/>
      <c r="K4" s="75"/>
      <c r="L4" s="75">
        <f t="shared" si="0"/>
        <v>25</v>
      </c>
      <c r="M4" s="75">
        <v>5</v>
      </c>
      <c r="N4" s="75">
        <v>5</v>
      </c>
      <c r="O4" s="75">
        <v>10</v>
      </c>
      <c r="P4" s="75">
        <v>5</v>
      </c>
      <c r="Q4" s="163">
        <f t="shared" si="1"/>
        <v>50</v>
      </c>
      <c r="R4" s="156" t="s">
        <v>7</v>
      </c>
      <c r="S4" s="156"/>
      <c r="T4" s="157"/>
      <c r="U4" s="160" t="s">
        <v>253</v>
      </c>
      <c r="V4" s="160" t="s">
        <v>254</v>
      </c>
      <c r="W4" s="157"/>
      <c r="X4" s="158">
        <f t="shared" si="2"/>
        <v>0</v>
      </c>
    </row>
    <row r="5" spans="1:24" ht="13.8">
      <c r="A5" s="63">
        <v>10</v>
      </c>
      <c r="B5" s="83" t="s">
        <v>12</v>
      </c>
      <c r="C5" s="87" t="s">
        <v>31</v>
      </c>
      <c r="D5" s="64">
        <v>40</v>
      </c>
      <c r="E5" s="64">
        <v>10</v>
      </c>
      <c r="F5" s="64"/>
      <c r="G5" s="64"/>
      <c r="H5" s="64"/>
      <c r="I5" s="64">
        <v>10</v>
      </c>
      <c r="J5" s="64"/>
      <c r="K5" s="64"/>
      <c r="L5" s="64">
        <f t="shared" si="0"/>
        <v>10</v>
      </c>
      <c r="M5" s="64"/>
      <c r="N5" s="64"/>
      <c r="O5" s="64"/>
      <c r="P5" s="64"/>
      <c r="Q5" s="163">
        <f t="shared" si="1"/>
        <v>10</v>
      </c>
      <c r="R5" s="153" t="s">
        <v>3</v>
      </c>
      <c r="S5" s="153"/>
      <c r="T5" s="154"/>
      <c r="U5" s="160" t="s">
        <v>267</v>
      </c>
      <c r="V5" s="160" t="s">
        <v>255</v>
      </c>
      <c r="W5" s="159" t="s">
        <v>268</v>
      </c>
      <c r="X5" s="155">
        <f t="shared" si="2"/>
        <v>0</v>
      </c>
    </row>
    <row r="6" spans="1:24" ht="13.8">
      <c r="A6" s="74">
        <v>10</v>
      </c>
      <c r="B6" s="84" t="s">
        <v>13</v>
      </c>
      <c r="C6" s="88" t="s">
        <v>32</v>
      </c>
      <c r="D6" s="75">
        <v>390</v>
      </c>
      <c r="E6" s="75">
        <v>105</v>
      </c>
      <c r="F6" s="75"/>
      <c r="G6" s="75"/>
      <c r="H6" s="75"/>
      <c r="I6" s="75">
        <v>60</v>
      </c>
      <c r="J6" s="75"/>
      <c r="K6" s="75"/>
      <c r="L6" s="75">
        <f t="shared" si="0"/>
        <v>60</v>
      </c>
      <c r="M6" s="75">
        <v>10</v>
      </c>
      <c r="N6" s="75">
        <v>5</v>
      </c>
      <c r="O6" s="75">
        <v>20</v>
      </c>
      <c r="P6" s="75">
        <v>10</v>
      </c>
      <c r="Q6" s="163">
        <f t="shared" si="1"/>
        <v>105</v>
      </c>
      <c r="R6" s="153" t="s">
        <v>247</v>
      </c>
      <c r="S6" s="153"/>
      <c r="T6" s="154"/>
      <c r="U6" s="154"/>
      <c r="V6" s="154"/>
      <c r="W6" s="160" t="s">
        <v>271</v>
      </c>
      <c r="X6" s="155">
        <f t="shared" si="2"/>
        <v>0</v>
      </c>
    </row>
    <row r="7" spans="1:24" ht="13.8">
      <c r="A7" s="63">
        <v>10</v>
      </c>
      <c r="B7" s="83" t="s">
        <v>70</v>
      </c>
      <c r="C7" s="87" t="s">
        <v>73</v>
      </c>
      <c r="D7" s="64">
        <v>5</v>
      </c>
      <c r="E7" s="64">
        <v>5</v>
      </c>
      <c r="F7" s="64"/>
      <c r="G7" s="64"/>
      <c r="H7" s="64">
        <v>5</v>
      </c>
      <c r="I7" s="64"/>
      <c r="J7" s="64"/>
      <c r="K7" s="64"/>
      <c r="L7" s="64">
        <f t="shared" si="0"/>
        <v>5</v>
      </c>
      <c r="M7" s="64"/>
      <c r="N7" s="64"/>
      <c r="O7" s="64"/>
      <c r="P7" s="64"/>
      <c r="Q7" s="163">
        <f t="shared" si="1"/>
        <v>5</v>
      </c>
      <c r="R7" s="153" t="s">
        <v>199</v>
      </c>
      <c r="S7" s="164" t="s">
        <v>269</v>
      </c>
      <c r="T7" s="154"/>
      <c r="U7" s="154"/>
      <c r="V7" s="154"/>
      <c r="W7" s="154"/>
      <c r="X7" s="155">
        <f t="shared" si="2"/>
        <v>0</v>
      </c>
    </row>
    <row r="8" spans="1:24" ht="13.8">
      <c r="A8" s="74">
        <v>5</v>
      </c>
      <c r="B8" s="84" t="s">
        <v>17</v>
      </c>
      <c r="C8" s="88" t="s">
        <v>37</v>
      </c>
      <c r="D8" s="75">
        <v>1140</v>
      </c>
      <c r="E8" s="75">
        <v>160</v>
      </c>
      <c r="F8" s="75">
        <v>25</v>
      </c>
      <c r="G8" s="75">
        <v>20</v>
      </c>
      <c r="H8" s="75">
        <v>30</v>
      </c>
      <c r="I8" s="75">
        <v>20</v>
      </c>
      <c r="J8" s="75">
        <v>5</v>
      </c>
      <c r="K8" s="75"/>
      <c r="L8" s="75">
        <f t="shared" si="0"/>
        <v>100</v>
      </c>
      <c r="M8" s="75">
        <v>15</v>
      </c>
      <c r="N8" s="75">
        <v>15</v>
      </c>
      <c r="O8" s="75">
        <v>20</v>
      </c>
      <c r="P8" s="75">
        <v>10</v>
      </c>
      <c r="Q8" s="163">
        <f t="shared" si="1"/>
        <v>160</v>
      </c>
      <c r="R8" s="146" t="s">
        <v>250</v>
      </c>
      <c r="S8" s="145"/>
      <c r="T8" s="145"/>
      <c r="U8" s="145"/>
      <c r="V8" s="145"/>
      <c r="W8" s="145"/>
      <c r="X8" s="146"/>
    </row>
    <row r="9" spans="1:24" ht="13.8">
      <c r="A9" s="63">
        <v>10</v>
      </c>
      <c r="B9" s="83" t="s">
        <v>14</v>
      </c>
      <c r="C9" s="87" t="s">
        <v>33</v>
      </c>
      <c r="D9" s="64">
        <v>10</v>
      </c>
      <c r="E9" s="64">
        <v>10</v>
      </c>
      <c r="F9" s="64"/>
      <c r="G9" s="64"/>
      <c r="H9" s="64">
        <v>10</v>
      </c>
      <c r="I9" s="64"/>
      <c r="J9" s="64"/>
      <c r="K9" s="64"/>
      <c r="L9" s="64">
        <f t="shared" si="0"/>
        <v>10</v>
      </c>
      <c r="M9" s="64"/>
      <c r="N9" s="64"/>
      <c r="O9" s="64"/>
      <c r="P9" s="64"/>
      <c r="Q9" s="163">
        <f t="shared" si="1"/>
        <v>10</v>
      </c>
      <c r="R9" s="153" t="s">
        <v>13</v>
      </c>
      <c r="S9" s="153"/>
      <c r="T9" s="154"/>
      <c r="U9" s="154"/>
      <c r="V9" s="154"/>
      <c r="W9" s="154"/>
      <c r="X9" s="155">
        <f t="shared" ref="X9:X23" si="3">SUM(S9:W9)</f>
        <v>0</v>
      </c>
    </row>
    <row r="10" spans="1:24" ht="13.8">
      <c r="A10" s="74">
        <v>10</v>
      </c>
      <c r="B10" s="84" t="s">
        <v>7</v>
      </c>
      <c r="C10" s="88" t="s">
        <v>26</v>
      </c>
      <c r="D10" s="75">
        <v>4520</v>
      </c>
      <c r="E10" s="75">
        <v>640</v>
      </c>
      <c r="F10" s="75">
        <v>100</v>
      </c>
      <c r="G10" s="75">
        <v>90</v>
      </c>
      <c r="H10" s="75">
        <v>160</v>
      </c>
      <c r="I10" s="75">
        <v>60</v>
      </c>
      <c r="J10" s="75">
        <v>20</v>
      </c>
      <c r="K10" s="75"/>
      <c r="L10" s="75">
        <f t="shared" si="0"/>
        <v>430</v>
      </c>
      <c r="M10" s="75">
        <v>50</v>
      </c>
      <c r="N10" s="75">
        <v>55</v>
      </c>
      <c r="O10" s="75">
        <v>85</v>
      </c>
      <c r="P10" s="75">
        <v>20</v>
      </c>
      <c r="Q10" s="163">
        <f t="shared" si="1"/>
        <v>640</v>
      </c>
      <c r="R10" s="153" t="s">
        <v>165</v>
      </c>
      <c r="S10" s="153"/>
      <c r="T10" s="154"/>
      <c r="U10" s="154">
        <v>3</v>
      </c>
      <c r="V10" s="154"/>
      <c r="W10" s="154"/>
      <c r="X10" s="155">
        <f t="shared" si="3"/>
        <v>3</v>
      </c>
    </row>
    <row r="11" spans="1:24" ht="13.8">
      <c r="A11" s="63">
        <v>10</v>
      </c>
      <c r="B11" s="83" t="s">
        <v>18</v>
      </c>
      <c r="C11" s="87" t="s">
        <v>38</v>
      </c>
      <c r="D11" s="64">
        <v>2000</v>
      </c>
      <c r="E11" s="64">
        <v>285</v>
      </c>
      <c r="F11" s="64">
        <v>50</v>
      </c>
      <c r="G11" s="64">
        <v>40</v>
      </c>
      <c r="H11" s="64">
        <v>70</v>
      </c>
      <c r="I11" s="64">
        <v>20</v>
      </c>
      <c r="J11" s="64">
        <v>10</v>
      </c>
      <c r="K11" s="64"/>
      <c r="L11" s="64">
        <f t="shared" si="0"/>
        <v>190</v>
      </c>
      <c r="M11" s="64">
        <v>20</v>
      </c>
      <c r="N11" s="64">
        <v>30</v>
      </c>
      <c r="O11" s="64">
        <v>35</v>
      </c>
      <c r="P11" s="64">
        <v>10</v>
      </c>
      <c r="Q11" s="163">
        <f t="shared" si="1"/>
        <v>285</v>
      </c>
      <c r="R11" s="153" t="s">
        <v>190</v>
      </c>
      <c r="S11" s="153"/>
      <c r="T11" s="154"/>
      <c r="U11" s="154"/>
      <c r="V11" s="154"/>
      <c r="W11" s="154"/>
      <c r="X11" s="155">
        <f t="shared" si="3"/>
        <v>0</v>
      </c>
    </row>
    <row r="12" spans="1:24" ht="13.8">
      <c r="A12" s="74">
        <v>5</v>
      </c>
      <c r="B12" s="84" t="s">
        <v>8</v>
      </c>
      <c r="C12" s="88" t="s">
        <v>27</v>
      </c>
      <c r="D12" s="75">
        <v>125</v>
      </c>
      <c r="E12" s="75">
        <v>25</v>
      </c>
      <c r="F12" s="75"/>
      <c r="G12" s="75">
        <v>5</v>
      </c>
      <c r="H12" s="75">
        <v>10</v>
      </c>
      <c r="I12" s="75"/>
      <c r="J12" s="75"/>
      <c r="K12" s="75"/>
      <c r="L12" s="75">
        <f t="shared" si="0"/>
        <v>15</v>
      </c>
      <c r="M12" s="75">
        <v>2</v>
      </c>
      <c r="N12" s="75">
        <v>2</v>
      </c>
      <c r="O12" s="75">
        <v>4</v>
      </c>
      <c r="P12" s="75">
        <v>2</v>
      </c>
      <c r="Q12" s="163">
        <f t="shared" si="1"/>
        <v>25</v>
      </c>
      <c r="R12" s="153" t="s">
        <v>7</v>
      </c>
      <c r="S12" s="153"/>
      <c r="T12" s="154"/>
      <c r="U12" s="154"/>
      <c r="V12" s="154"/>
      <c r="W12" s="154"/>
      <c r="X12" s="155">
        <f t="shared" si="3"/>
        <v>0</v>
      </c>
    </row>
    <row r="13" spans="1:24" ht="13.8">
      <c r="A13" s="63">
        <v>5</v>
      </c>
      <c r="B13" s="83" t="s">
        <v>8</v>
      </c>
      <c r="C13" s="87" t="s">
        <v>233</v>
      </c>
      <c r="D13" s="64">
        <v>25</v>
      </c>
      <c r="E13" s="64">
        <v>5</v>
      </c>
      <c r="F13" s="64">
        <v>5</v>
      </c>
      <c r="G13" s="64"/>
      <c r="H13" s="64"/>
      <c r="I13" s="64"/>
      <c r="J13" s="64"/>
      <c r="K13" s="64"/>
      <c r="L13" s="64">
        <f t="shared" si="0"/>
        <v>5</v>
      </c>
      <c r="M13" s="64"/>
      <c r="N13" s="64"/>
      <c r="O13" s="64"/>
      <c r="P13" s="64"/>
      <c r="Q13" s="163">
        <f t="shared" si="1"/>
        <v>5</v>
      </c>
      <c r="R13" s="153" t="s">
        <v>3</v>
      </c>
      <c r="S13" s="153"/>
      <c r="T13" s="154"/>
      <c r="U13" s="154">
        <v>10</v>
      </c>
      <c r="V13" s="154"/>
      <c r="W13" s="154"/>
      <c r="X13" s="155">
        <f t="shared" si="3"/>
        <v>10</v>
      </c>
    </row>
    <row r="14" spans="1:24" ht="13.8">
      <c r="A14" s="74">
        <v>5</v>
      </c>
      <c r="B14" s="84" t="s">
        <v>16</v>
      </c>
      <c r="C14" s="88" t="s">
        <v>35</v>
      </c>
      <c r="D14" s="75">
        <v>155</v>
      </c>
      <c r="E14" s="75">
        <v>30</v>
      </c>
      <c r="F14" s="75">
        <v>5</v>
      </c>
      <c r="G14" s="75">
        <v>5</v>
      </c>
      <c r="H14" s="75">
        <v>5</v>
      </c>
      <c r="I14" s="75">
        <v>2</v>
      </c>
      <c r="J14" s="75"/>
      <c r="K14" s="75"/>
      <c r="L14" s="75">
        <f t="shared" si="0"/>
        <v>17</v>
      </c>
      <c r="M14" s="75">
        <v>2</v>
      </c>
      <c r="N14" s="75">
        <v>3</v>
      </c>
      <c r="O14" s="75">
        <v>6</v>
      </c>
      <c r="P14" s="75">
        <v>2</v>
      </c>
      <c r="Q14" s="163">
        <f t="shared" si="1"/>
        <v>30</v>
      </c>
      <c r="R14" s="153" t="s">
        <v>247</v>
      </c>
      <c r="S14" s="153"/>
      <c r="T14" s="154"/>
      <c r="U14" s="154"/>
      <c r="V14" s="154"/>
      <c r="W14" s="154">
        <v>40</v>
      </c>
      <c r="X14" s="155">
        <f t="shared" si="3"/>
        <v>40</v>
      </c>
    </row>
    <row r="15" spans="1:24" ht="13.8">
      <c r="A15" s="63">
        <v>10</v>
      </c>
      <c r="B15" s="83" t="s">
        <v>72</v>
      </c>
      <c r="C15" s="87" t="s">
        <v>75</v>
      </c>
      <c r="D15" s="64">
        <v>40</v>
      </c>
      <c r="E15" s="64">
        <v>5</v>
      </c>
      <c r="F15" s="64"/>
      <c r="G15" s="64"/>
      <c r="H15" s="64"/>
      <c r="I15" s="64"/>
      <c r="J15" s="64"/>
      <c r="K15" s="64"/>
      <c r="L15" s="64">
        <f t="shared" si="0"/>
        <v>0</v>
      </c>
      <c r="M15" s="64"/>
      <c r="N15" s="64"/>
      <c r="O15" s="64">
        <v>5</v>
      </c>
      <c r="P15" s="64"/>
      <c r="Q15" s="163">
        <f t="shared" si="1"/>
        <v>5</v>
      </c>
      <c r="R15" s="153" t="s">
        <v>199</v>
      </c>
      <c r="S15" s="153">
        <v>20</v>
      </c>
      <c r="T15" s="154"/>
      <c r="U15" s="154"/>
      <c r="V15" s="154"/>
      <c r="W15" s="154"/>
      <c r="X15" s="155">
        <f t="shared" si="3"/>
        <v>20</v>
      </c>
    </row>
    <row r="16" spans="1:24" ht="13.8">
      <c r="A16" s="74">
        <v>10</v>
      </c>
      <c r="B16" s="84" t="s">
        <v>2</v>
      </c>
      <c r="C16" s="88" t="s">
        <v>21</v>
      </c>
      <c r="D16" s="75">
        <v>5</v>
      </c>
      <c r="E16" s="75">
        <v>5</v>
      </c>
      <c r="F16" s="75">
        <v>5</v>
      </c>
      <c r="G16" s="75"/>
      <c r="H16" s="75"/>
      <c r="I16" s="75"/>
      <c r="J16" s="75"/>
      <c r="K16" s="75"/>
      <c r="L16" s="75">
        <f t="shared" si="0"/>
        <v>5</v>
      </c>
      <c r="M16" s="75"/>
      <c r="N16" s="75"/>
      <c r="O16" s="75">
        <v>0</v>
      </c>
      <c r="P16" s="75">
        <v>0</v>
      </c>
      <c r="Q16" s="163">
        <f t="shared" si="1"/>
        <v>5</v>
      </c>
      <c r="R16" s="146" t="s">
        <v>262</v>
      </c>
      <c r="S16" s="145"/>
      <c r="T16" s="145"/>
      <c r="U16" s="145"/>
      <c r="V16" s="145"/>
      <c r="W16" s="145"/>
      <c r="X16" s="146"/>
    </row>
    <row r="17" spans="1:24" ht="13.8">
      <c r="A17" s="63">
        <v>10</v>
      </c>
      <c r="B17" s="83" t="s">
        <v>3</v>
      </c>
      <c r="C17" s="87" t="s">
        <v>22</v>
      </c>
      <c r="D17" s="64">
        <v>580</v>
      </c>
      <c r="E17" s="64">
        <v>85</v>
      </c>
      <c r="F17" s="64"/>
      <c r="G17" s="64"/>
      <c r="H17" s="64">
        <v>10</v>
      </c>
      <c r="I17" s="64">
        <v>10</v>
      </c>
      <c r="J17" s="64">
        <v>10</v>
      </c>
      <c r="K17" s="64">
        <v>20</v>
      </c>
      <c r="L17" s="64">
        <f t="shared" si="0"/>
        <v>50</v>
      </c>
      <c r="M17" s="64">
        <v>10</v>
      </c>
      <c r="N17" s="64">
        <v>10</v>
      </c>
      <c r="O17" s="64">
        <v>10</v>
      </c>
      <c r="P17" s="64">
        <v>5</v>
      </c>
      <c r="Q17" s="163">
        <f t="shared" si="1"/>
        <v>85</v>
      </c>
      <c r="R17" s="153" t="s">
        <v>13</v>
      </c>
      <c r="S17" s="153"/>
      <c r="T17" s="154">
        <v>40</v>
      </c>
      <c r="U17" s="154">
        <v>20</v>
      </c>
      <c r="V17" s="154"/>
      <c r="W17" s="154"/>
      <c r="X17" s="155">
        <f t="shared" si="3"/>
        <v>60</v>
      </c>
    </row>
    <row r="18" spans="1:24" ht="13.8">
      <c r="A18" s="74">
        <v>5</v>
      </c>
      <c r="B18" s="84" t="s">
        <v>15</v>
      </c>
      <c r="C18" s="88" t="s">
        <v>116</v>
      </c>
      <c r="D18" s="75">
        <v>50</v>
      </c>
      <c r="E18" s="75">
        <v>10</v>
      </c>
      <c r="F18" s="75"/>
      <c r="G18" s="75"/>
      <c r="H18" s="75"/>
      <c r="I18" s="75"/>
      <c r="J18" s="75"/>
      <c r="K18" s="75"/>
      <c r="L18" s="75">
        <f t="shared" si="0"/>
        <v>0</v>
      </c>
      <c r="M18" s="75">
        <v>3</v>
      </c>
      <c r="N18" s="75">
        <v>2</v>
      </c>
      <c r="O18" s="75">
        <v>5</v>
      </c>
      <c r="P18" s="75"/>
      <c r="Q18" s="163">
        <f t="shared" si="1"/>
        <v>10</v>
      </c>
      <c r="R18" s="153" t="s">
        <v>165</v>
      </c>
      <c r="S18" s="153"/>
      <c r="T18" s="154"/>
      <c r="U18" s="154"/>
      <c r="V18" s="154"/>
      <c r="W18" s="154"/>
      <c r="X18" s="155">
        <f t="shared" si="3"/>
        <v>0</v>
      </c>
    </row>
    <row r="19" spans="1:24" ht="13.8">
      <c r="A19" s="63">
        <v>5</v>
      </c>
      <c r="B19" s="83" t="s">
        <v>101</v>
      </c>
      <c r="C19" s="87" t="s">
        <v>102</v>
      </c>
      <c r="D19" s="64">
        <v>30</v>
      </c>
      <c r="E19" s="64">
        <v>5</v>
      </c>
      <c r="F19" s="64">
        <v>5</v>
      </c>
      <c r="G19" s="64"/>
      <c r="H19" s="64"/>
      <c r="I19" s="64"/>
      <c r="J19" s="64"/>
      <c r="K19" s="64"/>
      <c r="L19" s="64">
        <f t="shared" si="0"/>
        <v>5</v>
      </c>
      <c r="M19" s="64"/>
      <c r="N19" s="64"/>
      <c r="O19" s="64"/>
      <c r="P19" s="64"/>
      <c r="Q19" s="163">
        <f t="shared" si="1"/>
        <v>5</v>
      </c>
      <c r="R19" s="153" t="s">
        <v>190</v>
      </c>
      <c r="S19" s="153"/>
      <c r="T19" s="154">
        <v>10</v>
      </c>
      <c r="U19" s="154"/>
      <c r="V19" s="154"/>
      <c r="W19" s="154"/>
      <c r="X19" s="155">
        <f t="shared" si="3"/>
        <v>10</v>
      </c>
    </row>
    <row r="20" spans="1:24" ht="13.8">
      <c r="A20" s="74">
        <v>10</v>
      </c>
      <c r="B20" s="84" t="s">
        <v>207</v>
      </c>
      <c r="C20" s="88" t="s">
        <v>189</v>
      </c>
      <c r="D20" s="75">
        <v>10</v>
      </c>
      <c r="E20" s="75">
        <v>10</v>
      </c>
      <c r="F20" s="75">
        <v>5</v>
      </c>
      <c r="G20" s="75"/>
      <c r="H20" s="75">
        <v>5</v>
      </c>
      <c r="I20" s="75"/>
      <c r="J20" s="75"/>
      <c r="K20" s="75"/>
      <c r="L20" s="75">
        <f t="shared" si="0"/>
        <v>10</v>
      </c>
      <c r="M20" s="75"/>
      <c r="N20" s="75"/>
      <c r="O20" s="75"/>
      <c r="P20" s="75"/>
      <c r="Q20" s="163">
        <f t="shared" si="1"/>
        <v>10</v>
      </c>
      <c r="R20" s="156" t="s">
        <v>7</v>
      </c>
      <c r="S20" s="156"/>
      <c r="T20" s="157"/>
      <c r="U20" s="157"/>
      <c r="V20" s="157"/>
      <c r="W20" s="157"/>
      <c r="X20" s="158">
        <f t="shared" si="3"/>
        <v>0</v>
      </c>
    </row>
    <row r="21" spans="1:24" ht="13.8">
      <c r="A21" s="63">
        <v>10</v>
      </c>
      <c r="B21" s="83" t="s">
        <v>5</v>
      </c>
      <c r="C21" s="87" t="s">
        <v>24</v>
      </c>
      <c r="D21" s="64">
        <v>160</v>
      </c>
      <c r="E21" s="64">
        <v>30</v>
      </c>
      <c r="F21" s="64">
        <v>5</v>
      </c>
      <c r="G21" s="64">
        <v>5</v>
      </c>
      <c r="H21" s="64">
        <v>5</v>
      </c>
      <c r="I21" s="64">
        <v>5</v>
      </c>
      <c r="J21" s="64"/>
      <c r="K21" s="64"/>
      <c r="L21" s="64">
        <f t="shared" si="0"/>
        <v>20</v>
      </c>
      <c r="M21" s="64">
        <v>5</v>
      </c>
      <c r="N21" s="64">
        <v>2</v>
      </c>
      <c r="O21" s="64">
        <v>3</v>
      </c>
      <c r="P21" s="64"/>
      <c r="Q21" s="163">
        <f t="shared" si="1"/>
        <v>30</v>
      </c>
      <c r="R21" s="153" t="s">
        <v>3</v>
      </c>
      <c r="S21" s="153"/>
      <c r="T21" s="154"/>
      <c r="U21" s="154"/>
      <c r="V21" s="154"/>
      <c r="W21" s="154">
        <v>20</v>
      </c>
      <c r="X21" s="155">
        <f t="shared" si="3"/>
        <v>20</v>
      </c>
    </row>
    <row r="22" spans="1:24" ht="13.8">
      <c r="A22" s="74">
        <v>10</v>
      </c>
      <c r="B22" s="84" t="s">
        <v>10</v>
      </c>
      <c r="C22" s="88" t="s">
        <v>29</v>
      </c>
      <c r="D22" s="75">
        <v>270</v>
      </c>
      <c r="E22" s="128">
        <v>70</v>
      </c>
      <c r="F22" s="128"/>
      <c r="G22" s="128">
        <v>10</v>
      </c>
      <c r="H22" s="128"/>
      <c r="I22" s="128"/>
      <c r="J22" s="128"/>
      <c r="K22" s="128">
        <v>60</v>
      </c>
      <c r="L22" s="75">
        <f t="shared" si="0"/>
        <v>70</v>
      </c>
      <c r="M22" s="75"/>
      <c r="N22" s="75"/>
      <c r="O22" s="75"/>
      <c r="P22" s="75"/>
      <c r="Q22" s="163">
        <f t="shared" si="1"/>
        <v>70</v>
      </c>
      <c r="R22" s="153" t="s">
        <v>247</v>
      </c>
      <c r="S22" s="153"/>
      <c r="T22" s="154"/>
      <c r="U22" s="154"/>
      <c r="V22" s="154"/>
      <c r="W22" s="154">
        <v>60</v>
      </c>
      <c r="X22" s="155">
        <f t="shared" si="3"/>
        <v>60</v>
      </c>
    </row>
    <row r="23" spans="1:24" ht="13.8">
      <c r="A23" s="63">
        <v>10</v>
      </c>
      <c r="B23" s="83" t="s">
        <v>19</v>
      </c>
      <c r="C23" s="87" t="s">
        <v>39</v>
      </c>
      <c r="D23" s="64">
        <v>160</v>
      </c>
      <c r="E23" s="64">
        <v>30</v>
      </c>
      <c r="F23" s="64">
        <v>5</v>
      </c>
      <c r="G23" s="64">
        <v>5</v>
      </c>
      <c r="H23" s="64">
        <v>5</v>
      </c>
      <c r="I23" s="64">
        <v>5</v>
      </c>
      <c r="J23" s="64"/>
      <c r="K23" s="64"/>
      <c r="L23" s="64">
        <f t="shared" si="0"/>
        <v>20</v>
      </c>
      <c r="M23" s="64">
        <v>5</v>
      </c>
      <c r="N23" s="64">
        <v>2</v>
      </c>
      <c r="O23" s="64">
        <v>3</v>
      </c>
      <c r="P23" s="64"/>
      <c r="Q23" s="163">
        <f t="shared" si="1"/>
        <v>30</v>
      </c>
      <c r="R23" s="153" t="s">
        <v>199</v>
      </c>
      <c r="S23" s="153"/>
      <c r="T23" s="154"/>
      <c r="U23" s="154"/>
      <c r="V23" s="154"/>
      <c r="W23" s="154"/>
      <c r="X23" s="155">
        <f t="shared" si="3"/>
        <v>0</v>
      </c>
    </row>
    <row r="24" spans="1:24" ht="13.8">
      <c r="A24" s="74">
        <v>5</v>
      </c>
      <c r="B24" s="84" t="s">
        <v>261</v>
      </c>
      <c r="C24" s="88" t="s">
        <v>210</v>
      </c>
      <c r="D24" s="75">
        <v>15</v>
      </c>
      <c r="E24" s="75">
        <v>0</v>
      </c>
      <c r="F24" s="75"/>
      <c r="G24" s="75"/>
      <c r="H24" s="75"/>
      <c r="I24" s="75"/>
      <c r="J24" s="75"/>
      <c r="K24" s="75"/>
      <c r="L24" s="75">
        <f t="shared" si="0"/>
        <v>0</v>
      </c>
      <c r="M24" s="75"/>
      <c r="N24" s="75"/>
      <c r="O24" s="75"/>
      <c r="P24" s="75"/>
      <c r="Q24" s="163">
        <f t="shared" si="1"/>
        <v>0</v>
      </c>
    </row>
    <row r="25" spans="1:24" ht="13.8">
      <c r="A25" s="63">
        <v>10</v>
      </c>
      <c r="B25" s="83" t="s">
        <v>229</v>
      </c>
      <c r="C25" s="87" t="s">
        <v>213</v>
      </c>
      <c r="D25" s="64">
        <v>260</v>
      </c>
      <c r="E25" s="64">
        <v>30</v>
      </c>
      <c r="F25" s="64">
        <v>5</v>
      </c>
      <c r="G25" s="64">
        <v>5</v>
      </c>
      <c r="H25" s="64">
        <v>5</v>
      </c>
      <c r="I25" s="64">
        <v>5</v>
      </c>
      <c r="J25" s="64"/>
      <c r="K25" s="64"/>
      <c r="L25" s="64">
        <f t="shared" si="0"/>
        <v>20</v>
      </c>
      <c r="M25" s="64">
        <v>2</v>
      </c>
      <c r="N25" s="64">
        <v>2</v>
      </c>
      <c r="O25" s="64">
        <v>2</v>
      </c>
      <c r="P25" s="64">
        <v>4</v>
      </c>
      <c r="Q25" s="163">
        <f t="shared" si="1"/>
        <v>30</v>
      </c>
    </row>
    <row r="26" spans="1:24" ht="14.4" thickBot="1">
      <c r="A26" s="74">
        <v>10</v>
      </c>
      <c r="B26" s="84" t="s">
        <v>230</v>
      </c>
      <c r="C26" s="88" t="s">
        <v>214</v>
      </c>
      <c r="D26" s="75">
        <v>50</v>
      </c>
      <c r="E26" s="75">
        <v>5</v>
      </c>
      <c r="F26" s="75">
        <v>2</v>
      </c>
      <c r="G26" s="75">
        <v>1</v>
      </c>
      <c r="H26" s="75">
        <v>2</v>
      </c>
      <c r="I26" s="75"/>
      <c r="J26" s="75"/>
      <c r="K26" s="75"/>
      <c r="L26" s="75">
        <f t="shared" si="0"/>
        <v>5</v>
      </c>
      <c r="M26" s="75"/>
      <c r="N26" s="75"/>
      <c r="O26" s="75"/>
      <c r="P26" s="75"/>
      <c r="Q26" s="163">
        <f t="shared" si="1"/>
        <v>5</v>
      </c>
    </row>
    <row r="27" spans="1:24" ht="14.4" thickBot="1">
      <c r="A27" s="66"/>
      <c r="B27" s="66"/>
      <c r="C27" s="66"/>
      <c r="D27" s="104">
        <f>SUM(D2:D26)</f>
        <v>15930</v>
      </c>
      <c r="E27" s="104">
        <f t="shared" ref="E27:Q27" si="4">SUM(E2:E26)</f>
        <v>3100</v>
      </c>
      <c r="F27" s="104">
        <f t="shared" si="4"/>
        <v>482</v>
      </c>
      <c r="G27" s="104">
        <f t="shared" si="4"/>
        <v>361</v>
      </c>
      <c r="H27" s="104">
        <f t="shared" si="4"/>
        <v>612</v>
      </c>
      <c r="I27" s="104">
        <f t="shared" si="4"/>
        <v>342</v>
      </c>
      <c r="J27" s="104">
        <f t="shared" si="4"/>
        <v>85</v>
      </c>
      <c r="K27" s="104">
        <f t="shared" si="4"/>
        <v>80</v>
      </c>
      <c r="L27" s="104">
        <f t="shared" si="4"/>
        <v>1962</v>
      </c>
      <c r="M27" s="104">
        <f t="shared" si="4"/>
        <v>259</v>
      </c>
      <c r="N27" s="104">
        <f t="shared" si="4"/>
        <v>218</v>
      </c>
      <c r="O27" s="104">
        <f t="shared" si="4"/>
        <v>518</v>
      </c>
      <c r="P27" s="104">
        <f t="shared" si="4"/>
        <v>143</v>
      </c>
      <c r="Q27" s="104">
        <f t="shared" si="4"/>
        <v>3100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0"/>
  <sheetViews>
    <sheetView zoomScale="90" zoomScaleNormal="90" workbookViewId="0">
      <selection activeCell="F22" sqref="F22"/>
    </sheetView>
  </sheetViews>
  <sheetFormatPr defaultRowHeight="13.8"/>
  <cols>
    <col min="1" max="1" width="8.88671875" style="22"/>
    <col min="2" max="2" width="30.109375" style="22" customWidth="1"/>
    <col min="3" max="3" width="18.109375" style="22" bestFit="1" customWidth="1"/>
    <col min="4" max="17" width="8.88671875" style="22"/>
    <col min="18" max="18" width="25.44140625" style="22" bestFit="1" customWidth="1"/>
    <col min="19" max="19" width="9.33203125" style="22" bestFit="1" customWidth="1"/>
    <col min="20" max="20" width="11.33203125" style="22" bestFit="1" customWidth="1"/>
    <col min="21" max="21" width="7.5546875" style="22" bestFit="1" customWidth="1"/>
    <col min="22" max="22" width="6.6640625" style="22" bestFit="1" customWidth="1"/>
    <col min="23" max="23" width="9.6640625" style="22" bestFit="1" customWidth="1"/>
    <col min="24" max="24" width="5.44140625" style="22" bestFit="1" customWidth="1"/>
    <col min="25" max="16384" width="8.88671875" style="22"/>
  </cols>
  <sheetData>
    <row r="1" spans="1:24" ht="28.2" thickBot="1">
      <c r="A1" s="65" t="s">
        <v>111</v>
      </c>
      <c r="B1" s="66" t="s">
        <v>78</v>
      </c>
      <c r="C1" s="66" t="s">
        <v>110</v>
      </c>
      <c r="D1" s="66" t="s">
        <v>80</v>
      </c>
      <c r="E1" s="67" t="s">
        <v>65</v>
      </c>
      <c r="F1" s="115" t="s">
        <v>81</v>
      </c>
      <c r="G1" s="115" t="s">
        <v>68</v>
      </c>
      <c r="H1" s="115" t="s">
        <v>50</v>
      </c>
      <c r="I1" s="115" t="s">
        <v>51</v>
      </c>
      <c r="J1" s="115" t="s">
        <v>82</v>
      </c>
      <c r="K1" s="115" t="s">
        <v>276</v>
      </c>
      <c r="L1" s="91" t="s">
        <v>86</v>
      </c>
      <c r="M1" s="92" t="s">
        <v>83</v>
      </c>
      <c r="N1" s="93" t="s">
        <v>44</v>
      </c>
      <c r="O1" s="94" t="s">
        <v>84</v>
      </c>
      <c r="P1" s="95" t="s">
        <v>85</v>
      </c>
      <c r="R1" s="151" t="s">
        <v>244</v>
      </c>
      <c r="S1" s="151" t="s">
        <v>236</v>
      </c>
      <c r="T1" s="151" t="s">
        <v>248</v>
      </c>
      <c r="U1" s="151" t="s">
        <v>238</v>
      </c>
      <c r="V1" s="151" t="s">
        <v>243</v>
      </c>
      <c r="W1" s="152" t="s">
        <v>235</v>
      </c>
      <c r="X1" s="152" t="s">
        <v>245</v>
      </c>
    </row>
    <row r="2" spans="1:24">
      <c r="A2" s="74">
        <v>10</v>
      </c>
      <c r="B2" s="84" t="s">
        <v>272</v>
      </c>
      <c r="C2" s="88" t="s">
        <v>274</v>
      </c>
      <c r="D2" s="75">
        <v>740</v>
      </c>
      <c r="E2" s="75">
        <v>190</v>
      </c>
      <c r="F2" s="75">
        <v>20</v>
      </c>
      <c r="G2" s="75">
        <v>20</v>
      </c>
      <c r="H2" s="75">
        <v>40</v>
      </c>
      <c r="I2" s="75">
        <v>20</v>
      </c>
      <c r="J2" s="75"/>
      <c r="K2" s="75">
        <v>20</v>
      </c>
      <c r="L2" s="75">
        <f t="shared" ref="L2:L29" si="0">SUM(F2:K2)</f>
        <v>120</v>
      </c>
      <c r="M2" s="75">
        <v>10</v>
      </c>
      <c r="N2" s="75">
        <v>10</v>
      </c>
      <c r="O2" s="75">
        <v>40</v>
      </c>
      <c r="P2" s="75">
        <v>10</v>
      </c>
      <c r="Q2" s="163">
        <f>SUM(F2:K2,M2:P2)</f>
        <v>190</v>
      </c>
      <c r="R2" s="153" t="s">
        <v>13</v>
      </c>
      <c r="S2" s="164" t="s">
        <v>266</v>
      </c>
      <c r="T2" s="160" t="s">
        <v>263</v>
      </c>
      <c r="U2" s="160" t="s">
        <v>264</v>
      </c>
      <c r="V2" s="154"/>
      <c r="W2" s="154"/>
      <c r="X2" s="155">
        <f>SUM(S2:W2)</f>
        <v>0</v>
      </c>
    </row>
    <row r="3" spans="1:24">
      <c r="A3" s="63">
        <v>10</v>
      </c>
      <c r="B3" s="83" t="s">
        <v>257</v>
      </c>
      <c r="C3" s="87" t="s">
        <v>259</v>
      </c>
      <c r="D3" s="64">
        <v>1840</v>
      </c>
      <c r="E3" s="64">
        <v>475</v>
      </c>
      <c r="F3" s="64">
        <v>80</v>
      </c>
      <c r="G3" s="64">
        <v>50</v>
      </c>
      <c r="H3" s="64">
        <v>100</v>
      </c>
      <c r="I3" s="64">
        <v>20</v>
      </c>
      <c r="J3" s="64">
        <v>20</v>
      </c>
      <c r="K3" s="64">
        <v>20</v>
      </c>
      <c r="L3" s="64">
        <f t="shared" si="0"/>
        <v>290</v>
      </c>
      <c r="M3" s="64">
        <v>30</v>
      </c>
      <c r="N3" s="64">
        <v>30</v>
      </c>
      <c r="O3" s="64">
        <v>100</v>
      </c>
      <c r="P3" s="64">
        <v>25</v>
      </c>
      <c r="Q3" s="163">
        <f t="shared" ref="Q3:Q29" si="1">SUM(F3:K3,M3:P3)</f>
        <v>475</v>
      </c>
      <c r="R3" s="153" t="s">
        <v>165</v>
      </c>
      <c r="S3" s="153"/>
      <c r="T3" s="164" t="s">
        <v>278</v>
      </c>
      <c r="U3" s="153" t="s">
        <v>270</v>
      </c>
      <c r="V3" s="154"/>
      <c r="W3" s="154"/>
      <c r="X3" s="155">
        <f t="shared" ref="X3:X7" si="2">SUM(S3:W3)</f>
        <v>0</v>
      </c>
    </row>
    <row r="4" spans="1:24">
      <c r="A4" s="74">
        <v>10</v>
      </c>
      <c r="B4" s="84" t="s">
        <v>258</v>
      </c>
      <c r="C4" s="88" t="s">
        <v>260</v>
      </c>
      <c r="D4" s="75">
        <v>5100</v>
      </c>
      <c r="E4" s="75">
        <v>1320</v>
      </c>
      <c r="F4" s="75">
        <v>200</v>
      </c>
      <c r="G4" s="75">
        <v>160</v>
      </c>
      <c r="H4" s="75">
        <v>230</v>
      </c>
      <c r="I4" s="75">
        <v>100</v>
      </c>
      <c r="J4" s="75">
        <v>40</v>
      </c>
      <c r="K4" s="75">
        <v>100</v>
      </c>
      <c r="L4" s="75">
        <f t="shared" si="0"/>
        <v>830</v>
      </c>
      <c r="M4" s="75">
        <v>60</v>
      </c>
      <c r="N4" s="75">
        <v>80</v>
      </c>
      <c r="O4" s="75">
        <v>280</v>
      </c>
      <c r="P4" s="75">
        <v>70</v>
      </c>
      <c r="Q4" s="163">
        <f t="shared" si="1"/>
        <v>1320</v>
      </c>
      <c r="R4" s="156" t="s">
        <v>7</v>
      </c>
      <c r="S4" s="156"/>
      <c r="T4" s="157"/>
      <c r="U4" s="160" t="s">
        <v>253</v>
      </c>
      <c r="V4" s="160" t="s">
        <v>254</v>
      </c>
      <c r="W4" s="157"/>
      <c r="X4" s="158">
        <f t="shared" si="2"/>
        <v>0</v>
      </c>
    </row>
    <row r="5" spans="1:24">
      <c r="A5" s="63"/>
      <c r="B5" s="83" t="s">
        <v>273</v>
      </c>
      <c r="C5" s="87" t="s">
        <v>275</v>
      </c>
      <c r="D5" s="64">
        <v>1800</v>
      </c>
      <c r="E5" s="64">
        <v>475</v>
      </c>
      <c r="F5" s="64">
        <v>80</v>
      </c>
      <c r="G5" s="64">
        <v>60</v>
      </c>
      <c r="H5" s="64">
        <v>80</v>
      </c>
      <c r="I5" s="64">
        <v>40</v>
      </c>
      <c r="J5" s="64">
        <v>10</v>
      </c>
      <c r="K5" s="64">
        <v>20</v>
      </c>
      <c r="L5" s="64">
        <f t="shared" si="0"/>
        <v>290</v>
      </c>
      <c r="M5" s="64">
        <v>30</v>
      </c>
      <c r="N5" s="64">
        <v>30</v>
      </c>
      <c r="O5" s="64">
        <v>100</v>
      </c>
      <c r="P5" s="64">
        <v>25</v>
      </c>
      <c r="Q5" s="163">
        <f t="shared" si="1"/>
        <v>475</v>
      </c>
      <c r="R5" s="153" t="s">
        <v>3</v>
      </c>
      <c r="S5" s="153"/>
      <c r="T5" s="154"/>
      <c r="U5" s="160" t="s">
        <v>267</v>
      </c>
      <c r="V5" s="160" t="s">
        <v>255</v>
      </c>
      <c r="W5" s="159" t="s">
        <v>268</v>
      </c>
      <c r="X5" s="155">
        <f t="shared" si="2"/>
        <v>0</v>
      </c>
    </row>
    <row r="6" spans="1:24">
      <c r="A6" s="74">
        <v>5</v>
      </c>
      <c r="B6" s="84" t="s">
        <v>20</v>
      </c>
      <c r="C6" s="88" t="s">
        <v>40</v>
      </c>
      <c r="D6" s="75">
        <v>175</v>
      </c>
      <c r="E6" s="75">
        <v>45</v>
      </c>
      <c r="F6" s="75">
        <v>10</v>
      </c>
      <c r="G6" s="75"/>
      <c r="H6" s="75">
        <v>10</v>
      </c>
      <c r="I6" s="75"/>
      <c r="J6" s="75"/>
      <c r="K6" s="75">
        <v>5</v>
      </c>
      <c r="L6" s="75">
        <f t="shared" si="0"/>
        <v>25</v>
      </c>
      <c r="M6" s="75">
        <v>5</v>
      </c>
      <c r="N6" s="75">
        <v>5</v>
      </c>
      <c r="O6" s="75">
        <v>5</v>
      </c>
      <c r="P6" s="75">
        <v>5</v>
      </c>
      <c r="Q6" s="163">
        <f t="shared" si="1"/>
        <v>45</v>
      </c>
      <c r="R6" s="153" t="s">
        <v>247</v>
      </c>
      <c r="S6" s="153"/>
      <c r="T6" s="154"/>
      <c r="U6" s="154"/>
      <c r="V6" s="154"/>
      <c r="W6" s="160" t="s">
        <v>271</v>
      </c>
      <c r="X6" s="155">
        <f t="shared" si="2"/>
        <v>0</v>
      </c>
    </row>
    <row r="7" spans="1:24">
      <c r="A7" s="63">
        <v>10</v>
      </c>
      <c r="B7" s="83" t="s">
        <v>11</v>
      </c>
      <c r="C7" s="87" t="s">
        <v>30</v>
      </c>
      <c r="D7" s="64">
        <v>15</v>
      </c>
      <c r="E7" s="64">
        <v>5</v>
      </c>
      <c r="F7" s="64"/>
      <c r="G7" s="64"/>
      <c r="H7" s="64"/>
      <c r="I7" s="64">
        <v>5</v>
      </c>
      <c r="J7" s="64"/>
      <c r="K7" s="64"/>
      <c r="L7" s="64">
        <f t="shared" si="0"/>
        <v>5</v>
      </c>
      <c r="M7" s="64"/>
      <c r="N7" s="64"/>
      <c r="O7" s="64"/>
      <c r="P7" s="64"/>
      <c r="Q7" s="163">
        <f t="shared" si="1"/>
        <v>5</v>
      </c>
      <c r="R7" s="153" t="s">
        <v>199</v>
      </c>
      <c r="S7" s="164" t="s">
        <v>269</v>
      </c>
      <c r="T7" s="154"/>
      <c r="U7" s="154"/>
      <c r="V7" s="154"/>
      <c r="W7" s="154"/>
      <c r="X7" s="155">
        <f t="shared" si="2"/>
        <v>0</v>
      </c>
    </row>
    <row r="8" spans="1:24">
      <c r="A8" s="74">
        <v>10</v>
      </c>
      <c r="B8" s="84" t="s">
        <v>12</v>
      </c>
      <c r="C8" s="88" t="s">
        <v>31</v>
      </c>
      <c r="D8" s="75">
        <v>2</v>
      </c>
      <c r="E8" s="75">
        <v>0</v>
      </c>
      <c r="F8" s="75"/>
      <c r="G8" s="75"/>
      <c r="H8" s="75"/>
      <c r="I8" s="75"/>
      <c r="J8" s="75"/>
      <c r="K8" s="75"/>
      <c r="L8" s="75">
        <f t="shared" si="0"/>
        <v>0</v>
      </c>
      <c r="M8" s="75"/>
      <c r="N8" s="75"/>
      <c r="O8" s="75"/>
      <c r="P8" s="75"/>
      <c r="Q8" s="163">
        <f t="shared" si="1"/>
        <v>0</v>
      </c>
      <c r="R8" s="146" t="s">
        <v>262</v>
      </c>
      <c r="S8" s="145"/>
      <c r="T8" s="145"/>
      <c r="U8" s="145"/>
      <c r="V8" s="145"/>
      <c r="W8" s="145"/>
      <c r="X8" s="146"/>
    </row>
    <row r="9" spans="1:24">
      <c r="A9" s="63">
        <v>10</v>
      </c>
      <c r="B9" s="83" t="s">
        <v>13</v>
      </c>
      <c r="C9" s="87" t="s">
        <v>32</v>
      </c>
      <c r="D9" s="64">
        <v>100</v>
      </c>
      <c r="E9" s="64">
        <v>25</v>
      </c>
      <c r="F9" s="64"/>
      <c r="G9" s="64"/>
      <c r="H9" s="64"/>
      <c r="I9" s="64"/>
      <c r="J9" s="64"/>
      <c r="K9" s="64">
        <v>10</v>
      </c>
      <c r="L9" s="64">
        <f t="shared" si="0"/>
        <v>10</v>
      </c>
      <c r="M9" s="64">
        <v>5</v>
      </c>
      <c r="N9" s="64">
        <v>5</v>
      </c>
      <c r="O9" s="64">
        <v>5</v>
      </c>
      <c r="P9" s="64">
        <v>0</v>
      </c>
      <c r="Q9" s="163">
        <f t="shared" si="1"/>
        <v>25</v>
      </c>
      <c r="R9" s="153" t="s">
        <v>13</v>
      </c>
      <c r="S9" s="153"/>
      <c r="T9" s="154">
        <v>40</v>
      </c>
      <c r="U9" s="154">
        <v>20</v>
      </c>
      <c r="V9" s="154"/>
      <c r="W9" s="154"/>
      <c r="X9" s="155">
        <f t="shared" ref="X9:X15" si="3">SUM(S9:W9)</f>
        <v>60</v>
      </c>
    </row>
    <row r="10" spans="1:24" ht="16.8" customHeight="1">
      <c r="A10" s="74">
        <v>10</v>
      </c>
      <c r="B10" s="84" t="s">
        <v>164</v>
      </c>
      <c r="C10" s="88" t="s">
        <v>249</v>
      </c>
      <c r="D10" s="75">
        <v>420</v>
      </c>
      <c r="E10" s="75">
        <v>110</v>
      </c>
      <c r="F10" s="75">
        <v>10</v>
      </c>
      <c r="G10" s="75">
        <v>15</v>
      </c>
      <c r="H10" s="75">
        <v>10</v>
      </c>
      <c r="I10" s="75">
        <v>10</v>
      </c>
      <c r="J10" s="75">
        <v>10</v>
      </c>
      <c r="K10" s="75">
        <v>10</v>
      </c>
      <c r="L10" s="75">
        <f t="shared" si="0"/>
        <v>65</v>
      </c>
      <c r="M10" s="75">
        <v>10</v>
      </c>
      <c r="N10" s="75">
        <v>5</v>
      </c>
      <c r="O10" s="75">
        <v>20</v>
      </c>
      <c r="P10" s="75">
        <v>10</v>
      </c>
      <c r="Q10" s="163">
        <f t="shared" si="1"/>
        <v>110</v>
      </c>
      <c r="R10" s="153" t="s">
        <v>165</v>
      </c>
      <c r="S10" s="153"/>
      <c r="T10" s="154"/>
      <c r="U10" s="154"/>
      <c r="V10" s="154"/>
      <c r="W10" s="154"/>
      <c r="X10" s="155">
        <f t="shared" si="3"/>
        <v>0</v>
      </c>
    </row>
    <row r="11" spans="1:24">
      <c r="A11" s="63">
        <v>10</v>
      </c>
      <c r="B11" s="83" t="s">
        <v>231</v>
      </c>
      <c r="C11" s="87" t="s">
        <v>232</v>
      </c>
      <c r="D11" s="64">
        <v>20</v>
      </c>
      <c r="E11" s="64">
        <v>0</v>
      </c>
      <c r="F11" s="64"/>
      <c r="G11" s="64"/>
      <c r="H11" s="64"/>
      <c r="I11" s="64"/>
      <c r="J11" s="64"/>
      <c r="K11" s="64"/>
      <c r="L11" s="64">
        <f t="shared" si="0"/>
        <v>0</v>
      </c>
      <c r="M11" s="64"/>
      <c r="N11" s="64"/>
      <c r="O11" s="64"/>
      <c r="P11" s="64"/>
      <c r="Q11" s="163">
        <f t="shared" si="1"/>
        <v>0</v>
      </c>
      <c r="R11" s="153" t="s">
        <v>190</v>
      </c>
      <c r="S11" s="153"/>
      <c r="T11" s="154">
        <v>10</v>
      </c>
      <c r="U11" s="154"/>
      <c r="V11" s="154"/>
      <c r="W11" s="154"/>
      <c r="X11" s="155">
        <f t="shared" si="3"/>
        <v>10</v>
      </c>
    </row>
    <row r="12" spans="1:24">
      <c r="A12" s="74">
        <v>5</v>
      </c>
      <c r="B12" s="84" t="s">
        <v>17</v>
      </c>
      <c r="C12" s="88" t="s">
        <v>36</v>
      </c>
      <c r="D12" s="75">
        <v>40</v>
      </c>
      <c r="E12" s="75">
        <v>40</v>
      </c>
      <c r="F12" s="75"/>
      <c r="G12" s="75"/>
      <c r="H12" s="75">
        <v>30</v>
      </c>
      <c r="I12" s="75"/>
      <c r="J12" s="75"/>
      <c r="K12" s="75">
        <v>10</v>
      </c>
      <c r="L12" s="75">
        <f t="shared" si="0"/>
        <v>40</v>
      </c>
      <c r="M12" s="75"/>
      <c r="N12" s="75"/>
      <c r="O12" s="75"/>
      <c r="P12" s="75"/>
      <c r="Q12" s="163">
        <f t="shared" si="1"/>
        <v>40</v>
      </c>
      <c r="R12" s="156" t="s">
        <v>7</v>
      </c>
      <c r="S12" s="156"/>
      <c r="T12" s="157"/>
      <c r="U12" s="157"/>
      <c r="V12" s="157"/>
      <c r="W12" s="157"/>
      <c r="X12" s="158">
        <f t="shared" si="3"/>
        <v>0</v>
      </c>
    </row>
    <row r="13" spans="1:24">
      <c r="A13" s="63">
        <v>5</v>
      </c>
      <c r="B13" s="83" t="s">
        <v>17</v>
      </c>
      <c r="C13" s="87" t="s">
        <v>37</v>
      </c>
      <c r="D13" s="64">
        <v>1140</v>
      </c>
      <c r="E13" s="64">
        <v>130</v>
      </c>
      <c r="F13" s="64">
        <v>20</v>
      </c>
      <c r="G13" s="64">
        <v>20</v>
      </c>
      <c r="H13" s="64"/>
      <c r="I13" s="64">
        <v>20</v>
      </c>
      <c r="J13" s="64">
        <v>10</v>
      </c>
      <c r="K13" s="64"/>
      <c r="L13" s="64">
        <f t="shared" si="0"/>
        <v>70</v>
      </c>
      <c r="M13" s="64">
        <v>10</v>
      </c>
      <c r="N13" s="64">
        <v>20</v>
      </c>
      <c r="O13" s="64">
        <v>20</v>
      </c>
      <c r="P13" s="64">
        <v>10</v>
      </c>
      <c r="Q13" s="163">
        <f t="shared" si="1"/>
        <v>130</v>
      </c>
      <c r="R13" s="153" t="s">
        <v>3</v>
      </c>
      <c r="S13" s="153"/>
      <c r="T13" s="154"/>
      <c r="U13" s="154"/>
      <c r="V13" s="154"/>
      <c r="W13" s="154">
        <v>20</v>
      </c>
      <c r="X13" s="155">
        <f t="shared" si="3"/>
        <v>20</v>
      </c>
    </row>
    <row r="14" spans="1:24">
      <c r="A14" s="74">
        <v>10</v>
      </c>
      <c r="B14" s="84" t="s">
        <v>14</v>
      </c>
      <c r="C14" s="88" t="s">
        <v>33</v>
      </c>
      <c r="D14" s="75">
        <v>60</v>
      </c>
      <c r="E14" s="75">
        <v>15</v>
      </c>
      <c r="F14" s="75"/>
      <c r="G14" s="75"/>
      <c r="H14" s="75">
        <v>5</v>
      </c>
      <c r="I14" s="75"/>
      <c r="J14" s="75"/>
      <c r="K14" s="75"/>
      <c r="L14" s="75">
        <f t="shared" si="0"/>
        <v>5</v>
      </c>
      <c r="M14" s="75"/>
      <c r="N14" s="75">
        <v>5</v>
      </c>
      <c r="O14" s="75">
        <v>5</v>
      </c>
      <c r="P14" s="75">
        <v>0</v>
      </c>
      <c r="Q14" s="163">
        <f t="shared" si="1"/>
        <v>15</v>
      </c>
      <c r="R14" s="153" t="s">
        <v>247</v>
      </c>
      <c r="S14" s="153"/>
      <c r="T14" s="154"/>
      <c r="U14" s="154"/>
      <c r="V14" s="154"/>
      <c r="W14" s="154">
        <v>60</v>
      </c>
      <c r="X14" s="155">
        <f t="shared" si="3"/>
        <v>60</v>
      </c>
    </row>
    <row r="15" spans="1:24">
      <c r="A15" s="63">
        <v>10</v>
      </c>
      <c r="B15" s="83" t="s">
        <v>6</v>
      </c>
      <c r="C15" s="87" t="s">
        <v>25</v>
      </c>
      <c r="D15" s="64">
        <v>510</v>
      </c>
      <c r="E15" s="64">
        <v>70</v>
      </c>
      <c r="F15" s="64">
        <v>10</v>
      </c>
      <c r="G15" s="64"/>
      <c r="H15" s="64">
        <v>10</v>
      </c>
      <c r="I15" s="64"/>
      <c r="J15" s="64"/>
      <c r="K15" s="64">
        <v>10</v>
      </c>
      <c r="L15" s="64">
        <f t="shared" si="0"/>
        <v>30</v>
      </c>
      <c r="M15" s="64">
        <v>5</v>
      </c>
      <c r="N15" s="64">
        <v>5</v>
      </c>
      <c r="O15" s="64">
        <v>20</v>
      </c>
      <c r="P15" s="64">
        <v>10</v>
      </c>
      <c r="Q15" s="163">
        <f t="shared" si="1"/>
        <v>70</v>
      </c>
      <c r="R15" s="153" t="s">
        <v>199</v>
      </c>
      <c r="S15" s="153"/>
      <c r="T15" s="154"/>
      <c r="U15" s="154"/>
      <c r="V15" s="154"/>
      <c r="W15" s="154"/>
      <c r="X15" s="155">
        <f t="shared" si="3"/>
        <v>0</v>
      </c>
    </row>
    <row r="16" spans="1:24">
      <c r="A16" s="74">
        <v>10</v>
      </c>
      <c r="B16" s="84" t="s">
        <v>7</v>
      </c>
      <c r="C16" s="88" t="s">
        <v>26</v>
      </c>
      <c r="D16" s="75">
        <v>4410</v>
      </c>
      <c r="E16" s="75">
        <v>520</v>
      </c>
      <c r="F16" s="75">
        <v>40</v>
      </c>
      <c r="G16" s="75">
        <v>40</v>
      </c>
      <c r="H16" s="75">
        <v>100</v>
      </c>
      <c r="I16" s="75">
        <v>30</v>
      </c>
      <c r="J16" s="75">
        <v>20</v>
      </c>
      <c r="K16" s="75">
        <v>70</v>
      </c>
      <c r="L16" s="75">
        <f t="shared" si="0"/>
        <v>300</v>
      </c>
      <c r="M16" s="75">
        <v>40</v>
      </c>
      <c r="N16" s="75">
        <v>60</v>
      </c>
      <c r="O16" s="75">
        <v>80</v>
      </c>
      <c r="P16" s="75">
        <v>40</v>
      </c>
      <c r="Q16" s="163">
        <f t="shared" si="1"/>
        <v>520</v>
      </c>
      <c r="R16" s="146" t="s">
        <v>277</v>
      </c>
      <c r="S16" s="145"/>
      <c r="T16" s="145"/>
      <c r="U16" s="145"/>
      <c r="V16" s="145"/>
      <c r="W16" s="145"/>
      <c r="X16" s="146"/>
    </row>
    <row r="17" spans="1:25">
      <c r="A17" s="63">
        <v>10</v>
      </c>
      <c r="B17" s="83" t="s">
        <v>18</v>
      </c>
      <c r="C17" s="87" t="s">
        <v>38</v>
      </c>
      <c r="D17" s="64">
        <v>1460</v>
      </c>
      <c r="E17" s="64">
        <v>130</v>
      </c>
      <c r="F17" s="64">
        <v>20</v>
      </c>
      <c r="G17" s="64">
        <v>10</v>
      </c>
      <c r="H17" s="64">
        <v>20</v>
      </c>
      <c r="I17" s="64">
        <v>10</v>
      </c>
      <c r="J17" s="64"/>
      <c r="K17" s="64">
        <v>10</v>
      </c>
      <c r="L17" s="64">
        <f t="shared" si="0"/>
        <v>70</v>
      </c>
      <c r="M17" s="64">
        <v>10</v>
      </c>
      <c r="N17" s="64">
        <v>20</v>
      </c>
      <c r="O17" s="64">
        <v>20</v>
      </c>
      <c r="P17" s="64">
        <v>10</v>
      </c>
      <c r="Q17" s="163">
        <f t="shared" si="1"/>
        <v>130</v>
      </c>
      <c r="R17" s="153" t="s">
        <v>13</v>
      </c>
      <c r="S17" s="153"/>
      <c r="T17" s="154"/>
      <c r="U17" s="154"/>
      <c r="V17" s="154"/>
      <c r="W17" s="154"/>
      <c r="X17" s="155">
        <f t="shared" ref="X17:X23" si="4">SUM(S17:W17)</f>
        <v>0</v>
      </c>
    </row>
    <row r="18" spans="1:25">
      <c r="A18" s="74">
        <v>5</v>
      </c>
      <c r="B18" s="84" t="s">
        <v>8</v>
      </c>
      <c r="C18" s="88" t="s">
        <v>233</v>
      </c>
      <c r="D18" s="75">
        <v>1</v>
      </c>
      <c r="E18" s="75">
        <v>0</v>
      </c>
      <c r="F18" s="75"/>
      <c r="G18" s="75"/>
      <c r="H18" s="75"/>
      <c r="I18" s="75"/>
      <c r="J18" s="75"/>
      <c r="K18" s="75"/>
      <c r="L18" s="75">
        <f t="shared" si="0"/>
        <v>0</v>
      </c>
      <c r="M18" s="75"/>
      <c r="N18" s="75"/>
      <c r="O18" s="75"/>
      <c r="P18" s="75"/>
      <c r="Q18" s="163">
        <f t="shared" si="1"/>
        <v>0</v>
      </c>
      <c r="R18" s="153" t="s">
        <v>165</v>
      </c>
      <c r="S18" s="153"/>
      <c r="T18" s="154">
        <v>5</v>
      </c>
      <c r="U18" s="154"/>
      <c r="V18" s="154"/>
      <c r="W18" s="154"/>
      <c r="X18" s="155">
        <f t="shared" si="4"/>
        <v>5</v>
      </c>
    </row>
    <row r="19" spans="1:25">
      <c r="A19" s="63">
        <v>4</v>
      </c>
      <c r="B19" s="83" t="s">
        <v>87</v>
      </c>
      <c r="C19" s="87" t="s">
        <v>88</v>
      </c>
      <c r="D19" s="64">
        <v>8</v>
      </c>
      <c r="E19" s="64">
        <v>4</v>
      </c>
      <c r="F19" s="64"/>
      <c r="G19" s="64"/>
      <c r="H19" s="64">
        <v>4</v>
      </c>
      <c r="I19" s="64"/>
      <c r="J19" s="64"/>
      <c r="K19" s="64"/>
      <c r="L19" s="64">
        <f t="shared" si="0"/>
        <v>4</v>
      </c>
      <c r="M19" s="64"/>
      <c r="N19" s="64"/>
      <c r="O19" s="64"/>
      <c r="P19" s="64"/>
      <c r="Q19" s="163">
        <f t="shared" si="1"/>
        <v>4</v>
      </c>
      <c r="R19" s="153" t="s">
        <v>190</v>
      </c>
      <c r="S19" s="153"/>
      <c r="T19" s="154"/>
      <c r="U19" s="154"/>
      <c r="V19" s="154"/>
      <c r="W19" s="154"/>
      <c r="X19" s="155">
        <f t="shared" si="4"/>
        <v>0</v>
      </c>
    </row>
    <row r="20" spans="1:25">
      <c r="A20" s="74">
        <v>10</v>
      </c>
      <c r="B20" s="84" t="s">
        <v>72</v>
      </c>
      <c r="C20" s="88" t="s">
        <v>75</v>
      </c>
      <c r="D20" s="75">
        <v>27</v>
      </c>
      <c r="E20" s="75">
        <v>0</v>
      </c>
      <c r="F20" s="75"/>
      <c r="G20" s="75"/>
      <c r="H20" s="75"/>
      <c r="I20" s="75"/>
      <c r="J20" s="75"/>
      <c r="K20" s="75"/>
      <c r="L20" s="75">
        <f t="shared" si="0"/>
        <v>0</v>
      </c>
      <c r="M20" s="75"/>
      <c r="N20" s="75"/>
      <c r="O20" s="75"/>
      <c r="P20" s="75"/>
      <c r="Q20" s="163">
        <f t="shared" si="1"/>
        <v>0</v>
      </c>
      <c r="R20" s="156" t="s">
        <v>7</v>
      </c>
      <c r="S20" s="156"/>
      <c r="T20" s="157"/>
      <c r="U20" s="157"/>
      <c r="V20" s="157"/>
      <c r="W20" s="157"/>
      <c r="X20" s="158">
        <f t="shared" si="4"/>
        <v>0</v>
      </c>
    </row>
    <row r="21" spans="1:25">
      <c r="A21" s="63">
        <v>10</v>
      </c>
      <c r="B21" s="83" t="s">
        <v>2</v>
      </c>
      <c r="C21" s="87" t="s">
        <v>21</v>
      </c>
      <c r="D21" s="64">
        <v>3</v>
      </c>
      <c r="E21" s="64">
        <v>0</v>
      </c>
      <c r="F21" s="64"/>
      <c r="G21" s="64"/>
      <c r="H21" s="64"/>
      <c r="I21" s="64"/>
      <c r="J21" s="64"/>
      <c r="K21" s="64"/>
      <c r="L21" s="64">
        <f t="shared" si="0"/>
        <v>0</v>
      </c>
      <c r="M21" s="64"/>
      <c r="N21" s="64"/>
      <c r="O21" s="64"/>
      <c r="P21" s="64"/>
      <c r="Q21" s="163">
        <f t="shared" si="1"/>
        <v>0</v>
      </c>
      <c r="R21" s="153" t="s">
        <v>3</v>
      </c>
      <c r="S21" s="153"/>
      <c r="T21" s="154"/>
      <c r="U21" s="154"/>
      <c r="V21" s="154"/>
      <c r="W21" s="154"/>
      <c r="X21" s="155">
        <f t="shared" si="4"/>
        <v>0</v>
      </c>
      <c r="Y21" s="162"/>
    </row>
    <row r="22" spans="1:25">
      <c r="A22" s="74">
        <v>10</v>
      </c>
      <c r="B22" s="84" t="s">
        <v>3</v>
      </c>
      <c r="C22" s="88" t="s">
        <v>22</v>
      </c>
      <c r="D22" s="75">
        <v>380</v>
      </c>
      <c r="E22" s="75">
        <v>70</v>
      </c>
      <c r="F22" s="75">
        <v>10</v>
      </c>
      <c r="G22" s="75">
        <v>5</v>
      </c>
      <c r="H22" s="75">
        <v>10</v>
      </c>
      <c r="I22" s="75">
        <v>5</v>
      </c>
      <c r="J22" s="75">
        <v>5</v>
      </c>
      <c r="K22" s="75">
        <v>5</v>
      </c>
      <c r="L22" s="75">
        <f t="shared" si="0"/>
        <v>40</v>
      </c>
      <c r="M22" s="75">
        <v>5</v>
      </c>
      <c r="N22" s="75">
        <v>5</v>
      </c>
      <c r="O22" s="75">
        <v>10</v>
      </c>
      <c r="P22" s="75">
        <v>10</v>
      </c>
      <c r="Q22" s="163">
        <f t="shared" si="1"/>
        <v>70</v>
      </c>
      <c r="R22" s="153" t="s">
        <v>247</v>
      </c>
      <c r="S22" s="153"/>
      <c r="T22" s="154"/>
      <c r="U22" s="154"/>
      <c r="V22" s="154"/>
      <c r="W22" s="154"/>
      <c r="X22" s="155">
        <f t="shared" si="4"/>
        <v>0</v>
      </c>
      <c r="Y22" s="162"/>
    </row>
    <row r="23" spans="1:25">
      <c r="A23" s="63">
        <v>1</v>
      </c>
      <c r="B23" s="83" t="s">
        <v>115</v>
      </c>
      <c r="C23" s="87" t="s">
        <v>188</v>
      </c>
      <c r="D23" s="64">
        <v>75</v>
      </c>
      <c r="E23" s="64">
        <v>14</v>
      </c>
      <c r="F23" s="64">
        <v>4</v>
      </c>
      <c r="G23" s="64">
        <v>4</v>
      </c>
      <c r="H23" s="64">
        <v>4</v>
      </c>
      <c r="I23" s="64">
        <v>2</v>
      </c>
      <c r="J23" s="64"/>
      <c r="K23" s="64"/>
      <c r="L23" s="64">
        <f t="shared" si="0"/>
        <v>14</v>
      </c>
      <c r="M23" s="64"/>
      <c r="N23" s="64"/>
      <c r="O23" s="64"/>
      <c r="P23" s="64"/>
      <c r="Q23" s="163">
        <f t="shared" si="1"/>
        <v>14</v>
      </c>
      <c r="R23" s="153" t="s">
        <v>199</v>
      </c>
      <c r="S23" s="153"/>
      <c r="T23" s="154"/>
      <c r="U23" s="154"/>
      <c r="V23" s="154"/>
      <c r="W23" s="154"/>
      <c r="X23" s="155">
        <f t="shared" si="4"/>
        <v>0</v>
      </c>
    </row>
    <row r="24" spans="1:25">
      <c r="A24" s="74">
        <v>10</v>
      </c>
      <c r="B24" s="84" t="s">
        <v>9</v>
      </c>
      <c r="C24" s="88" t="s">
        <v>28</v>
      </c>
      <c r="D24" s="75">
        <v>340</v>
      </c>
      <c r="E24" s="75">
        <v>65</v>
      </c>
      <c r="F24" s="75">
        <v>10</v>
      </c>
      <c r="G24" s="75">
        <v>5</v>
      </c>
      <c r="H24" s="75">
        <v>10</v>
      </c>
      <c r="I24" s="75">
        <v>5</v>
      </c>
      <c r="J24" s="75"/>
      <c r="K24" s="75">
        <v>5</v>
      </c>
      <c r="L24" s="75">
        <f t="shared" si="0"/>
        <v>35</v>
      </c>
      <c r="M24" s="75">
        <v>5</v>
      </c>
      <c r="N24" s="75">
        <v>5</v>
      </c>
      <c r="O24" s="75">
        <v>10</v>
      </c>
      <c r="P24" s="75">
        <v>10</v>
      </c>
      <c r="Q24" s="163">
        <f t="shared" si="1"/>
        <v>65</v>
      </c>
    </row>
    <row r="25" spans="1:25">
      <c r="A25" s="63">
        <v>5</v>
      </c>
      <c r="B25" s="83" t="s">
        <v>15</v>
      </c>
      <c r="C25" s="87" t="s">
        <v>34</v>
      </c>
      <c r="D25" s="64">
        <v>15</v>
      </c>
      <c r="E25" s="64">
        <v>5</v>
      </c>
      <c r="F25" s="64"/>
      <c r="G25" s="64">
        <v>5</v>
      </c>
      <c r="H25" s="64"/>
      <c r="I25" s="64"/>
      <c r="J25" s="64"/>
      <c r="K25" s="64"/>
      <c r="L25" s="64">
        <f t="shared" si="0"/>
        <v>5</v>
      </c>
      <c r="M25" s="64"/>
      <c r="N25" s="64"/>
      <c r="O25" s="64"/>
      <c r="P25" s="64"/>
      <c r="Q25" s="163">
        <f t="shared" si="1"/>
        <v>5</v>
      </c>
    </row>
    <row r="26" spans="1:25">
      <c r="A26" s="74">
        <v>10</v>
      </c>
      <c r="B26" s="84" t="s">
        <v>207</v>
      </c>
      <c r="C26" s="88" t="s">
        <v>189</v>
      </c>
      <c r="D26" s="75">
        <v>3</v>
      </c>
      <c r="E26" s="75">
        <v>0</v>
      </c>
      <c r="F26" s="75"/>
      <c r="G26" s="75"/>
      <c r="H26" s="75"/>
      <c r="I26" s="75"/>
      <c r="J26" s="75"/>
      <c r="K26" s="75"/>
      <c r="L26" s="75">
        <f t="shared" si="0"/>
        <v>0</v>
      </c>
      <c r="M26" s="75"/>
      <c r="N26" s="75"/>
      <c r="O26" s="75"/>
      <c r="P26" s="75"/>
      <c r="Q26" s="163">
        <f t="shared" si="1"/>
        <v>0</v>
      </c>
    </row>
    <row r="27" spans="1:25">
      <c r="A27" s="63">
        <v>10</v>
      </c>
      <c r="B27" s="83" t="s">
        <v>5</v>
      </c>
      <c r="C27" s="87" t="s">
        <v>24</v>
      </c>
      <c r="D27" s="64">
        <v>230</v>
      </c>
      <c r="E27" s="64">
        <v>45</v>
      </c>
      <c r="F27" s="64">
        <v>5</v>
      </c>
      <c r="G27" s="64">
        <v>5</v>
      </c>
      <c r="H27" s="64">
        <v>10</v>
      </c>
      <c r="I27" s="64">
        <v>5</v>
      </c>
      <c r="J27" s="64"/>
      <c r="K27" s="64"/>
      <c r="L27" s="64">
        <f t="shared" si="0"/>
        <v>25</v>
      </c>
      <c r="M27" s="64">
        <v>5</v>
      </c>
      <c r="N27" s="64">
        <v>5</v>
      </c>
      <c r="O27" s="64">
        <v>5</v>
      </c>
      <c r="P27" s="64">
        <v>5</v>
      </c>
      <c r="Q27" s="163">
        <f t="shared" si="1"/>
        <v>45</v>
      </c>
    </row>
    <row r="28" spans="1:25">
      <c r="A28" s="74">
        <v>1</v>
      </c>
      <c r="B28" s="84" t="s">
        <v>227</v>
      </c>
      <c r="C28" s="88" t="s">
        <v>170</v>
      </c>
      <c r="D28" s="75">
        <v>50</v>
      </c>
      <c r="E28" s="75">
        <v>10</v>
      </c>
      <c r="F28" s="75">
        <v>2</v>
      </c>
      <c r="G28" s="75">
        <v>4</v>
      </c>
      <c r="H28" s="75">
        <v>2</v>
      </c>
      <c r="I28" s="75">
        <v>2</v>
      </c>
      <c r="J28" s="75"/>
      <c r="K28" s="75"/>
      <c r="L28" s="75">
        <f t="shared" si="0"/>
        <v>10</v>
      </c>
      <c r="M28" s="75"/>
      <c r="N28" s="75"/>
      <c r="O28" s="75"/>
      <c r="P28" s="75"/>
      <c r="Q28" s="163">
        <f t="shared" si="1"/>
        <v>10</v>
      </c>
    </row>
    <row r="29" spans="1:25" s="162" customFormat="1" ht="14.4" thickBot="1">
      <c r="A29" s="63">
        <v>10</v>
      </c>
      <c r="B29" s="83" t="s">
        <v>193</v>
      </c>
      <c r="C29" s="87" t="s">
        <v>29</v>
      </c>
      <c r="D29" s="64">
        <v>230</v>
      </c>
      <c r="E29" s="64">
        <v>50</v>
      </c>
      <c r="F29" s="64">
        <v>10</v>
      </c>
      <c r="G29" s="64">
        <v>40</v>
      </c>
      <c r="H29" s="64"/>
      <c r="I29" s="64"/>
      <c r="J29" s="64"/>
      <c r="K29" s="64"/>
      <c r="L29" s="64">
        <f t="shared" si="0"/>
        <v>50</v>
      </c>
      <c r="M29" s="64"/>
      <c r="N29" s="64"/>
      <c r="O29" s="64"/>
      <c r="P29" s="64"/>
      <c r="Q29" s="163">
        <f t="shared" si="1"/>
        <v>50</v>
      </c>
      <c r="R29" s="22"/>
      <c r="S29" s="22"/>
      <c r="T29" s="22"/>
      <c r="U29" s="22"/>
      <c r="V29" s="22"/>
      <c r="W29" s="22"/>
      <c r="X29" s="22"/>
      <c r="Y29" s="22"/>
    </row>
    <row r="30" spans="1:25" s="162" customFormat="1" ht="14.4" thickBot="1">
      <c r="A30" s="66"/>
      <c r="B30" s="66"/>
      <c r="C30" s="66"/>
      <c r="D30" s="104">
        <f>SUM(D2:D29)</f>
        <v>19194</v>
      </c>
      <c r="E30" s="104">
        <f t="shared" ref="E30:Q30" si="5">SUM(E2:E29)</f>
        <v>3813</v>
      </c>
      <c r="F30" s="104">
        <f t="shared" si="5"/>
        <v>531</v>
      </c>
      <c r="G30" s="104">
        <f t="shared" si="5"/>
        <v>443</v>
      </c>
      <c r="H30" s="104">
        <f t="shared" si="5"/>
        <v>675</v>
      </c>
      <c r="I30" s="104">
        <f t="shared" si="5"/>
        <v>274</v>
      </c>
      <c r="J30" s="104">
        <f t="shared" si="5"/>
        <v>115</v>
      </c>
      <c r="K30" s="104">
        <f t="shared" si="5"/>
        <v>295</v>
      </c>
      <c r="L30" s="104">
        <f t="shared" si="5"/>
        <v>2333</v>
      </c>
      <c r="M30" s="104">
        <f t="shared" si="5"/>
        <v>230</v>
      </c>
      <c r="N30" s="104">
        <f t="shared" si="5"/>
        <v>290</v>
      </c>
      <c r="O30" s="104">
        <f t="shared" si="5"/>
        <v>720</v>
      </c>
      <c r="P30" s="104">
        <f t="shared" si="5"/>
        <v>240</v>
      </c>
      <c r="Q30" s="104">
        <f t="shared" si="5"/>
        <v>3813</v>
      </c>
      <c r="R30" s="22"/>
      <c r="S30" s="22"/>
      <c r="T30" s="22"/>
      <c r="U30" s="22"/>
      <c r="V30" s="22"/>
      <c r="W30" s="22"/>
      <c r="X30" s="22"/>
      <c r="Y30" s="22"/>
    </row>
  </sheetData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7"/>
  <sheetViews>
    <sheetView workbookViewId="0">
      <pane ySplit="1" topLeftCell="A14" activePane="bottomLeft" state="frozen"/>
      <selection pane="bottomLeft" activeCell="F30" sqref="F30:J30"/>
    </sheetView>
  </sheetViews>
  <sheetFormatPr defaultRowHeight="15.6" customHeight="1"/>
  <cols>
    <col min="1" max="1" width="8.88671875" style="22"/>
    <col min="2" max="2" width="27.77734375" style="22" bestFit="1" customWidth="1"/>
    <col min="3" max="3" width="18.6640625" style="22" bestFit="1" customWidth="1"/>
    <col min="4" max="4" width="6.5546875" style="22" bestFit="1" customWidth="1"/>
    <col min="5" max="5" width="12.44140625" style="22" customWidth="1"/>
    <col min="6" max="16384" width="8.88671875" style="22"/>
  </cols>
  <sheetData>
    <row r="1" spans="1:18" ht="15.6" customHeight="1" thickBot="1">
      <c r="A1" s="65" t="s">
        <v>111</v>
      </c>
      <c r="B1" s="66" t="s">
        <v>78</v>
      </c>
      <c r="C1" s="66" t="s">
        <v>110</v>
      </c>
      <c r="D1" s="66" t="s">
        <v>80</v>
      </c>
      <c r="E1" s="67" t="s">
        <v>65</v>
      </c>
      <c r="F1" s="115" t="s">
        <v>81</v>
      </c>
      <c r="G1" s="115" t="s">
        <v>68</v>
      </c>
      <c r="H1" s="115" t="s">
        <v>50</v>
      </c>
      <c r="I1" s="115" t="s">
        <v>51</v>
      </c>
      <c r="J1" s="115" t="s">
        <v>82</v>
      </c>
      <c r="K1" s="115" t="s">
        <v>282</v>
      </c>
      <c r="L1" s="115" t="s">
        <v>283</v>
      </c>
      <c r="M1" s="91" t="s">
        <v>86</v>
      </c>
      <c r="N1" s="92" t="s">
        <v>83</v>
      </c>
      <c r="O1" s="93" t="s">
        <v>44</v>
      </c>
      <c r="P1" s="94" t="s">
        <v>84</v>
      </c>
      <c r="Q1" s="95" t="s">
        <v>85</v>
      </c>
    </row>
    <row r="2" spans="1:18" ht="15.6" customHeight="1">
      <c r="A2" s="74">
        <v>10</v>
      </c>
      <c r="B2" s="84" t="s">
        <v>272</v>
      </c>
      <c r="C2" s="88" t="s">
        <v>274</v>
      </c>
      <c r="D2" s="75">
        <v>380</v>
      </c>
      <c r="E2" s="75">
        <v>85</v>
      </c>
      <c r="F2" s="75">
        <v>10</v>
      </c>
      <c r="G2" s="75">
        <v>10</v>
      </c>
      <c r="H2" s="75">
        <v>20</v>
      </c>
      <c r="I2" s="75"/>
      <c r="J2" s="75"/>
      <c r="K2" s="75">
        <v>10</v>
      </c>
      <c r="L2" s="75"/>
      <c r="M2" s="75">
        <f t="shared" ref="M2:M36" si="0">SUM(F2:L2)</f>
        <v>50</v>
      </c>
      <c r="N2" s="75">
        <v>10</v>
      </c>
      <c r="O2" s="75">
        <v>5</v>
      </c>
      <c r="P2" s="75">
        <v>14</v>
      </c>
      <c r="Q2" s="75">
        <v>6</v>
      </c>
      <c r="R2" s="163">
        <f>SUM(F2:L2,N2:Q2)</f>
        <v>85</v>
      </c>
    </row>
    <row r="3" spans="1:18" ht="15.6" customHeight="1">
      <c r="A3" s="63">
        <v>10</v>
      </c>
      <c r="B3" s="83" t="s">
        <v>257</v>
      </c>
      <c r="C3" s="87" t="s">
        <v>259</v>
      </c>
      <c r="D3" s="64">
        <v>760</v>
      </c>
      <c r="E3" s="64">
        <v>170</v>
      </c>
      <c r="F3" s="64">
        <v>30</v>
      </c>
      <c r="G3" s="64">
        <v>20</v>
      </c>
      <c r="H3" s="64">
        <v>30</v>
      </c>
      <c r="I3" s="64">
        <v>20</v>
      </c>
      <c r="J3" s="64">
        <v>10</v>
      </c>
      <c r="K3" s="64"/>
      <c r="L3" s="64"/>
      <c r="M3" s="64">
        <f t="shared" si="0"/>
        <v>110</v>
      </c>
      <c r="N3" s="64">
        <v>10</v>
      </c>
      <c r="O3" s="64">
        <v>10</v>
      </c>
      <c r="P3" s="64">
        <v>28</v>
      </c>
      <c r="Q3" s="64">
        <v>12</v>
      </c>
      <c r="R3" s="163">
        <f t="shared" ref="R3:R36" si="1">SUM(F3:L3,N3:Q3)</f>
        <v>170</v>
      </c>
    </row>
    <row r="4" spans="1:18" ht="15.6" customHeight="1">
      <c r="A4" s="74">
        <v>10</v>
      </c>
      <c r="B4" s="84" t="s">
        <v>258</v>
      </c>
      <c r="C4" s="88" t="s">
        <v>260</v>
      </c>
      <c r="D4" s="75">
        <v>3600</v>
      </c>
      <c r="E4" s="75">
        <v>790</v>
      </c>
      <c r="F4" s="75">
        <v>150</v>
      </c>
      <c r="G4" s="75">
        <v>100</v>
      </c>
      <c r="H4" s="75">
        <v>160</v>
      </c>
      <c r="I4" s="75">
        <v>80</v>
      </c>
      <c r="J4" s="75">
        <v>40</v>
      </c>
      <c r="K4" s="75">
        <v>20</v>
      </c>
      <c r="L4" s="75"/>
      <c r="M4" s="75">
        <f t="shared" si="0"/>
        <v>550</v>
      </c>
      <c r="N4" s="75">
        <v>60</v>
      </c>
      <c r="O4" s="75">
        <v>60</v>
      </c>
      <c r="P4" s="75">
        <v>90</v>
      </c>
      <c r="Q4" s="75">
        <v>30</v>
      </c>
      <c r="R4" s="163">
        <f t="shared" si="1"/>
        <v>790</v>
      </c>
    </row>
    <row r="5" spans="1:18" ht="15.6" customHeight="1">
      <c r="A5" s="63"/>
      <c r="B5" s="83" t="s">
        <v>273</v>
      </c>
      <c r="C5" s="87" t="s">
        <v>275</v>
      </c>
      <c r="D5" s="64">
        <v>1480</v>
      </c>
      <c r="E5" s="64">
        <v>325</v>
      </c>
      <c r="F5" s="64">
        <v>60</v>
      </c>
      <c r="G5" s="64">
        <v>40</v>
      </c>
      <c r="H5" s="64">
        <v>60</v>
      </c>
      <c r="I5" s="64">
        <v>40</v>
      </c>
      <c r="J5" s="64">
        <v>10</v>
      </c>
      <c r="K5" s="64">
        <v>10</v>
      </c>
      <c r="L5" s="64"/>
      <c r="M5" s="64">
        <f t="shared" si="0"/>
        <v>220</v>
      </c>
      <c r="N5" s="64">
        <v>20</v>
      </c>
      <c r="O5" s="64">
        <v>30</v>
      </c>
      <c r="P5" s="64">
        <v>40</v>
      </c>
      <c r="Q5" s="64">
        <v>15</v>
      </c>
      <c r="R5" s="163">
        <f t="shared" si="1"/>
        <v>325</v>
      </c>
    </row>
    <row r="6" spans="1:18" ht="15.6" customHeight="1">
      <c r="A6" s="74">
        <v>5</v>
      </c>
      <c r="B6" s="84" t="s">
        <v>20</v>
      </c>
      <c r="C6" s="88" t="s">
        <v>40</v>
      </c>
      <c r="D6" s="75">
        <v>780</v>
      </c>
      <c r="E6" s="75">
        <v>205</v>
      </c>
      <c r="F6" s="75">
        <v>30</v>
      </c>
      <c r="G6" s="75">
        <v>20</v>
      </c>
      <c r="H6" s="75">
        <v>40</v>
      </c>
      <c r="I6" s="75">
        <v>20</v>
      </c>
      <c r="J6" s="75">
        <v>10</v>
      </c>
      <c r="K6" s="75"/>
      <c r="L6" s="75"/>
      <c r="M6" s="75">
        <f t="shared" si="0"/>
        <v>120</v>
      </c>
      <c r="N6" s="75">
        <v>20</v>
      </c>
      <c r="O6" s="75">
        <v>10</v>
      </c>
      <c r="P6" s="75">
        <v>45</v>
      </c>
      <c r="Q6" s="75">
        <v>10</v>
      </c>
      <c r="R6" s="163">
        <f t="shared" si="1"/>
        <v>205</v>
      </c>
    </row>
    <row r="7" spans="1:18" ht="15.6" customHeight="1">
      <c r="A7" s="63">
        <v>10</v>
      </c>
      <c r="B7" s="83" t="s">
        <v>12</v>
      </c>
      <c r="C7" s="87" t="s">
        <v>31</v>
      </c>
      <c r="D7" s="64">
        <v>400</v>
      </c>
      <c r="E7" s="64">
        <v>105</v>
      </c>
      <c r="F7" s="64">
        <v>10</v>
      </c>
      <c r="G7" s="64">
        <v>10</v>
      </c>
      <c r="H7" s="64">
        <v>10</v>
      </c>
      <c r="I7" s="64">
        <v>10</v>
      </c>
      <c r="J7" s="64">
        <v>10</v>
      </c>
      <c r="K7" s="64">
        <v>10</v>
      </c>
      <c r="L7" s="64"/>
      <c r="M7" s="64">
        <f t="shared" si="0"/>
        <v>60</v>
      </c>
      <c r="N7" s="64">
        <v>10</v>
      </c>
      <c r="O7" s="64">
        <v>5</v>
      </c>
      <c r="P7" s="64">
        <v>20</v>
      </c>
      <c r="Q7" s="64">
        <v>10</v>
      </c>
      <c r="R7" s="163">
        <f t="shared" si="1"/>
        <v>105</v>
      </c>
    </row>
    <row r="8" spans="1:18" ht="15.6" customHeight="1">
      <c r="A8" s="74">
        <v>10</v>
      </c>
      <c r="B8" s="84" t="s">
        <v>13</v>
      </c>
      <c r="C8" s="88" t="s">
        <v>32</v>
      </c>
      <c r="D8" s="75">
        <v>990</v>
      </c>
      <c r="E8" s="75">
        <v>260</v>
      </c>
      <c r="F8" s="75">
        <v>40</v>
      </c>
      <c r="G8" s="75">
        <v>30</v>
      </c>
      <c r="H8" s="75">
        <v>40</v>
      </c>
      <c r="I8" s="75">
        <v>20</v>
      </c>
      <c r="J8" s="75">
        <v>10</v>
      </c>
      <c r="K8" s="75">
        <v>10</v>
      </c>
      <c r="L8" s="75"/>
      <c r="M8" s="75">
        <f t="shared" si="0"/>
        <v>150</v>
      </c>
      <c r="N8" s="75">
        <v>20</v>
      </c>
      <c r="O8" s="75">
        <v>20</v>
      </c>
      <c r="P8" s="75">
        <v>55</v>
      </c>
      <c r="Q8" s="75">
        <v>15</v>
      </c>
      <c r="R8" s="163">
        <f t="shared" si="1"/>
        <v>260</v>
      </c>
    </row>
    <row r="9" spans="1:18" ht="15.6" customHeight="1">
      <c r="A9" s="63">
        <v>10</v>
      </c>
      <c r="B9" s="83" t="s">
        <v>70</v>
      </c>
      <c r="C9" s="87" t="s">
        <v>249</v>
      </c>
      <c r="D9" s="64">
        <v>1020</v>
      </c>
      <c r="E9" s="64">
        <v>270</v>
      </c>
      <c r="F9" s="64">
        <v>40</v>
      </c>
      <c r="G9" s="64">
        <v>30</v>
      </c>
      <c r="H9" s="64">
        <v>50</v>
      </c>
      <c r="I9" s="64">
        <v>20</v>
      </c>
      <c r="J9" s="64">
        <v>10</v>
      </c>
      <c r="K9" s="64">
        <v>10</v>
      </c>
      <c r="L9" s="64"/>
      <c r="M9" s="64">
        <f t="shared" si="0"/>
        <v>160</v>
      </c>
      <c r="N9" s="64">
        <v>20</v>
      </c>
      <c r="O9" s="64">
        <v>15</v>
      </c>
      <c r="P9" s="64">
        <v>60</v>
      </c>
      <c r="Q9" s="64">
        <v>15</v>
      </c>
      <c r="R9" s="163">
        <f t="shared" si="1"/>
        <v>270</v>
      </c>
    </row>
    <row r="10" spans="1:18" ht="15.6" customHeight="1">
      <c r="A10" s="74">
        <v>10</v>
      </c>
      <c r="B10" s="84" t="s">
        <v>231</v>
      </c>
      <c r="C10" s="88" t="s">
        <v>232</v>
      </c>
      <c r="D10" s="75">
        <v>790</v>
      </c>
      <c r="E10" s="75">
        <v>210</v>
      </c>
      <c r="F10" s="75">
        <v>20</v>
      </c>
      <c r="G10" s="75">
        <v>20</v>
      </c>
      <c r="H10" s="75">
        <v>30</v>
      </c>
      <c r="I10" s="75">
        <v>20</v>
      </c>
      <c r="J10" s="75">
        <v>20</v>
      </c>
      <c r="K10" s="75">
        <v>10</v>
      </c>
      <c r="L10" s="75"/>
      <c r="M10" s="75">
        <f t="shared" si="0"/>
        <v>120</v>
      </c>
      <c r="N10" s="75">
        <v>20</v>
      </c>
      <c r="O10" s="75">
        <v>10</v>
      </c>
      <c r="P10" s="75">
        <v>45</v>
      </c>
      <c r="Q10" s="75">
        <v>15</v>
      </c>
      <c r="R10" s="163">
        <f t="shared" si="1"/>
        <v>210</v>
      </c>
    </row>
    <row r="11" spans="1:18" ht="15.6" customHeight="1">
      <c r="A11" s="63">
        <v>5</v>
      </c>
      <c r="B11" s="83" t="s">
        <v>17</v>
      </c>
      <c r="C11" s="87" t="s">
        <v>37</v>
      </c>
      <c r="D11" s="64">
        <v>1155</v>
      </c>
      <c r="E11" s="64">
        <v>210</v>
      </c>
      <c r="F11" s="64">
        <v>30</v>
      </c>
      <c r="G11" s="64">
        <v>30</v>
      </c>
      <c r="H11" s="64">
        <v>30</v>
      </c>
      <c r="I11" s="64">
        <v>20</v>
      </c>
      <c r="J11" s="64">
        <v>20</v>
      </c>
      <c r="K11" s="64"/>
      <c r="L11" s="64"/>
      <c r="M11" s="64">
        <f t="shared" si="0"/>
        <v>130</v>
      </c>
      <c r="N11" s="64">
        <v>20</v>
      </c>
      <c r="O11" s="64">
        <v>20</v>
      </c>
      <c r="P11" s="64">
        <v>30</v>
      </c>
      <c r="Q11" s="64">
        <v>10</v>
      </c>
      <c r="R11" s="163">
        <f t="shared" si="1"/>
        <v>210</v>
      </c>
    </row>
    <row r="12" spans="1:18" ht="15.6" customHeight="1">
      <c r="A12" s="74">
        <v>10</v>
      </c>
      <c r="B12" s="84" t="s">
        <v>14</v>
      </c>
      <c r="C12" s="88" t="s">
        <v>33</v>
      </c>
      <c r="D12" s="75">
        <v>50</v>
      </c>
      <c r="E12" s="75">
        <v>10</v>
      </c>
      <c r="F12" s="75"/>
      <c r="G12" s="75"/>
      <c r="H12" s="75"/>
      <c r="I12" s="75"/>
      <c r="J12" s="75"/>
      <c r="K12" s="75">
        <v>10</v>
      </c>
      <c r="L12" s="75"/>
      <c r="M12" s="75">
        <f t="shared" si="0"/>
        <v>10</v>
      </c>
      <c r="N12" s="75"/>
      <c r="O12" s="75"/>
      <c r="P12" s="75">
        <v>0</v>
      </c>
      <c r="Q12" s="75">
        <v>0</v>
      </c>
      <c r="R12" s="163">
        <f t="shared" si="1"/>
        <v>10</v>
      </c>
    </row>
    <row r="13" spans="1:18" ht="15.6" customHeight="1">
      <c r="A13" s="63">
        <v>10</v>
      </c>
      <c r="B13" s="83" t="s">
        <v>6</v>
      </c>
      <c r="C13" s="87" t="s">
        <v>25</v>
      </c>
      <c r="D13" s="64">
        <v>1040</v>
      </c>
      <c r="E13" s="64">
        <v>185</v>
      </c>
      <c r="F13" s="64">
        <v>30</v>
      </c>
      <c r="G13" s="64">
        <v>20</v>
      </c>
      <c r="H13" s="64">
        <v>40</v>
      </c>
      <c r="I13" s="64">
        <v>10</v>
      </c>
      <c r="J13" s="64">
        <v>10</v>
      </c>
      <c r="K13" s="64"/>
      <c r="L13" s="64"/>
      <c r="M13" s="64">
        <f t="shared" si="0"/>
        <v>110</v>
      </c>
      <c r="N13" s="64">
        <v>20</v>
      </c>
      <c r="O13" s="64">
        <v>20</v>
      </c>
      <c r="P13" s="64">
        <v>25</v>
      </c>
      <c r="Q13" s="64">
        <v>10</v>
      </c>
      <c r="R13" s="163">
        <f t="shared" si="1"/>
        <v>185</v>
      </c>
    </row>
    <row r="14" spans="1:18" ht="15.6" customHeight="1">
      <c r="A14" s="74">
        <v>10</v>
      </c>
      <c r="B14" s="84" t="s">
        <v>7</v>
      </c>
      <c r="C14" s="88" t="s">
        <v>26</v>
      </c>
      <c r="D14" s="75">
        <f>4000+800</f>
        <v>4800</v>
      </c>
      <c r="E14" s="75">
        <v>710</v>
      </c>
      <c r="F14" s="75">
        <v>100</v>
      </c>
      <c r="G14" s="75">
        <v>100</v>
      </c>
      <c r="H14" s="75">
        <v>120</v>
      </c>
      <c r="I14" s="75">
        <v>60</v>
      </c>
      <c r="J14" s="75">
        <v>40</v>
      </c>
      <c r="K14" s="75">
        <v>10</v>
      </c>
      <c r="L14" s="75"/>
      <c r="M14" s="75">
        <f t="shared" si="0"/>
        <v>430</v>
      </c>
      <c r="N14" s="75">
        <v>80</v>
      </c>
      <c r="O14" s="75">
        <v>80</v>
      </c>
      <c r="P14" s="75">
        <v>100</v>
      </c>
      <c r="Q14" s="75">
        <v>20</v>
      </c>
      <c r="R14" s="163">
        <f t="shared" si="1"/>
        <v>710</v>
      </c>
    </row>
    <row r="15" spans="1:18" ht="15.6" customHeight="1">
      <c r="A15" s="63">
        <v>10</v>
      </c>
      <c r="B15" s="83" t="s">
        <v>18</v>
      </c>
      <c r="C15" s="87" t="s">
        <v>38</v>
      </c>
      <c r="D15" s="64">
        <v>1650</v>
      </c>
      <c r="E15" s="64">
        <v>295</v>
      </c>
      <c r="F15" s="64">
        <v>50</v>
      </c>
      <c r="G15" s="64">
        <v>30</v>
      </c>
      <c r="H15" s="64">
        <v>50</v>
      </c>
      <c r="I15" s="64">
        <v>30</v>
      </c>
      <c r="J15" s="64">
        <v>20</v>
      </c>
      <c r="K15" s="64">
        <v>10</v>
      </c>
      <c r="L15" s="64"/>
      <c r="M15" s="64">
        <f t="shared" si="0"/>
        <v>190</v>
      </c>
      <c r="N15" s="64">
        <v>30</v>
      </c>
      <c r="O15" s="64">
        <v>25</v>
      </c>
      <c r="P15" s="64">
        <v>40</v>
      </c>
      <c r="Q15" s="64">
        <v>10</v>
      </c>
      <c r="R15" s="163">
        <f t="shared" si="1"/>
        <v>295</v>
      </c>
    </row>
    <row r="16" spans="1:18" ht="15.6" customHeight="1">
      <c r="A16" s="74">
        <v>5</v>
      </c>
      <c r="B16" s="84" t="s">
        <v>8</v>
      </c>
      <c r="C16" s="88" t="s">
        <v>27</v>
      </c>
      <c r="D16" s="75">
        <v>260</v>
      </c>
      <c r="E16" s="75">
        <v>50</v>
      </c>
      <c r="F16" s="75">
        <v>10</v>
      </c>
      <c r="G16" s="75">
        <v>5</v>
      </c>
      <c r="H16" s="75">
        <v>10</v>
      </c>
      <c r="I16" s="75">
        <v>5</v>
      </c>
      <c r="J16" s="75"/>
      <c r="K16" s="75"/>
      <c r="L16" s="75"/>
      <c r="M16" s="75">
        <f t="shared" si="0"/>
        <v>30</v>
      </c>
      <c r="N16" s="75">
        <v>5</v>
      </c>
      <c r="O16" s="75">
        <v>5</v>
      </c>
      <c r="P16" s="75">
        <v>5</v>
      </c>
      <c r="Q16" s="75">
        <v>5</v>
      </c>
      <c r="R16" s="163">
        <f t="shared" si="1"/>
        <v>50</v>
      </c>
    </row>
    <row r="17" spans="1:18" ht="15.6" customHeight="1">
      <c r="A17" s="63">
        <v>4</v>
      </c>
      <c r="B17" s="83" t="s">
        <v>87</v>
      </c>
      <c r="C17" s="87" t="s">
        <v>88</v>
      </c>
      <c r="D17" s="64">
        <v>76</v>
      </c>
      <c r="E17" s="64">
        <v>16</v>
      </c>
      <c r="F17" s="64">
        <v>4</v>
      </c>
      <c r="G17" s="64">
        <v>4</v>
      </c>
      <c r="H17" s="64">
        <v>4</v>
      </c>
      <c r="I17" s="64">
        <v>4</v>
      </c>
      <c r="J17" s="64"/>
      <c r="K17" s="64"/>
      <c r="L17" s="64"/>
      <c r="M17" s="64">
        <f t="shared" si="0"/>
        <v>16</v>
      </c>
      <c r="N17" s="64"/>
      <c r="O17" s="64"/>
      <c r="P17" s="64"/>
      <c r="Q17" s="64"/>
      <c r="R17" s="163">
        <f t="shared" si="1"/>
        <v>16</v>
      </c>
    </row>
    <row r="18" spans="1:18" ht="15.6" customHeight="1">
      <c r="A18" s="74">
        <v>5</v>
      </c>
      <c r="B18" s="84" t="s">
        <v>71</v>
      </c>
      <c r="C18" s="88" t="s">
        <v>74</v>
      </c>
      <c r="D18" s="75">
        <v>75</v>
      </c>
      <c r="E18" s="75">
        <v>13</v>
      </c>
      <c r="F18" s="75">
        <v>5</v>
      </c>
      <c r="G18" s="75">
        <v>3</v>
      </c>
      <c r="H18" s="75">
        <v>5</v>
      </c>
      <c r="I18" s="75"/>
      <c r="J18" s="75"/>
      <c r="K18" s="75"/>
      <c r="L18" s="75"/>
      <c r="M18" s="75">
        <f t="shared" si="0"/>
        <v>13</v>
      </c>
      <c r="N18" s="75"/>
      <c r="O18" s="75"/>
      <c r="P18" s="75"/>
      <c r="Q18" s="75"/>
      <c r="R18" s="163">
        <f t="shared" si="1"/>
        <v>13</v>
      </c>
    </row>
    <row r="19" spans="1:18" ht="15.6" customHeight="1">
      <c r="A19" s="63">
        <v>5</v>
      </c>
      <c r="B19" s="83" t="s">
        <v>16</v>
      </c>
      <c r="C19" s="87" t="s">
        <v>35</v>
      </c>
      <c r="D19" s="64">
        <v>370</v>
      </c>
      <c r="E19" s="64">
        <v>65</v>
      </c>
      <c r="F19" s="64">
        <v>10</v>
      </c>
      <c r="G19" s="64">
        <v>10</v>
      </c>
      <c r="H19" s="64">
        <v>10</v>
      </c>
      <c r="I19" s="64">
        <v>10</v>
      </c>
      <c r="J19" s="64"/>
      <c r="K19" s="64"/>
      <c r="L19" s="64"/>
      <c r="M19" s="64">
        <f t="shared" si="0"/>
        <v>40</v>
      </c>
      <c r="N19" s="64">
        <v>5</v>
      </c>
      <c r="O19" s="64">
        <v>5</v>
      </c>
      <c r="P19" s="64">
        <v>10</v>
      </c>
      <c r="Q19" s="64">
        <v>5</v>
      </c>
      <c r="R19" s="163">
        <f t="shared" si="1"/>
        <v>65</v>
      </c>
    </row>
    <row r="20" spans="1:18" ht="15.6" customHeight="1">
      <c r="A20" s="74">
        <v>10</v>
      </c>
      <c r="B20" s="84" t="s">
        <v>72</v>
      </c>
      <c r="C20" s="88" t="s">
        <v>75</v>
      </c>
      <c r="D20" s="75">
        <v>15</v>
      </c>
      <c r="E20" s="75">
        <v>5</v>
      </c>
      <c r="F20" s="75"/>
      <c r="G20" s="75"/>
      <c r="H20" s="75"/>
      <c r="I20" s="75"/>
      <c r="J20" s="75"/>
      <c r="K20" s="75">
        <v>5</v>
      </c>
      <c r="L20" s="75"/>
      <c r="M20" s="75">
        <f t="shared" si="0"/>
        <v>5</v>
      </c>
      <c r="N20" s="75"/>
      <c r="O20" s="75"/>
      <c r="P20" s="75"/>
      <c r="Q20" s="75"/>
      <c r="R20" s="163">
        <f t="shared" si="1"/>
        <v>5</v>
      </c>
    </row>
    <row r="21" spans="1:18" ht="15.6" customHeight="1">
      <c r="A21" s="63">
        <v>10</v>
      </c>
      <c r="B21" s="83" t="s">
        <v>3</v>
      </c>
      <c r="C21" s="87" t="s">
        <v>22</v>
      </c>
      <c r="D21" s="64">
        <v>2320</v>
      </c>
      <c r="E21" s="64">
        <v>440</v>
      </c>
      <c r="F21" s="64">
        <v>40</v>
      </c>
      <c r="G21" s="64">
        <v>40</v>
      </c>
      <c r="H21" s="64">
        <v>50</v>
      </c>
      <c r="I21" s="64">
        <v>40</v>
      </c>
      <c r="J21" s="64">
        <v>20</v>
      </c>
      <c r="K21" s="64">
        <v>10</v>
      </c>
      <c r="L21" s="64">
        <v>60</v>
      </c>
      <c r="M21" s="64">
        <f t="shared" si="0"/>
        <v>260</v>
      </c>
      <c r="N21" s="64">
        <v>40</v>
      </c>
      <c r="O21" s="64">
        <v>40</v>
      </c>
      <c r="P21" s="64">
        <v>75</v>
      </c>
      <c r="Q21" s="64">
        <v>25</v>
      </c>
      <c r="R21" s="163">
        <f t="shared" si="1"/>
        <v>440</v>
      </c>
    </row>
    <row r="22" spans="1:18" ht="15.6" customHeight="1">
      <c r="A22" s="74">
        <v>10</v>
      </c>
      <c r="B22" s="84" t="s">
        <v>9</v>
      </c>
      <c r="C22" s="88" t="s">
        <v>28</v>
      </c>
      <c r="D22" s="75">
        <v>440</v>
      </c>
      <c r="E22" s="75">
        <v>85</v>
      </c>
      <c r="F22" s="75">
        <v>10</v>
      </c>
      <c r="G22" s="75">
        <v>10</v>
      </c>
      <c r="H22" s="75">
        <v>10</v>
      </c>
      <c r="I22" s="75">
        <v>10</v>
      </c>
      <c r="J22" s="75">
        <v>10</v>
      </c>
      <c r="K22" s="75"/>
      <c r="L22" s="75"/>
      <c r="M22" s="75">
        <f t="shared" si="0"/>
        <v>50</v>
      </c>
      <c r="N22" s="75">
        <v>5</v>
      </c>
      <c r="O22" s="75">
        <v>10</v>
      </c>
      <c r="P22" s="75">
        <v>10</v>
      </c>
      <c r="Q22" s="75">
        <v>10</v>
      </c>
      <c r="R22" s="163">
        <f t="shared" si="1"/>
        <v>85</v>
      </c>
    </row>
    <row r="23" spans="1:18" ht="15.6" customHeight="1">
      <c r="A23" s="63">
        <v>5</v>
      </c>
      <c r="B23" s="83" t="s">
        <v>15</v>
      </c>
      <c r="C23" s="87" t="s">
        <v>34</v>
      </c>
      <c r="D23" s="64">
        <v>10</v>
      </c>
      <c r="E23" s="64">
        <v>5</v>
      </c>
      <c r="F23" s="64">
        <v>5</v>
      </c>
      <c r="G23" s="64"/>
      <c r="H23" s="64"/>
      <c r="I23" s="64"/>
      <c r="J23" s="64"/>
      <c r="K23" s="64"/>
      <c r="L23" s="64"/>
      <c r="M23" s="64">
        <f t="shared" si="0"/>
        <v>5</v>
      </c>
      <c r="N23" s="64"/>
      <c r="O23" s="64"/>
      <c r="P23" s="64">
        <v>0</v>
      </c>
      <c r="Q23" s="64">
        <v>0</v>
      </c>
      <c r="R23" s="163">
        <f t="shared" si="1"/>
        <v>5</v>
      </c>
    </row>
    <row r="24" spans="1:18" ht="15.6" customHeight="1">
      <c r="A24" s="74">
        <v>5</v>
      </c>
      <c r="B24" s="84" t="s">
        <v>101</v>
      </c>
      <c r="C24" s="88" t="s">
        <v>102</v>
      </c>
      <c r="D24" s="75">
        <v>300</v>
      </c>
      <c r="E24" s="75">
        <v>60</v>
      </c>
      <c r="F24" s="75">
        <v>10</v>
      </c>
      <c r="G24" s="75">
        <v>10</v>
      </c>
      <c r="H24" s="75">
        <v>10</v>
      </c>
      <c r="I24" s="75">
        <v>10</v>
      </c>
      <c r="J24" s="75"/>
      <c r="K24" s="75"/>
      <c r="L24" s="75"/>
      <c r="M24" s="75">
        <f t="shared" si="0"/>
        <v>40</v>
      </c>
      <c r="N24" s="75">
        <v>5</v>
      </c>
      <c r="O24" s="75">
        <v>5</v>
      </c>
      <c r="P24" s="75">
        <v>7</v>
      </c>
      <c r="Q24" s="75">
        <v>3</v>
      </c>
      <c r="R24" s="163">
        <f t="shared" si="1"/>
        <v>60</v>
      </c>
    </row>
    <row r="25" spans="1:18" ht="15.6" customHeight="1">
      <c r="A25" s="63">
        <v>10</v>
      </c>
      <c r="B25" s="83" t="s">
        <v>207</v>
      </c>
      <c r="C25" s="87" t="s">
        <v>189</v>
      </c>
      <c r="D25" s="64">
        <v>2</v>
      </c>
      <c r="E25" s="64">
        <v>0</v>
      </c>
      <c r="F25" s="64"/>
      <c r="G25" s="64"/>
      <c r="H25" s="64"/>
      <c r="I25" s="64"/>
      <c r="J25" s="64"/>
      <c r="K25" s="64"/>
      <c r="L25" s="64"/>
      <c r="M25" s="64">
        <f t="shared" si="0"/>
        <v>0</v>
      </c>
      <c r="N25" s="64"/>
      <c r="O25" s="64"/>
      <c r="P25" s="64"/>
      <c r="Q25" s="64"/>
      <c r="R25" s="163">
        <f t="shared" si="1"/>
        <v>0</v>
      </c>
    </row>
    <row r="26" spans="1:18" ht="15.6" customHeight="1">
      <c r="A26" s="74">
        <v>10</v>
      </c>
      <c r="B26" s="84" t="s">
        <v>4</v>
      </c>
      <c r="C26" s="88" t="s">
        <v>23</v>
      </c>
      <c r="D26" s="75">
        <v>1</v>
      </c>
      <c r="E26" s="75">
        <v>0</v>
      </c>
      <c r="F26" s="75"/>
      <c r="G26" s="75"/>
      <c r="H26" s="75"/>
      <c r="I26" s="75"/>
      <c r="J26" s="75"/>
      <c r="K26" s="75"/>
      <c r="L26" s="75"/>
      <c r="M26" s="75">
        <f t="shared" si="0"/>
        <v>0</v>
      </c>
      <c r="N26" s="75"/>
      <c r="O26" s="75"/>
      <c r="P26" s="75"/>
      <c r="Q26" s="75"/>
      <c r="R26" s="163">
        <f t="shared" si="1"/>
        <v>0</v>
      </c>
    </row>
    <row r="27" spans="1:18" ht="15.6" customHeight="1">
      <c r="A27" s="63">
        <v>10</v>
      </c>
      <c r="B27" s="83" t="s">
        <v>5</v>
      </c>
      <c r="C27" s="87" t="s">
        <v>24</v>
      </c>
      <c r="D27" s="64">
        <v>480</v>
      </c>
      <c r="E27" s="64">
        <v>95</v>
      </c>
      <c r="F27" s="64">
        <v>10</v>
      </c>
      <c r="G27" s="64">
        <v>10</v>
      </c>
      <c r="H27" s="64">
        <v>10</v>
      </c>
      <c r="I27" s="64">
        <v>10</v>
      </c>
      <c r="J27" s="64">
        <v>10</v>
      </c>
      <c r="K27" s="64">
        <v>5</v>
      </c>
      <c r="L27" s="64"/>
      <c r="M27" s="64">
        <f t="shared" si="0"/>
        <v>55</v>
      </c>
      <c r="N27" s="64">
        <v>10</v>
      </c>
      <c r="O27" s="64">
        <v>10</v>
      </c>
      <c r="P27" s="64">
        <v>10</v>
      </c>
      <c r="Q27" s="64">
        <v>10</v>
      </c>
      <c r="R27" s="163">
        <f t="shared" si="1"/>
        <v>95</v>
      </c>
    </row>
    <row r="28" spans="1:18" ht="15.6" customHeight="1">
      <c r="A28" s="74">
        <v>1</v>
      </c>
      <c r="B28" s="84" t="s">
        <v>227</v>
      </c>
      <c r="C28" s="88" t="s">
        <v>170</v>
      </c>
      <c r="D28" s="75">
        <v>7</v>
      </c>
      <c r="E28" s="75">
        <v>1</v>
      </c>
      <c r="F28" s="75"/>
      <c r="G28" s="75">
        <v>1</v>
      </c>
      <c r="H28" s="75"/>
      <c r="I28" s="75"/>
      <c r="J28" s="75"/>
      <c r="K28" s="75"/>
      <c r="L28" s="75"/>
      <c r="M28" s="75">
        <f t="shared" si="0"/>
        <v>1</v>
      </c>
      <c r="N28" s="75"/>
      <c r="O28" s="75"/>
      <c r="P28" s="75"/>
      <c r="Q28" s="75"/>
      <c r="R28" s="163">
        <f t="shared" si="1"/>
        <v>1</v>
      </c>
    </row>
    <row r="29" spans="1:18" ht="15.6" customHeight="1">
      <c r="A29" s="63">
        <v>10</v>
      </c>
      <c r="B29" s="83" t="s">
        <v>193</v>
      </c>
      <c r="C29" s="87" t="s">
        <v>29</v>
      </c>
      <c r="D29" s="64">
        <v>1020</v>
      </c>
      <c r="E29" s="64">
        <v>120</v>
      </c>
      <c r="F29" s="64"/>
      <c r="G29" s="64">
        <v>50</v>
      </c>
      <c r="H29" s="64"/>
      <c r="I29" s="64">
        <v>10</v>
      </c>
      <c r="J29" s="64">
        <v>10</v>
      </c>
      <c r="K29" s="64"/>
      <c r="L29" s="64"/>
      <c r="M29" s="64">
        <f t="shared" si="0"/>
        <v>70</v>
      </c>
      <c r="N29" s="64">
        <v>20</v>
      </c>
      <c r="O29" s="64">
        <v>10</v>
      </c>
      <c r="P29" s="64">
        <v>10</v>
      </c>
      <c r="Q29" s="64">
        <v>10</v>
      </c>
      <c r="R29" s="163">
        <f t="shared" si="1"/>
        <v>120</v>
      </c>
    </row>
    <row r="30" spans="1:18" ht="15.6" customHeight="1">
      <c r="A30" s="74">
        <v>10</v>
      </c>
      <c r="B30" s="84" t="s">
        <v>19</v>
      </c>
      <c r="C30" s="88" t="s">
        <v>39</v>
      </c>
      <c r="D30" s="75">
        <v>480</v>
      </c>
      <c r="E30" s="75">
        <v>90</v>
      </c>
      <c r="F30" s="75">
        <v>10</v>
      </c>
      <c r="G30" s="75">
        <v>10</v>
      </c>
      <c r="H30" s="75">
        <v>20</v>
      </c>
      <c r="I30" s="75">
        <v>10</v>
      </c>
      <c r="J30" s="75">
        <v>10</v>
      </c>
      <c r="K30" s="75">
        <v>5</v>
      </c>
      <c r="L30" s="75"/>
      <c r="M30" s="75">
        <f t="shared" si="0"/>
        <v>65</v>
      </c>
      <c r="N30" s="75">
        <v>10</v>
      </c>
      <c r="O30" s="75">
        <v>5</v>
      </c>
      <c r="P30" s="75">
        <v>7</v>
      </c>
      <c r="Q30" s="75">
        <v>3</v>
      </c>
      <c r="R30" s="163">
        <f t="shared" si="1"/>
        <v>90</v>
      </c>
    </row>
    <row r="31" spans="1:18" ht="15.6" customHeight="1">
      <c r="A31" s="63"/>
      <c r="B31" s="83" t="s">
        <v>284</v>
      </c>
      <c r="C31" s="87" t="s">
        <v>280</v>
      </c>
      <c r="D31" s="64">
        <v>1360</v>
      </c>
      <c r="E31" s="64">
        <v>310</v>
      </c>
      <c r="F31" s="64">
        <v>60</v>
      </c>
      <c r="G31" s="64">
        <v>40</v>
      </c>
      <c r="H31" s="64">
        <v>70</v>
      </c>
      <c r="I31" s="64">
        <v>40</v>
      </c>
      <c r="J31" s="64">
        <v>10</v>
      </c>
      <c r="K31" s="64">
        <v>20</v>
      </c>
      <c r="L31" s="64"/>
      <c r="M31" s="64">
        <f t="shared" si="0"/>
        <v>240</v>
      </c>
      <c r="N31" s="64">
        <v>20</v>
      </c>
      <c r="O31" s="64">
        <v>20</v>
      </c>
      <c r="P31" s="64">
        <v>10</v>
      </c>
      <c r="Q31" s="64">
        <v>20</v>
      </c>
      <c r="R31" s="163">
        <f t="shared" si="1"/>
        <v>310</v>
      </c>
    </row>
    <row r="32" spans="1:18" ht="15.6" customHeight="1">
      <c r="A32" s="74">
        <v>10</v>
      </c>
      <c r="B32" s="84" t="s">
        <v>208</v>
      </c>
      <c r="C32" s="88" t="s">
        <v>197</v>
      </c>
      <c r="D32" s="75">
        <v>10</v>
      </c>
      <c r="E32" s="75">
        <v>10</v>
      </c>
      <c r="F32" s="75"/>
      <c r="G32" s="75"/>
      <c r="H32" s="75"/>
      <c r="I32" s="75"/>
      <c r="J32" s="75"/>
      <c r="K32" s="75"/>
      <c r="L32" s="75"/>
      <c r="M32" s="75">
        <f t="shared" si="0"/>
        <v>0</v>
      </c>
      <c r="N32" s="75"/>
      <c r="O32" s="75"/>
      <c r="P32" s="75">
        <v>10</v>
      </c>
      <c r="Q32" s="75">
        <v>0</v>
      </c>
      <c r="R32" s="163">
        <f t="shared" si="1"/>
        <v>10</v>
      </c>
    </row>
    <row r="33" spans="1:18" ht="15.6" customHeight="1">
      <c r="A33" s="63">
        <v>5</v>
      </c>
      <c r="B33" s="83" t="s">
        <v>209</v>
      </c>
      <c r="C33" s="87" t="s">
        <v>212</v>
      </c>
      <c r="D33" s="64">
        <v>25</v>
      </c>
      <c r="E33" s="64">
        <v>3</v>
      </c>
      <c r="F33" s="64"/>
      <c r="G33" s="64">
        <v>2</v>
      </c>
      <c r="H33" s="64"/>
      <c r="I33" s="64"/>
      <c r="J33" s="64"/>
      <c r="K33" s="64"/>
      <c r="L33" s="64"/>
      <c r="M33" s="64">
        <f t="shared" si="0"/>
        <v>2</v>
      </c>
      <c r="N33" s="64"/>
      <c r="O33" s="64"/>
      <c r="P33" s="64">
        <v>1</v>
      </c>
      <c r="Q33" s="64">
        <v>0</v>
      </c>
      <c r="R33" s="163">
        <f t="shared" si="1"/>
        <v>3</v>
      </c>
    </row>
    <row r="34" spans="1:18" ht="15.6" customHeight="1">
      <c r="A34" s="74">
        <v>10</v>
      </c>
      <c r="B34" s="84" t="s">
        <v>229</v>
      </c>
      <c r="C34" s="88" t="s">
        <v>213</v>
      </c>
      <c r="D34" s="75">
        <v>10</v>
      </c>
      <c r="E34" s="75">
        <v>10</v>
      </c>
      <c r="F34" s="75"/>
      <c r="G34" s="75"/>
      <c r="H34" s="75"/>
      <c r="I34" s="75"/>
      <c r="J34" s="75"/>
      <c r="K34" s="75"/>
      <c r="L34" s="75"/>
      <c r="M34" s="75">
        <f t="shared" si="0"/>
        <v>0</v>
      </c>
      <c r="N34" s="75"/>
      <c r="O34" s="75"/>
      <c r="P34" s="75">
        <v>10</v>
      </c>
      <c r="Q34" s="75">
        <v>0</v>
      </c>
      <c r="R34" s="163">
        <f t="shared" si="1"/>
        <v>10</v>
      </c>
    </row>
    <row r="35" spans="1:18" ht="15.6" customHeight="1">
      <c r="A35" s="63">
        <v>5</v>
      </c>
      <c r="B35" s="83" t="s">
        <v>279</v>
      </c>
      <c r="C35" s="87" t="s">
        <v>281</v>
      </c>
      <c r="D35" s="64">
        <v>35</v>
      </c>
      <c r="E35" s="64">
        <v>4</v>
      </c>
      <c r="F35" s="64"/>
      <c r="G35" s="64">
        <v>2</v>
      </c>
      <c r="H35" s="64"/>
      <c r="I35" s="64"/>
      <c r="J35" s="64"/>
      <c r="K35" s="64"/>
      <c r="L35" s="64"/>
      <c r="M35" s="64">
        <f t="shared" si="0"/>
        <v>2</v>
      </c>
      <c r="N35" s="64">
        <v>1</v>
      </c>
      <c r="O35" s="64">
        <v>1</v>
      </c>
      <c r="P35" s="64">
        <v>0</v>
      </c>
      <c r="Q35" s="64">
        <v>0</v>
      </c>
      <c r="R35" s="163">
        <f t="shared" si="1"/>
        <v>4</v>
      </c>
    </row>
    <row r="36" spans="1:18" ht="15.6" customHeight="1" thickBot="1">
      <c r="A36" s="74">
        <v>10</v>
      </c>
      <c r="B36" s="84" t="s">
        <v>230</v>
      </c>
      <c r="C36" s="88" t="s">
        <v>214</v>
      </c>
      <c r="D36" s="75">
        <v>10</v>
      </c>
      <c r="E36" s="75">
        <v>10</v>
      </c>
      <c r="F36" s="75"/>
      <c r="G36" s="75"/>
      <c r="H36" s="75"/>
      <c r="I36" s="75"/>
      <c r="J36" s="75"/>
      <c r="K36" s="75"/>
      <c r="L36" s="75"/>
      <c r="M36" s="75">
        <f t="shared" si="0"/>
        <v>0</v>
      </c>
      <c r="N36" s="75"/>
      <c r="O36" s="75"/>
      <c r="P36" s="75">
        <v>10</v>
      </c>
      <c r="Q36" s="75">
        <v>0</v>
      </c>
      <c r="R36" s="163">
        <f t="shared" si="1"/>
        <v>10</v>
      </c>
    </row>
    <row r="37" spans="1:18" ht="15.6" customHeight="1" thickBot="1">
      <c r="A37" s="66"/>
      <c r="B37" s="66"/>
      <c r="C37" s="66"/>
      <c r="D37" s="104">
        <f t="shared" ref="D37:F37" si="2">SUM(D2:D36)</f>
        <v>26201</v>
      </c>
      <c r="E37" s="104">
        <f t="shared" si="2"/>
        <v>5222</v>
      </c>
      <c r="F37" s="104">
        <f t="shared" si="2"/>
        <v>774</v>
      </c>
      <c r="G37" s="104">
        <f>SUM(G2:G36)</f>
        <v>657</v>
      </c>
      <c r="H37" s="104">
        <f t="shared" ref="H37:R37" si="3">SUM(H2:H36)</f>
        <v>879</v>
      </c>
      <c r="I37" s="104">
        <f t="shared" si="3"/>
        <v>499</v>
      </c>
      <c r="J37" s="104">
        <f t="shared" si="3"/>
        <v>280</v>
      </c>
      <c r="K37" s="104">
        <f t="shared" si="3"/>
        <v>155</v>
      </c>
      <c r="L37" s="104">
        <f t="shared" si="3"/>
        <v>60</v>
      </c>
      <c r="M37" s="104">
        <f t="shared" si="3"/>
        <v>3304</v>
      </c>
      <c r="N37" s="104">
        <f t="shared" si="3"/>
        <v>461</v>
      </c>
      <c r="O37" s="104">
        <f t="shared" si="3"/>
        <v>421</v>
      </c>
      <c r="P37" s="104">
        <f t="shared" si="3"/>
        <v>767</v>
      </c>
      <c r="Q37" s="104">
        <f t="shared" si="3"/>
        <v>269</v>
      </c>
      <c r="R37" s="104">
        <f t="shared" si="3"/>
        <v>5222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workbookViewId="0">
      <selection activeCell="H18" sqref="H18"/>
    </sheetView>
  </sheetViews>
  <sheetFormatPr defaultRowHeight="13.8"/>
  <cols>
    <col min="1" max="1" width="26.21875" style="22" bestFit="1" customWidth="1"/>
    <col min="2" max="2" width="8.88671875" style="22"/>
    <col min="3" max="3" width="17.6640625" style="22" bestFit="1" customWidth="1"/>
    <col min="4" max="4" width="16.21875" style="22" customWidth="1"/>
    <col min="5" max="6" width="8.88671875" style="22"/>
    <col min="7" max="7" width="15.21875" style="22" customWidth="1"/>
    <col min="8" max="16384" width="8.88671875" style="22"/>
  </cols>
  <sheetData>
    <row r="1" spans="1:14" ht="42" thickBot="1">
      <c r="A1" s="30" t="s">
        <v>59</v>
      </c>
      <c r="B1" s="30" t="s">
        <v>60</v>
      </c>
      <c r="C1" s="30" t="s">
        <v>61</v>
      </c>
      <c r="D1" s="30" t="s">
        <v>62</v>
      </c>
      <c r="E1" s="30" t="s">
        <v>63</v>
      </c>
      <c r="F1" s="30" t="s">
        <v>64</v>
      </c>
      <c r="G1" s="31" t="s">
        <v>65</v>
      </c>
      <c r="H1" s="30" t="s">
        <v>68</v>
      </c>
      <c r="I1" s="30" t="s">
        <v>50</v>
      </c>
      <c r="J1" s="30" t="s">
        <v>51</v>
      </c>
      <c r="K1" s="30" t="s">
        <v>66</v>
      </c>
      <c r="L1" s="30" t="s">
        <v>69</v>
      </c>
      <c r="M1" s="30" t="s">
        <v>67</v>
      </c>
      <c r="N1" s="30"/>
    </row>
    <row r="2" spans="1:14">
      <c r="A2" s="32" t="s">
        <v>17</v>
      </c>
      <c r="B2" s="33">
        <v>1.1000000000000001</v>
      </c>
      <c r="C2" s="34" t="s">
        <v>37</v>
      </c>
      <c r="D2" s="34">
        <v>5</v>
      </c>
      <c r="E2" s="35">
        <v>370</v>
      </c>
      <c r="F2" s="35">
        <v>370</v>
      </c>
      <c r="G2" s="36">
        <v>65</v>
      </c>
      <c r="H2" s="35">
        <v>15</v>
      </c>
      <c r="I2" s="35">
        <v>20</v>
      </c>
      <c r="J2" s="35">
        <v>10</v>
      </c>
      <c r="K2" s="35">
        <v>5</v>
      </c>
      <c r="L2" s="35">
        <v>5</v>
      </c>
      <c r="M2" s="35">
        <v>10</v>
      </c>
      <c r="N2" s="35">
        <f>SUM(H2:M2)</f>
        <v>65</v>
      </c>
    </row>
    <row r="3" spans="1:14">
      <c r="A3" s="37" t="s">
        <v>6</v>
      </c>
      <c r="B3" s="38">
        <v>1</v>
      </c>
      <c r="C3" s="39" t="s">
        <v>25</v>
      </c>
      <c r="D3" s="39">
        <v>10</v>
      </c>
      <c r="E3" s="40">
        <v>760</v>
      </c>
      <c r="F3" s="40">
        <v>760</v>
      </c>
      <c r="G3" s="41">
        <v>140</v>
      </c>
      <c r="H3" s="40">
        <v>40</v>
      </c>
      <c r="I3" s="40">
        <v>40</v>
      </c>
      <c r="J3" s="40">
        <v>30</v>
      </c>
      <c r="K3" s="40">
        <v>10</v>
      </c>
      <c r="L3" s="40">
        <v>10</v>
      </c>
      <c r="M3" s="40">
        <v>10</v>
      </c>
      <c r="N3" s="40">
        <f t="shared" ref="N3:N8" si="0">SUM(H3:M3)</f>
        <v>140</v>
      </c>
    </row>
    <row r="4" spans="1:14">
      <c r="A4" s="32" t="s">
        <v>7</v>
      </c>
      <c r="B4" s="33">
        <v>1</v>
      </c>
      <c r="C4" s="34" t="s">
        <v>26</v>
      </c>
      <c r="D4" s="34">
        <v>10</v>
      </c>
      <c r="E4" s="35">
        <v>1140</v>
      </c>
      <c r="F4" s="35">
        <v>1140</v>
      </c>
      <c r="G4" s="36">
        <v>200</v>
      </c>
      <c r="H4" s="35">
        <v>50</v>
      </c>
      <c r="I4" s="35">
        <v>70</v>
      </c>
      <c r="J4" s="35">
        <v>40</v>
      </c>
      <c r="K4" s="35">
        <v>10</v>
      </c>
      <c r="L4" s="35">
        <v>10</v>
      </c>
      <c r="M4" s="35">
        <v>20</v>
      </c>
      <c r="N4" s="35">
        <f t="shared" si="0"/>
        <v>200</v>
      </c>
    </row>
    <row r="5" spans="1:14">
      <c r="A5" s="37" t="s">
        <v>18</v>
      </c>
      <c r="B5" s="38">
        <v>1</v>
      </c>
      <c r="C5" s="39" t="s">
        <v>38</v>
      </c>
      <c r="D5" s="39">
        <v>10</v>
      </c>
      <c r="E5" s="40">
        <v>740</v>
      </c>
      <c r="F5" s="40">
        <v>740</v>
      </c>
      <c r="G5" s="41">
        <v>130</v>
      </c>
      <c r="H5" s="40">
        <v>30</v>
      </c>
      <c r="I5" s="40">
        <v>40</v>
      </c>
      <c r="J5" s="40">
        <v>30</v>
      </c>
      <c r="K5" s="40">
        <v>10</v>
      </c>
      <c r="L5" s="40">
        <v>10</v>
      </c>
      <c r="M5" s="40">
        <v>10</v>
      </c>
      <c r="N5" s="40">
        <f t="shared" si="0"/>
        <v>130</v>
      </c>
    </row>
    <row r="6" spans="1:14">
      <c r="A6" s="42" t="s">
        <v>8</v>
      </c>
      <c r="B6" s="33">
        <v>1</v>
      </c>
      <c r="C6" s="34" t="s">
        <v>27</v>
      </c>
      <c r="D6" s="34">
        <v>5</v>
      </c>
      <c r="E6" s="35">
        <v>380</v>
      </c>
      <c r="F6" s="35">
        <v>380</v>
      </c>
      <c r="G6" s="36">
        <v>70</v>
      </c>
      <c r="H6" s="35">
        <v>20</v>
      </c>
      <c r="I6" s="35">
        <v>20</v>
      </c>
      <c r="J6" s="35">
        <v>10</v>
      </c>
      <c r="K6" s="35">
        <v>5</v>
      </c>
      <c r="L6" s="35">
        <v>5</v>
      </c>
      <c r="M6" s="35">
        <v>10</v>
      </c>
      <c r="N6" s="35">
        <f t="shared" si="0"/>
        <v>70</v>
      </c>
    </row>
    <row r="7" spans="1:14">
      <c r="A7" s="43" t="s">
        <v>9</v>
      </c>
      <c r="B7" s="38">
        <v>1</v>
      </c>
      <c r="C7" s="39" t="s">
        <v>28</v>
      </c>
      <c r="D7" s="39">
        <v>10</v>
      </c>
      <c r="E7" s="40">
        <v>380</v>
      </c>
      <c r="F7" s="40">
        <v>380</v>
      </c>
      <c r="G7" s="41">
        <v>70</v>
      </c>
      <c r="H7" s="40">
        <v>10</v>
      </c>
      <c r="I7" s="40">
        <v>20</v>
      </c>
      <c r="J7" s="40">
        <v>10</v>
      </c>
      <c r="K7" s="40">
        <v>10</v>
      </c>
      <c r="L7" s="40">
        <v>10</v>
      </c>
      <c r="M7" s="40">
        <v>10</v>
      </c>
      <c r="N7" s="40">
        <f t="shared" si="0"/>
        <v>70</v>
      </c>
    </row>
    <row r="8" spans="1:14" ht="14.4" thickBot="1">
      <c r="A8" s="44" t="s">
        <v>3</v>
      </c>
      <c r="B8" s="45">
        <v>1</v>
      </c>
      <c r="C8" s="46" t="s">
        <v>22</v>
      </c>
      <c r="D8" s="46">
        <v>10</v>
      </c>
      <c r="E8" s="47">
        <v>1060</v>
      </c>
      <c r="F8" s="47">
        <v>1060</v>
      </c>
      <c r="G8" s="48">
        <v>210</v>
      </c>
      <c r="H8" s="47">
        <v>50</v>
      </c>
      <c r="I8" s="47">
        <v>70</v>
      </c>
      <c r="J8" s="47">
        <v>50</v>
      </c>
      <c r="K8" s="47">
        <v>10</v>
      </c>
      <c r="L8" s="47">
        <v>10</v>
      </c>
      <c r="M8" s="47">
        <v>20</v>
      </c>
      <c r="N8" s="47">
        <f t="shared" si="0"/>
        <v>210</v>
      </c>
    </row>
    <row r="9" spans="1:14">
      <c r="H9" s="22">
        <f t="shared" ref="H9:J9" si="1">SUM(H2:H8)</f>
        <v>215</v>
      </c>
      <c r="I9" s="22">
        <f t="shared" si="1"/>
        <v>280</v>
      </c>
      <c r="J9" s="22">
        <f t="shared" si="1"/>
        <v>180</v>
      </c>
      <c r="K9" s="22">
        <f>SUM(K2:K8)</f>
        <v>60</v>
      </c>
      <c r="L9" s="22">
        <f>SUM(L2:L8)</f>
        <v>60</v>
      </c>
      <c r="M9" s="22">
        <f>SUM(M2:M8)</f>
        <v>90</v>
      </c>
    </row>
  </sheetData>
  <phoneticPr fontId="1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"/>
  <sheetViews>
    <sheetView workbookViewId="0">
      <selection activeCell="G22" sqref="G22"/>
    </sheetView>
  </sheetViews>
  <sheetFormatPr defaultRowHeight="13.8"/>
  <cols>
    <col min="1" max="1" width="8.33203125" style="165" bestFit="1" customWidth="1"/>
    <col min="2" max="2" width="25.44140625" style="165" bestFit="1" customWidth="1"/>
    <col min="3" max="3" width="18.109375" style="165" bestFit="1" customWidth="1"/>
    <col min="4" max="4" width="6.5546875" style="165" bestFit="1" customWidth="1"/>
    <col min="5" max="5" width="9.77734375" style="165" bestFit="1" customWidth="1"/>
    <col min="6" max="16" width="9.88671875" style="165" customWidth="1"/>
    <col min="17" max="16384" width="8.88671875" style="165"/>
  </cols>
  <sheetData>
    <row r="1" spans="1:17" ht="14.4" thickBot="1">
      <c r="A1" s="65" t="s">
        <v>111</v>
      </c>
      <c r="B1" s="66" t="s">
        <v>78</v>
      </c>
      <c r="C1" s="66" t="s">
        <v>110</v>
      </c>
      <c r="D1" s="66" t="s">
        <v>80</v>
      </c>
      <c r="E1" s="67" t="s">
        <v>65</v>
      </c>
      <c r="F1" s="115" t="s">
        <v>81</v>
      </c>
      <c r="G1" s="115" t="s">
        <v>68</v>
      </c>
      <c r="H1" s="115" t="s">
        <v>50</v>
      </c>
      <c r="I1" s="115" t="s">
        <v>51</v>
      </c>
      <c r="J1" s="115" t="s">
        <v>82</v>
      </c>
      <c r="K1" s="115" t="s">
        <v>109</v>
      </c>
      <c r="L1" s="91" t="s">
        <v>86</v>
      </c>
      <c r="M1" s="92" t="s">
        <v>83</v>
      </c>
      <c r="N1" s="93" t="s">
        <v>44</v>
      </c>
      <c r="O1" s="94" t="s">
        <v>84</v>
      </c>
      <c r="P1" s="95" t="s">
        <v>85</v>
      </c>
    </row>
    <row r="2" spans="1:17">
      <c r="A2" s="74"/>
      <c r="B2" s="84" t="s">
        <v>285</v>
      </c>
      <c r="C2" s="88" t="s">
        <v>286</v>
      </c>
      <c r="D2" s="75">
        <v>680</v>
      </c>
      <c r="E2" s="75">
        <v>150</v>
      </c>
      <c r="F2" s="75">
        <v>20</v>
      </c>
      <c r="G2" s="75">
        <v>20</v>
      </c>
      <c r="H2" s="75">
        <v>30</v>
      </c>
      <c r="I2" s="75">
        <v>20</v>
      </c>
      <c r="J2" s="75">
        <v>10</v>
      </c>
      <c r="K2" s="75"/>
      <c r="L2" s="75">
        <f>SUM(F2:K2)</f>
        <v>100</v>
      </c>
      <c r="M2" s="75">
        <v>10</v>
      </c>
      <c r="N2" s="75">
        <v>10</v>
      </c>
      <c r="O2" s="75">
        <v>20</v>
      </c>
      <c r="P2" s="75">
        <v>10</v>
      </c>
      <c r="Q2" s="62">
        <f t="shared" ref="Q2:Q26" si="0">SUM(F2:K2,M2:P2)</f>
        <v>150</v>
      </c>
    </row>
    <row r="3" spans="1:17">
      <c r="A3" s="63">
        <v>10</v>
      </c>
      <c r="B3" s="83" t="s">
        <v>272</v>
      </c>
      <c r="C3" s="87" t="s">
        <v>274</v>
      </c>
      <c r="D3" s="64">
        <v>20</v>
      </c>
      <c r="E3" s="64">
        <v>5</v>
      </c>
      <c r="F3" s="64"/>
      <c r="G3" s="64"/>
      <c r="H3" s="64">
        <v>5</v>
      </c>
      <c r="I3" s="64"/>
      <c r="J3" s="64"/>
      <c r="K3" s="64"/>
      <c r="L3" s="64">
        <f t="shared" ref="L3:L26" si="1">SUM(F3:K3)</f>
        <v>5</v>
      </c>
      <c r="M3" s="64"/>
      <c r="N3" s="64"/>
      <c r="O3" s="64"/>
      <c r="P3" s="64"/>
      <c r="Q3" s="62">
        <f t="shared" si="0"/>
        <v>5</v>
      </c>
    </row>
    <row r="4" spans="1:17">
      <c r="A4" s="74">
        <v>10</v>
      </c>
      <c r="B4" s="84" t="s">
        <v>257</v>
      </c>
      <c r="C4" s="88" t="s">
        <v>259</v>
      </c>
      <c r="D4" s="75">
        <v>1560</v>
      </c>
      <c r="E4" s="75">
        <v>345</v>
      </c>
      <c r="F4" s="75">
        <v>60</v>
      </c>
      <c r="G4" s="75">
        <v>50</v>
      </c>
      <c r="H4" s="75">
        <v>80</v>
      </c>
      <c r="I4" s="75">
        <v>30</v>
      </c>
      <c r="J4" s="75">
        <v>20</v>
      </c>
      <c r="K4" s="75"/>
      <c r="L4" s="75">
        <f t="shared" si="1"/>
        <v>240</v>
      </c>
      <c r="M4" s="75">
        <v>25</v>
      </c>
      <c r="N4" s="75">
        <v>25</v>
      </c>
      <c r="O4" s="75">
        <v>40</v>
      </c>
      <c r="P4" s="75">
        <v>15</v>
      </c>
      <c r="Q4" s="62">
        <f t="shared" si="0"/>
        <v>345</v>
      </c>
    </row>
    <row r="5" spans="1:17">
      <c r="A5" s="63">
        <v>10</v>
      </c>
      <c r="B5" s="83" t="s">
        <v>258</v>
      </c>
      <c r="C5" s="87" t="s">
        <v>260</v>
      </c>
      <c r="D5" s="64">
        <v>5060</v>
      </c>
      <c r="E5" s="64">
        <v>1110</v>
      </c>
      <c r="F5" s="64">
        <v>200</v>
      </c>
      <c r="G5" s="64">
        <v>200</v>
      </c>
      <c r="H5" s="64">
        <v>200</v>
      </c>
      <c r="I5" s="64">
        <v>100</v>
      </c>
      <c r="J5" s="64">
        <v>40</v>
      </c>
      <c r="K5" s="64"/>
      <c r="L5" s="64">
        <f t="shared" si="1"/>
        <v>740</v>
      </c>
      <c r="M5" s="64">
        <v>100</v>
      </c>
      <c r="N5" s="64">
        <v>100</v>
      </c>
      <c r="O5" s="64">
        <v>130</v>
      </c>
      <c r="P5" s="64">
        <v>40</v>
      </c>
      <c r="Q5" s="62">
        <f t="shared" si="0"/>
        <v>1110</v>
      </c>
    </row>
    <row r="6" spans="1:17">
      <c r="A6" s="74">
        <v>10</v>
      </c>
      <c r="B6" s="84" t="s">
        <v>273</v>
      </c>
      <c r="C6" s="88" t="s">
        <v>275</v>
      </c>
      <c r="D6" s="75">
        <v>1480</v>
      </c>
      <c r="E6" s="75">
        <v>325</v>
      </c>
      <c r="F6" s="75">
        <v>60</v>
      </c>
      <c r="G6" s="75">
        <v>50</v>
      </c>
      <c r="H6" s="75">
        <v>80</v>
      </c>
      <c r="I6" s="75">
        <v>30</v>
      </c>
      <c r="J6" s="75">
        <v>10</v>
      </c>
      <c r="K6" s="75"/>
      <c r="L6" s="75">
        <f t="shared" si="1"/>
        <v>230</v>
      </c>
      <c r="M6" s="75">
        <v>20</v>
      </c>
      <c r="N6" s="75">
        <v>25</v>
      </c>
      <c r="O6" s="75">
        <v>35</v>
      </c>
      <c r="P6" s="75">
        <v>15</v>
      </c>
      <c r="Q6" s="62">
        <f t="shared" si="0"/>
        <v>325</v>
      </c>
    </row>
    <row r="7" spans="1:17">
      <c r="A7" s="63">
        <v>10</v>
      </c>
      <c r="B7" s="83" t="s">
        <v>11</v>
      </c>
      <c r="C7" s="87" t="s">
        <v>30</v>
      </c>
      <c r="D7" s="64">
        <v>2</v>
      </c>
      <c r="E7" s="64">
        <v>2</v>
      </c>
      <c r="F7" s="64"/>
      <c r="G7" s="64"/>
      <c r="H7" s="64"/>
      <c r="I7" s="64"/>
      <c r="J7" s="64"/>
      <c r="K7" s="64"/>
      <c r="L7" s="64">
        <f t="shared" si="1"/>
        <v>0</v>
      </c>
      <c r="M7" s="64"/>
      <c r="N7" s="64"/>
      <c r="O7" s="64">
        <v>2</v>
      </c>
      <c r="P7" s="64"/>
      <c r="Q7" s="62">
        <f t="shared" si="0"/>
        <v>2</v>
      </c>
    </row>
    <row r="8" spans="1:17">
      <c r="A8" s="74">
        <v>5</v>
      </c>
      <c r="B8" s="84" t="s">
        <v>17</v>
      </c>
      <c r="C8" s="88" t="s">
        <v>36</v>
      </c>
      <c r="D8" s="75">
        <v>15</v>
      </c>
      <c r="E8" s="75">
        <v>15</v>
      </c>
      <c r="F8" s="75"/>
      <c r="G8" s="75"/>
      <c r="H8" s="75"/>
      <c r="I8" s="75"/>
      <c r="J8" s="75"/>
      <c r="K8" s="75"/>
      <c r="L8" s="75">
        <f t="shared" si="1"/>
        <v>0</v>
      </c>
      <c r="M8" s="75"/>
      <c r="N8" s="75"/>
      <c r="O8" s="75">
        <v>10</v>
      </c>
      <c r="P8" s="75">
        <v>5</v>
      </c>
      <c r="Q8" s="62">
        <f t="shared" si="0"/>
        <v>15</v>
      </c>
    </row>
    <row r="9" spans="1:17">
      <c r="A9" s="63">
        <v>5</v>
      </c>
      <c r="B9" s="83" t="s">
        <v>17</v>
      </c>
      <c r="C9" s="87" t="s">
        <v>37</v>
      </c>
      <c r="D9" s="64">
        <v>2000</v>
      </c>
      <c r="E9" s="64">
        <v>345</v>
      </c>
      <c r="F9" s="64">
        <v>60</v>
      </c>
      <c r="G9" s="64">
        <v>50</v>
      </c>
      <c r="H9" s="64">
        <v>80</v>
      </c>
      <c r="I9" s="64">
        <v>40</v>
      </c>
      <c r="J9" s="64">
        <v>10</v>
      </c>
      <c r="K9" s="64"/>
      <c r="L9" s="64">
        <f t="shared" si="1"/>
        <v>240</v>
      </c>
      <c r="M9" s="64">
        <v>30</v>
      </c>
      <c r="N9" s="64">
        <v>30</v>
      </c>
      <c r="O9" s="64">
        <v>40</v>
      </c>
      <c r="P9" s="64">
        <v>5</v>
      </c>
      <c r="Q9" s="62">
        <f t="shared" si="0"/>
        <v>345</v>
      </c>
    </row>
    <row r="10" spans="1:17">
      <c r="A10" s="74">
        <v>10</v>
      </c>
      <c r="B10" s="84" t="s">
        <v>14</v>
      </c>
      <c r="C10" s="88" t="s">
        <v>33</v>
      </c>
      <c r="D10" s="75">
        <v>15</v>
      </c>
      <c r="E10" s="75">
        <v>0</v>
      </c>
      <c r="F10" s="75"/>
      <c r="G10" s="75"/>
      <c r="H10" s="75"/>
      <c r="I10" s="75"/>
      <c r="J10" s="75"/>
      <c r="K10" s="75"/>
      <c r="L10" s="75">
        <f t="shared" si="1"/>
        <v>0</v>
      </c>
      <c r="M10" s="75"/>
      <c r="N10" s="75"/>
      <c r="O10" s="75"/>
      <c r="P10" s="75"/>
      <c r="Q10" s="62">
        <f t="shared" si="0"/>
        <v>0</v>
      </c>
    </row>
    <row r="11" spans="1:17">
      <c r="A11" s="63">
        <v>10</v>
      </c>
      <c r="B11" s="83" t="s">
        <v>6</v>
      </c>
      <c r="C11" s="87" t="s">
        <v>25</v>
      </c>
      <c r="D11" s="64">
        <v>920</v>
      </c>
      <c r="E11" s="64">
        <v>165</v>
      </c>
      <c r="F11" s="64">
        <v>40</v>
      </c>
      <c r="G11" s="64">
        <v>10</v>
      </c>
      <c r="H11" s="64">
        <v>40</v>
      </c>
      <c r="I11" s="64">
        <v>10</v>
      </c>
      <c r="J11" s="64"/>
      <c r="K11" s="64"/>
      <c r="L11" s="64">
        <f t="shared" si="1"/>
        <v>100</v>
      </c>
      <c r="M11" s="64">
        <v>20</v>
      </c>
      <c r="N11" s="64">
        <v>20</v>
      </c>
      <c r="O11" s="64">
        <v>15</v>
      </c>
      <c r="P11" s="64">
        <v>10</v>
      </c>
      <c r="Q11" s="62">
        <f t="shared" si="0"/>
        <v>165</v>
      </c>
    </row>
    <row r="12" spans="1:17">
      <c r="A12" s="74">
        <v>10</v>
      </c>
      <c r="B12" s="84" t="s">
        <v>7</v>
      </c>
      <c r="C12" s="88" t="s">
        <v>26</v>
      </c>
      <c r="D12" s="75">
        <v>5510</v>
      </c>
      <c r="E12" s="75">
        <v>980</v>
      </c>
      <c r="F12" s="75">
        <v>160</v>
      </c>
      <c r="G12" s="75">
        <v>150</v>
      </c>
      <c r="H12" s="75">
        <v>200</v>
      </c>
      <c r="I12" s="75">
        <v>100</v>
      </c>
      <c r="J12" s="75">
        <v>40</v>
      </c>
      <c r="K12" s="75"/>
      <c r="L12" s="75">
        <f t="shared" si="1"/>
        <v>650</v>
      </c>
      <c r="M12" s="75">
        <v>80</v>
      </c>
      <c r="N12" s="75">
        <v>90</v>
      </c>
      <c r="O12" s="75">
        <v>130</v>
      </c>
      <c r="P12" s="75">
        <v>30</v>
      </c>
      <c r="Q12" s="62">
        <f t="shared" si="0"/>
        <v>980</v>
      </c>
    </row>
    <row r="13" spans="1:17">
      <c r="A13" s="63">
        <v>10</v>
      </c>
      <c r="B13" s="83" t="s">
        <v>18</v>
      </c>
      <c r="C13" s="87" t="s">
        <v>38</v>
      </c>
      <c r="D13" s="64">
        <v>1720</v>
      </c>
      <c r="E13" s="64">
        <v>305</v>
      </c>
      <c r="F13" s="64">
        <v>50</v>
      </c>
      <c r="G13" s="64">
        <v>40</v>
      </c>
      <c r="H13" s="64">
        <v>60</v>
      </c>
      <c r="I13" s="64">
        <v>40</v>
      </c>
      <c r="J13" s="64">
        <v>10</v>
      </c>
      <c r="K13" s="64"/>
      <c r="L13" s="64">
        <f t="shared" si="1"/>
        <v>200</v>
      </c>
      <c r="M13" s="64">
        <v>25</v>
      </c>
      <c r="N13" s="64">
        <v>30</v>
      </c>
      <c r="O13" s="64">
        <v>40</v>
      </c>
      <c r="P13" s="64">
        <v>10</v>
      </c>
      <c r="Q13" s="62">
        <f t="shared" si="0"/>
        <v>305</v>
      </c>
    </row>
    <row r="14" spans="1:17">
      <c r="A14" s="74">
        <v>5</v>
      </c>
      <c r="B14" s="84" t="s">
        <v>8</v>
      </c>
      <c r="C14" s="88" t="s">
        <v>233</v>
      </c>
      <c r="D14" s="75">
        <v>4</v>
      </c>
      <c r="E14" s="75">
        <v>4</v>
      </c>
      <c r="F14" s="75">
        <v>2</v>
      </c>
      <c r="G14" s="75"/>
      <c r="H14" s="75">
        <v>2</v>
      </c>
      <c r="I14" s="75"/>
      <c r="J14" s="75"/>
      <c r="K14" s="75"/>
      <c r="L14" s="75">
        <f t="shared" si="1"/>
        <v>4</v>
      </c>
      <c r="M14" s="75"/>
      <c r="N14" s="75"/>
      <c r="O14" s="75"/>
      <c r="P14" s="75"/>
      <c r="Q14" s="62">
        <f t="shared" si="0"/>
        <v>4</v>
      </c>
    </row>
    <row r="15" spans="1:17">
      <c r="A15" s="63">
        <v>4</v>
      </c>
      <c r="B15" s="83" t="s">
        <v>87</v>
      </c>
      <c r="C15" s="87" t="s">
        <v>88</v>
      </c>
      <c r="D15" s="64">
        <v>3</v>
      </c>
      <c r="E15" s="64">
        <v>3</v>
      </c>
      <c r="F15" s="64"/>
      <c r="G15" s="64"/>
      <c r="H15" s="64">
        <v>3</v>
      </c>
      <c r="I15" s="64"/>
      <c r="J15" s="64"/>
      <c r="K15" s="64"/>
      <c r="L15" s="64">
        <f t="shared" si="1"/>
        <v>3</v>
      </c>
      <c r="M15" s="64"/>
      <c r="N15" s="64"/>
      <c r="O15" s="64"/>
      <c r="P15" s="64"/>
      <c r="Q15" s="62">
        <f t="shared" si="0"/>
        <v>3</v>
      </c>
    </row>
    <row r="16" spans="1:17">
      <c r="A16" s="74">
        <v>10</v>
      </c>
      <c r="B16" s="84" t="s">
        <v>72</v>
      </c>
      <c r="C16" s="88" t="s">
        <v>75</v>
      </c>
      <c r="D16" s="75">
        <v>20</v>
      </c>
      <c r="E16" s="75">
        <v>20</v>
      </c>
      <c r="F16" s="75"/>
      <c r="G16" s="75"/>
      <c r="H16" s="75">
        <v>5</v>
      </c>
      <c r="I16" s="75"/>
      <c r="J16" s="75"/>
      <c r="K16" s="75"/>
      <c r="L16" s="75">
        <f t="shared" si="1"/>
        <v>5</v>
      </c>
      <c r="M16" s="75"/>
      <c r="N16" s="75"/>
      <c r="O16" s="75">
        <v>15</v>
      </c>
      <c r="P16" s="75"/>
      <c r="Q16" s="62">
        <f t="shared" si="0"/>
        <v>20</v>
      </c>
    </row>
    <row r="17" spans="1:17">
      <c r="A17" s="63">
        <v>10</v>
      </c>
      <c r="B17" s="83" t="s">
        <v>3</v>
      </c>
      <c r="C17" s="87" t="s">
        <v>22</v>
      </c>
      <c r="D17" s="64">
        <v>260</v>
      </c>
      <c r="E17" s="64">
        <v>45</v>
      </c>
      <c r="F17" s="64">
        <v>10</v>
      </c>
      <c r="G17" s="64">
        <v>10</v>
      </c>
      <c r="H17" s="64">
        <v>10</v>
      </c>
      <c r="I17" s="64"/>
      <c r="J17" s="64"/>
      <c r="K17" s="64"/>
      <c r="L17" s="64">
        <f t="shared" si="1"/>
        <v>30</v>
      </c>
      <c r="M17" s="64">
        <v>5</v>
      </c>
      <c r="N17" s="64">
        <v>5</v>
      </c>
      <c r="O17" s="64">
        <v>5</v>
      </c>
      <c r="P17" s="64"/>
      <c r="Q17" s="62">
        <f t="shared" si="0"/>
        <v>45</v>
      </c>
    </row>
    <row r="18" spans="1:17">
      <c r="A18" s="74">
        <v>10</v>
      </c>
      <c r="B18" s="84" t="s">
        <v>9</v>
      </c>
      <c r="C18" s="88" t="s">
        <v>28</v>
      </c>
      <c r="D18" s="75">
        <v>150</v>
      </c>
      <c r="E18" s="75">
        <v>25</v>
      </c>
      <c r="F18" s="75"/>
      <c r="G18" s="75">
        <v>5</v>
      </c>
      <c r="H18" s="75">
        <v>10</v>
      </c>
      <c r="I18" s="75"/>
      <c r="J18" s="75"/>
      <c r="K18" s="75"/>
      <c r="L18" s="75">
        <f t="shared" si="1"/>
        <v>15</v>
      </c>
      <c r="M18" s="75">
        <v>2</v>
      </c>
      <c r="N18" s="75">
        <v>3</v>
      </c>
      <c r="O18" s="75">
        <v>5</v>
      </c>
      <c r="P18" s="75"/>
      <c r="Q18" s="62">
        <f t="shared" si="0"/>
        <v>25</v>
      </c>
    </row>
    <row r="19" spans="1:17">
      <c r="A19" s="63">
        <v>5</v>
      </c>
      <c r="B19" s="83" t="s">
        <v>15</v>
      </c>
      <c r="C19" s="87" t="s">
        <v>34</v>
      </c>
      <c r="D19" s="64">
        <v>3</v>
      </c>
      <c r="E19" s="64">
        <v>3</v>
      </c>
      <c r="F19" s="64"/>
      <c r="G19" s="64"/>
      <c r="H19" s="64"/>
      <c r="I19" s="64"/>
      <c r="J19" s="64"/>
      <c r="K19" s="64"/>
      <c r="L19" s="64">
        <f t="shared" si="1"/>
        <v>0</v>
      </c>
      <c r="M19" s="64"/>
      <c r="N19" s="64"/>
      <c r="O19" s="64">
        <v>3</v>
      </c>
      <c r="P19" s="64"/>
      <c r="Q19" s="62">
        <f t="shared" si="0"/>
        <v>3</v>
      </c>
    </row>
    <row r="20" spans="1:17">
      <c r="A20" s="74">
        <v>10</v>
      </c>
      <c r="B20" s="84" t="s">
        <v>207</v>
      </c>
      <c r="C20" s="88" t="s">
        <v>189</v>
      </c>
      <c r="D20" s="75">
        <v>6</v>
      </c>
      <c r="E20" s="75">
        <v>6</v>
      </c>
      <c r="F20" s="75">
        <v>3</v>
      </c>
      <c r="G20" s="75"/>
      <c r="H20" s="75">
        <v>3</v>
      </c>
      <c r="I20" s="75"/>
      <c r="J20" s="75"/>
      <c r="K20" s="75"/>
      <c r="L20" s="75">
        <f t="shared" si="1"/>
        <v>6</v>
      </c>
      <c r="M20" s="75"/>
      <c r="N20" s="75"/>
      <c r="O20" s="75"/>
      <c r="P20" s="75"/>
      <c r="Q20" s="62">
        <f t="shared" si="0"/>
        <v>6</v>
      </c>
    </row>
    <row r="21" spans="1:17">
      <c r="A21" s="63">
        <v>10</v>
      </c>
      <c r="B21" s="83" t="s">
        <v>287</v>
      </c>
      <c r="C21" s="87" t="s">
        <v>288</v>
      </c>
      <c r="D21" s="64">
        <v>660</v>
      </c>
      <c r="E21" s="64">
        <v>75</v>
      </c>
      <c r="F21" s="64">
        <v>10</v>
      </c>
      <c r="G21" s="64">
        <v>10</v>
      </c>
      <c r="H21" s="64">
        <v>20</v>
      </c>
      <c r="I21" s="64">
        <v>10</v>
      </c>
      <c r="J21" s="64"/>
      <c r="K21" s="64"/>
      <c r="L21" s="64">
        <f t="shared" si="1"/>
        <v>50</v>
      </c>
      <c r="M21" s="64">
        <v>5</v>
      </c>
      <c r="N21" s="64">
        <v>5</v>
      </c>
      <c r="O21" s="64">
        <v>5</v>
      </c>
      <c r="P21" s="64">
        <v>10</v>
      </c>
      <c r="Q21" s="62">
        <f t="shared" si="0"/>
        <v>75</v>
      </c>
    </row>
    <row r="22" spans="1:17">
      <c r="A22" s="74">
        <v>5</v>
      </c>
      <c r="B22" s="84" t="s">
        <v>261</v>
      </c>
      <c r="C22" s="88" t="s">
        <v>210</v>
      </c>
      <c r="D22" s="75">
        <v>1</v>
      </c>
      <c r="E22" s="75">
        <v>1</v>
      </c>
      <c r="F22" s="75"/>
      <c r="G22" s="75">
        <v>1</v>
      </c>
      <c r="H22" s="75"/>
      <c r="I22" s="75"/>
      <c r="J22" s="75"/>
      <c r="K22" s="75"/>
      <c r="L22" s="75">
        <f t="shared" si="1"/>
        <v>1</v>
      </c>
      <c r="M22" s="75"/>
      <c r="N22" s="75"/>
      <c r="O22" s="75"/>
      <c r="P22" s="75"/>
      <c r="Q22" s="62">
        <f t="shared" si="0"/>
        <v>1</v>
      </c>
    </row>
    <row r="23" spans="1:17">
      <c r="A23" s="63">
        <v>10</v>
      </c>
      <c r="B23" s="83" t="s">
        <v>208</v>
      </c>
      <c r="C23" s="87" t="s">
        <v>197</v>
      </c>
      <c r="D23" s="64">
        <v>10</v>
      </c>
      <c r="E23" s="64">
        <v>10</v>
      </c>
      <c r="F23" s="64"/>
      <c r="G23" s="64">
        <v>5</v>
      </c>
      <c r="H23" s="64"/>
      <c r="I23" s="64"/>
      <c r="J23" s="64"/>
      <c r="K23" s="64"/>
      <c r="L23" s="64">
        <f t="shared" si="1"/>
        <v>5</v>
      </c>
      <c r="M23" s="64"/>
      <c r="N23" s="64"/>
      <c r="O23" s="64"/>
      <c r="P23" s="64">
        <v>5</v>
      </c>
      <c r="Q23" s="62">
        <f t="shared" si="0"/>
        <v>10</v>
      </c>
    </row>
    <row r="24" spans="1:17">
      <c r="A24" s="74">
        <v>5</v>
      </c>
      <c r="B24" s="84" t="s">
        <v>209</v>
      </c>
      <c r="C24" s="88" t="s">
        <v>212</v>
      </c>
      <c r="D24" s="75">
        <v>5</v>
      </c>
      <c r="E24" s="75">
        <v>5</v>
      </c>
      <c r="F24" s="75"/>
      <c r="G24" s="75"/>
      <c r="H24" s="75"/>
      <c r="I24" s="75"/>
      <c r="J24" s="75"/>
      <c r="K24" s="75"/>
      <c r="L24" s="75">
        <f t="shared" si="1"/>
        <v>0</v>
      </c>
      <c r="M24" s="75"/>
      <c r="N24" s="75"/>
      <c r="O24" s="75">
        <v>5</v>
      </c>
      <c r="P24" s="75"/>
      <c r="Q24" s="62">
        <f t="shared" si="0"/>
        <v>5</v>
      </c>
    </row>
    <row r="25" spans="1:17">
      <c r="A25" s="63">
        <v>10</v>
      </c>
      <c r="B25" s="83" t="s">
        <v>229</v>
      </c>
      <c r="C25" s="87" t="s">
        <v>213</v>
      </c>
      <c r="D25" s="64">
        <v>50</v>
      </c>
      <c r="E25" s="64">
        <v>5</v>
      </c>
      <c r="F25" s="64"/>
      <c r="G25" s="64">
        <v>5</v>
      </c>
      <c r="H25" s="64"/>
      <c r="I25" s="64"/>
      <c r="J25" s="64"/>
      <c r="K25" s="64"/>
      <c r="L25" s="64">
        <f t="shared" si="1"/>
        <v>5</v>
      </c>
      <c r="M25" s="64"/>
      <c r="N25" s="64"/>
      <c r="O25" s="64"/>
      <c r="P25" s="64"/>
      <c r="Q25" s="62">
        <f t="shared" si="0"/>
        <v>5</v>
      </c>
    </row>
    <row r="26" spans="1:17">
      <c r="A26" s="74">
        <v>5</v>
      </c>
      <c r="B26" s="84" t="s">
        <v>279</v>
      </c>
      <c r="C26" s="88" t="s">
        <v>281</v>
      </c>
      <c r="D26" s="75">
        <v>370</v>
      </c>
      <c r="E26" s="75">
        <v>55</v>
      </c>
      <c r="F26" s="75">
        <v>10</v>
      </c>
      <c r="G26" s="75">
        <v>5</v>
      </c>
      <c r="H26" s="75">
        <v>10</v>
      </c>
      <c r="I26" s="75">
        <v>5</v>
      </c>
      <c r="J26" s="75"/>
      <c r="K26" s="75"/>
      <c r="L26" s="75">
        <f t="shared" si="1"/>
        <v>30</v>
      </c>
      <c r="M26" s="75">
        <v>5</v>
      </c>
      <c r="N26" s="75">
        <v>5</v>
      </c>
      <c r="O26" s="75">
        <v>5</v>
      </c>
      <c r="P26" s="75">
        <v>10</v>
      </c>
      <c r="Q26" s="62">
        <f t="shared" si="0"/>
        <v>55</v>
      </c>
    </row>
    <row r="27" spans="1:17">
      <c r="D27" s="165">
        <f t="shared" ref="D27" si="2">SUM(D2:D26)</f>
        <v>20524</v>
      </c>
      <c r="E27" s="165">
        <f>SUM(E2:E26)</f>
        <v>4004</v>
      </c>
      <c r="F27" s="165">
        <f t="shared" ref="F27:Q27" si="3">SUM(F2:F26)</f>
        <v>685</v>
      </c>
      <c r="G27" s="165">
        <f t="shared" si="3"/>
        <v>611</v>
      </c>
      <c r="H27" s="165">
        <f t="shared" si="3"/>
        <v>838</v>
      </c>
      <c r="I27" s="165">
        <f t="shared" si="3"/>
        <v>385</v>
      </c>
      <c r="J27" s="165">
        <f t="shared" si="3"/>
        <v>140</v>
      </c>
      <c r="K27" s="165">
        <f t="shared" si="3"/>
        <v>0</v>
      </c>
      <c r="L27" s="165">
        <f t="shared" si="3"/>
        <v>2659</v>
      </c>
      <c r="M27" s="165">
        <f t="shared" si="3"/>
        <v>327</v>
      </c>
      <c r="N27" s="165">
        <f t="shared" si="3"/>
        <v>348</v>
      </c>
      <c r="O27" s="165">
        <f t="shared" si="3"/>
        <v>505</v>
      </c>
      <c r="P27" s="165">
        <f t="shared" si="3"/>
        <v>165</v>
      </c>
      <c r="Q27" s="165">
        <f t="shared" si="3"/>
        <v>4004</v>
      </c>
    </row>
  </sheetData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V98"/>
  <sheetViews>
    <sheetView workbookViewId="0">
      <pane xSplit="6" ySplit="6" topLeftCell="FB80" activePane="bottomRight" state="frozen"/>
      <selection pane="topRight" activeCell="G1" sqref="G1"/>
      <selection pane="bottomLeft" activeCell="A7" sqref="A7"/>
      <selection pane="bottomRight" activeCell="E93" sqref="E93:E98"/>
    </sheetView>
  </sheetViews>
  <sheetFormatPr defaultColWidth="28.6640625" defaultRowHeight="10.199999999999999"/>
  <cols>
    <col min="1" max="1" width="8.6640625" style="9" bestFit="1" customWidth="1"/>
    <col min="2" max="2" width="12.33203125" style="9" bestFit="1" customWidth="1"/>
    <col min="3" max="4" width="8.6640625" style="9" bestFit="1" customWidth="1"/>
    <col min="5" max="5" width="13.44140625" style="9" bestFit="1" customWidth="1"/>
    <col min="6" max="6" width="9.21875" style="9" bestFit="1" customWidth="1"/>
    <col min="7" max="7" width="10.88671875" style="9" bestFit="1" customWidth="1"/>
    <col min="8" max="8" width="13.5546875" style="9" bestFit="1" customWidth="1"/>
    <col min="9" max="9" width="14.109375" style="9" bestFit="1" customWidth="1"/>
    <col min="10" max="10" width="13.88671875" style="9" bestFit="1" customWidth="1"/>
    <col min="11" max="11" width="13.77734375" style="9" bestFit="1" customWidth="1"/>
    <col min="12" max="12" width="14.109375" style="9" bestFit="1" customWidth="1"/>
    <col min="13" max="13" width="13.109375" style="9" bestFit="1" customWidth="1"/>
    <col min="14" max="14" width="14.44140625" style="9" bestFit="1" customWidth="1"/>
    <col min="15" max="15" width="14.5546875" style="9" bestFit="1" customWidth="1"/>
    <col min="16" max="16" width="14.21875" style="9" bestFit="1" customWidth="1"/>
    <col min="17" max="17" width="14.109375" style="9" bestFit="1" customWidth="1"/>
    <col min="18" max="18" width="20.6640625" style="9" bestFit="1" customWidth="1"/>
    <col min="19" max="19" width="15" style="9" bestFit="1" customWidth="1"/>
    <col min="20" max="20" width="13.44140625" style="9" bestFit="1" customWidth="1"/>
    <col min="21" max="21" width="13.77734375" style="9" bestFit="1" customWidth="1"/>
    <col min="22" max="22" width="14.21875" style="9" bestFit="1" customWidth="1"/>
    <col min="23" max="23" width="14.88671875" style="9" bestFit="1" customWidth="1"/>
    <col min="24" max="24" width="17.21875" style="9" bestFit="1" customWidth="1"/>
    <col min="25" max="25" width="13.44140625" style="9" bestFit="1" customWidth="1"/>
    <col min="26" max="26" width="14.109375" style="9" bestFit="1" customWidth="1"/>
    <col min="27" max="27" width="19.6640625" style="9" bestFit="1" customWidth="1"/>
    <col min="28" max="28" width="13.77734375" style="9" bestFit="1" customWidth="1"/>
    <col min="29" max="29" width="14.21875" style="9" bestFit="1" customWidth="1"/>
    <col min="30" max="30" width="14.88671875" style="9" bestFit="1" customWidth="1"/>
    <col min="31" max="31" width="17.21875" style="9" bestFit="1" customWidth="1"/>
    <col min="32" max="32" width="13.6640625" style="9" bestFit="1" customWidth="1"/>
    <col min="33" max="33" width="14" style="9" bestFit="1" customWidth="1"/>
    <col min="34" max="34" width="17.44140625" style="9" bestFit="1" customWidth="1"/>
    <col min="35" max="35" width="13.44140625" style="9" bestFit="1" customWidth="1"/>
    <col min="36" max="36" width="17.77734375" style="9" bestFit="1" customWidth="1"/>
    <col min="37" max="37" width="20.6640625" style="9" bestFit="1" customWidth="1"/>
    <col min="38" max="38" width="15" style="9" bestFit="1" customWidth="1"/>
    <col min="39" max="39" width="13.77734375" style="9" bestFit="1" customWidth="1"/>
    <col min="40" max="40" width="17.33203125" style="9" bestFit="1" customWidth="1"/>
    <col min="41" max="41" width="13.6640625" style="9" bestFit="1" customWidth="1"/>
    <col min="42" max="42" width="15.21875" style="9" bestFit="1" customWidth="1"/>
    <col min="43" max="43" width="18.109375" style="9" bestFit="1" customWidth="1"/>
    <col min="44" max="44" width="20.88671875" style="9" bestFit="1" customWidth="1"/>
    <col min="45" max="45" width="15.21875" style="9" bestFit="1" customWidth="1"/>
    <col min="46" max="46" width="13.6640625" style="9" bestFit="1" customWidth="1"/>
    <col min="47" max="47" width="14" style="9" bestFit="1" customWidth="1"/>
    <col min="48" max="48" width="14.109375" style="9" bestFit="1" customWidth="1"/>
    <col min="49" max="49" width="15.6640625" style="9" bestFit="1" customWidth="1"/>
    <col min="50" max="50" width="20.6640625" style="9" bestFit="1" customWidth="1"/>
    <col min="51" max="51" width="15" style="9" bestFit="1" customWidth="1"/>
    <col min="52" max="52" width="13.44140625" style="9" bestFit="1" customWidth="1"/>
    <col min="53" max="53" width="13.77734375" style="9" bestFit="1" customWidth="1"/>
    <col min="54" max="54" width="14.88671875" style="9" bestFit="1" customWidth="1"/>
    <col min="55" max="55" width="13.44140625" style="9" bestFit="1" customWidth="1"/>
    <col min="56" max="56" width="24" style="9" bestFit="1" customWidth="1"/>
    <col min="57" max="57" width="15" style="9" bestFit="1" customWidth="1"/>
    <col min="58" max="58" width="13.44140625" style="9" bestFit="1" customWidth="1"/>
    <col min="59" max="59" width="13.77734375" style="9" bestFit="1" customWidth="1"/>
    <col min="60" max="60" width="14.88671875" style="9" bestFit="1" customWidth="1"/>
    <col min="61" max="61" width="17.21875" style="9" bestFit="1" customWidth="1"/>
    <col min="62" max="62" width="20.88671875" style="9" bestFit="1" customWidth="1"/>
    <col min="63" max="63" width="15.109375" style="9" bestFit="1" customWidth="1"/>
    <col min="64" max="64" width="17.44140625" style="9" bestFit="1" customWidth="1"/>
    <col min="65" max="65" width="14.88671875" style="9" bestFit="1" customWidth="1"/>
    <col min="66" max="66" width="15.109375" style="9" bestFit="1" customWidth="1"/>
    <col min="67" max="67" width="19.5546875" style="9" bestFit="1" customWidth="1"/>
    <col min="68" max="68" width="17.6640625" style="9" bestFit="1" customWidth="1"/>
    <col min="69" max="69" width="20.44140625" style="9" bestFit="1" customWidth="1"/>
    <col min="70" max="70" width="21.44140625" style="9" bestFit="1" customWidth="1"/>
    <col min="71" max="71" width="20.33203125" style="9" bestFit="1" customWidth="1"/>
    <col min="72" max="72" width="18.6640625" style="9" bestFit="1" customWidth="1"/>
    <col min="73" max="73" width="18.88671875" style="9" bestFit="1" customWidth="1"/>
    <col min="74" max="74" width="16.88671875" style="9" bestFit="1" customWidth="1"/>
    <col min="75" max="75" width="19.6640625" style="9" bestFit="1" customWidth="1"/>
    <col min="76" max="76" width="20.6640625" style="9" bestFit="1" customWidth="1"/>
    <col min="77" max="77" width="24" style="9" bestFit="1" customWidth="1"/>
    <col min="78" max="78" width="21.6640625" style="9" bestFit="1" customWidth="1"/>
    <col min="79" max="79" width="19.5546875" style="9" bestFit="1" customWidth="1"/>
    <col min="80" max="81" width="18.88671875" style="9" bestFit="1" customWidth="1"/>
    <col min="82" max="82" width="16.88671875" style="9" bestFit="1" customWidth="1"/>
    <col min="83" max="83" width="19.6640625" style="9" bestFit="1" customWidth="1"/>
    <col min="84" max="84" width="20.6640625" style="9" bestFit="1" customWidth="1"/>
    <col min="85" max="85" width="19.5546875" style="9" bestFit="1" customWidth="1"/>
    <col min="86" max="86" width="19.77734375" style="9" bestFit="1" customWidth="1"/>
    <col min="87" max="87" width="20.88671875" style="9" bestFit="1" customWidth="1"/>
    <col min="88" max="88" width="22" style="9" bestFit="1" customWidth="1"/>
    <col min="89" max="89" width="19.21875" style="9" bestFit="1" customWidth="1"/>
    <col min="90" max="90" width="17.6640625" style="9" bestFit="1" customWidth="1"/>
    <col min="91" max="91" width="20.44140625" style="9" bestFit="1" customWidth="1"/>
    <col min="92" max="92" width="21.44140625" style="9" bestFit="1" customWidth="1"/>
    <col min="93" max="93" width="24.109375" style="9" bestFit="1" customWidth="1"/>
    <col min="94" max="100" width="15.77734375" style="9" bestFit="1" customWidth="1"/>
    <col min="101" max="101" width="17.6640625" style="9" bestFit="1" customWidth="1"/>
    <col min="102" max="102" width="20.33203125" style="9" bestFit="1" customWidth="1"/>
    <col min="103" max="103" width="19.77734375" style="9" bestFit="1" customWidth="1"/>
    <col min="104" max="104" width="20.88671875" style="9" bestFit="1" customWidth="1"/>
    <col min="105" max="105" width="22" style="9" bestFit="1" customWidth="1"/>
    <col min="106" max="106" width="19.21875" style="9" bestFit="1" customWidth="1"/>
    <col min="107" max="107" width="17.6640625" style="9" bestFit="1" customWidth="1"/>
    <col min="108" max="108" width="20.44140625" style="9" bestFit="1" customWidth="1"/>
    <col min="109" max="109" width="21.44140625" style="9" bestFit="1" customWidth="1"/>
    <col min="110" max="110" width="17.6640625" style="9" bestFit="1" customWidth="1"/>
    <col min="111" max="111" width="20.33203125" style="9" bestFit="1" customWidth="1"/>
    <col min="112" max="113" width="19.77734375" style="9" bestFit="1" customWidth="1"/>
    <col min="114" max="114" width="20.88671875" style="9" bestFit="1" customWidth="1"/>
    <col min="115" max="115" width="22" style="9" bestFit="1" customWidth="1"/>
    <col min="116" max="116" width="19.21875" style="9" bestFit="1" customWidth="1"/>
    <col min="117" max="117" width="17.6640625" style="9" bestFit="1" customWidth="1"/>
    <col min="118" max="118" width="20.44140625" style="9" bestFit="1" customWidth="1"/>
    <col min="119" max="119" width="21.44140625" style="9" bestFit="1" customWidth="1"/>
    <col min="120" max="124" width="15.77734375" style="9" bestFit="1" customWidth="1"/>
    <col min="125" max="126" width="17.6640625" style="9" bestFit="1" customWidth="1"/>
    <col min="127" max="127" width="20.33203125" style="9" bestFit="1" customWidth="1"/>
    <col min="128" max="128" width="13.44140625" style="9" bestFit="1" customWidth="1"/>
    <col min="129" max="129" width="14.21875" style="9" bestFit="1" customWidth="1"/>
    <col min="130" max="131" width="14.109375" style="9" bestFit="1" customWidth="1"/>
    <col min="132" max="132" width="14.5546875" style="9" bestFit="1" customWidth="1"/>
    <col min="133" max="133" width="13.6640625" style="9" bestFit="1" customWidth="1"/>
    <col min="134" max="134" width="14.109375" style="9" bestFit="1" customWidth="1"/>
    <col min="135" max="135" width="13.44140625" style="9" bestFit="1" customWidth="1"/>
    <col min="136" max="136" width="14.109375" style="9" bestFit="1" customWidth="1"/>
    <col min="137" max="138" width="20.6640625" style="9" bestFit="1" customWidth="1"/>
    <col min="139" max="139" width="13.77734375" style="9" bestFit="1" customWidth="1"/>
    <col min="140" max="140" width="14.5546875" style="9" bestFit="1" customWidth="1"/>
    <col min="141" max="141" width="20.6640625" style="9" bestFit="1" customWidth="1"/>
    <col min="142" max="142" width="14.88671875" style="9" bestFit="1" customWidth="1"/>
    <col min="143" max="143" width="17.21875" style="9" bestFit="1" customWidth="1"/>
    <col min="144" max="144" width="16.109375" style="9" bestFit="1" customWidth="1"/>
    <col min="145" max="146" width="18.88671875" style="9" bestFit="1" customWidth="1"/>
    <col min="147" max="147" width="17.109375" style="9" bestFit="1" customWidth="1"/>
    <col min="148" max="148" width="17.77734375" style="9" bestFit="1" customWidth="1"/>
    <col min="149" max="149" width="20.6640625" style="9" bestFit="1" customWidth="1"/>
    <col min="150" max="150" width="15.109375" style="9" bestFit="1" customWidth="1"/>
    <col min="151" max="151" width="18.88671875" style="9" bestFit="1" customWidth="1"/>
    <col min="152" max="152" width="19.5546875" style="9" bestFit="1" customWidth="1"/>
    <col min="153" max="153" width="13.88671875" style="9" bestFit="1" customWidth="1"/>
    <col min="154" max="154" width="17.6640625" style="9" bestFit="1" customWidth="1"/>
    <col min="155" max="155" width="21.44140625" style="9" bestFit="1" customWidth="1"/>
    <col min="156" max="156" width="18.109375" style="9" bestFit="1" customWidth="1"/>
    <col min="157" max="157" width="12.21875" style="9" bestFit="1" customWidth="1"/>
    <col min="158" max="160" width="19.77734375" style="9" bestFit="1" customWidth="1"/>
    <col min="161" max="161" width="13.88671875" style="9" bestFit="1" customWidth="1"/>
    <col min="162" max="162" width="21.44140625" style="9" bestFit="1" customWidth="1"/>
    <col min="163" max="163" width="19.77734375" style="9" bestFit="1" customWidth="1"/>
    <col min="164" max="164" width="22" style="9" bestFit="1" customWidth="1"/>
    <col min="165" max="165" width="13.88671875" style="9" bestFit="1" customWidth="1"/>
    <col min="166" max="166" width="21.44140625" style="9" bestFit="1" customWidth="1"/>
    <col min="167" max="167" width="17.77734375" style="9" bestFit="1" customWidth="1"/>
    <col min="168" max="168" width="14.109375" style="9" bestFit="1" customWidth="1"/>
    <col min="169" max="169" width="17.77734375" style="9" bestFit="1" customWidth="1"/>
    <col min="170" max="170" width="17.5546875" style="9" bestFit="1" customWidth="1"/>
    <col min="171" max="171" width="15.6640625" style="9" bestFit="1" customWidth="1"/>
    <col min="172" max="172" width="8.6640625" style="9" bestFit="1" customWidth="1"/>
    <col min="173" max="173" width="9" style="9" bestFit="1" customWidth="1"/>
    <col min="174" max="174" width="7.21875" style="9" bestFit="1" customWidth="1"/>
    <col min="175" max="175" width="11.109375" style="9" bestFit="1" customWidth="1"/>
    <col min="176" max="176" width="12.109375" style="9" bestFit="1" customWidth="1"/>
    <col min="177" max="177" width="6.109375" style="9" bestFit="1" customWidth="1"/>
    <col min="178" max="178" width="12" style="9" bestFit="1" customWidth="1"/>
    <col min="179" max="16384" width="28.6640625" style="9"/>
  </cols>
  <sheetData>
    <row r="1" spans="1:178" s="174" customFormat="1" ht="11.4">
      <c r="A1" s="166"/>
      <c r="B1" s="167"/>
      <c r="C1" s="167"/>
      <c r="D1" s="168"/>
      <c r="E1" s="169"/>
      <c r="F1" s="169"/>
      <c r="G1" s="170" t="s">
        <v>289</v>
      </c>
      <c r="H1" s="169"/>
      <c r="I1" s="169"/>
      <c r="J1" s="169"/>
      <c r="K1" s="169"/>
      <c r="L1" s="169"/>
      <c r="M1" s="169"/>
      <c r="N1" s="169"/>
      <c r="O1" s="169"/>
      <c r="P1" s="169"/>
      <c r="Q1" s="169"/>
      <c r="R1" s="169"/>
      <c r="S1" s="169"/>
      <c r="T1" s="169"/>
      <c r="U1" s="169"/>
      <c r="V1" s="169"/>
      <c r="W1" s="169"/>
      <c r="X1" s="169"/>
      <c r="Y1" s="169"/>
      <c r="Z1" s="169"/>
      <c r="AA1" s="169"/>
      <c r="AB1" s="169"/>
      <c r="AC1" s="169"/>
      <c r="AD1" s="169"/>
      <c r="AE1" s="169"/>
      <c r="AF1" s="169"/>
      <c r="AG1" s="169"/>
      <c r="AH1" s="169"/>
      <c r="AI1" s="169"/>
      <c r="AJ1" s="169"/>
      <c r="AK1" s="169"/>
      <c r="AL1" s="169"/>
      <c r="AM1" s="169"/>
      <c r="AN1" s="169"/>
      <c r="AO1" s="169"/>
      <c r="AP1" s="169"/>
      <c r="AQ1" s="169"/>
      <c r="AR1" s="169"/>
      <c r="AS1" s="169"/>
      <c r="AT1" s="169"/>
      <c r="AU1" s="169"/>
      <c r="AV1" s="169"/>
      <c r="AW1" s="169"/>
      <c r="AX1" s="169"/>
      <c r="AY1" s="169"/>
      <c r="AZ1" s="169"/>
      <c r="BA1" s="169"/>
      <c r="BB1" s="169"/>
      <c r="BC1" s="169"/>
      <c r="BD1" s="169"/>
      <c r="BE1" s="169"/>
      <c r="BF1" s="169"/>
      <c r="BG1" s="169"/>
      <c r="BH1" s="169"/>
      <c r="BI1" s="169"/>
      <c r="BJ1" s="169"/>
      <c r="BK1" s="169"/>
      <c r="BL1" s="169"/>
      <c r="BM1" s="169"/>
      <c r="BN1" s="169"/>
      <c r="BO1" s="171" t="s">
        <v>757</v>
      </c>
      <c r="BP1" s="169"/>
      <c r="BQ1" s="169"/>
      <c r="BR1" s="169"/>
      <c r="BS1" s="169"/>
      <c r="BT1" s="169"/>
      <c r="BU1" s="169"/>
      <c r="BV1" s="169"/>
      <c r="BW1" s="169"/>
      <c r="BX1" s="169"/>
      <c r="BY1" s="169"/>
      <c r="BZ1" s="169"/>
      <c r="CA1" s="169"/>
      <c r="CB1" s="169"/>
      <c r="CC1" s="169"/>
      <c r="CD1" s="169"/>
      <c r="CE1" s="169"/>
      <c r="CF1" s="169"/>
      <c r="CG1" s="169"/>
      <c r="CH1" s="169"/>
      <c r="CI1" s="169"/>
      <c r="CJ1" s="169"/>
      <c r="CK1" s="169"/>
      <c r="CL1" s="169"/>
      <c r="CM1" s="169"/>
      <c r="CN1" s="169"/>
      <c r="CO1" s="169"/>
      <c r="CP1" s="169"/>
      <c r="CQ1" s="169"/>
      <c r="CR1" s="169"/>
      <c r="CS1" s="169"/>
      <c r="CT1" s="169"/>
      <c r="CU1" s="169"/>
      <c r="CV1" s="169"/>
      <c r="CW1" s="169"/>
      <c r="CX1" s="169"/>
      <c r="CY1" s="169"/>
      <c r="CZ1" s="169"/>
      <c r="DA1" s="169"/>
      <c r="DB1" s="169"/>
      <c r="DC1" s="169"/>
      <c r="DD1" s="169"/>
      <c r="DE1" s="169"/>
      <c r="DF1" s="169"/>
      <c r="DG1" s="169"/>
      <c r="DH1" s="169"/>
      <c r="DI1" s="169"/>
      <c r="DJ1" s="169"/>
      <c r="DK1" s="169"/>
      <c r="DL1" s="169"/>
      <c r="DM1" s="169"/>
      <c r="DN1" s="169"/>
      <c r="DO1" s="169"/>
      <c r="DP1" s="169"/>
      <c r="DQ1" s="169"/>
      <c r="DR1" s="169"/>
      <c r="DS1" s="169"/>
      <c r="DT1" s="169"/>
      <c r="DU1" s="169"/>
      <c r="DV1" s="169"/>
      <c r="DW1" s="169"/>
      <c r="DX1" s="169"/>
      <c r="DY1" s="169"/>
      <c r="DZ1" s="169"/>
      <c r="EA1" s="169"/>
      <c r="EB1" s="169"/>
      <c r="EC1" s="169"/>
      <c r="ED1" s="169"/>
      <c r="EE1" s="169"/>
      <c r="EF1" s="169"/>
      <c r="EG1" s="169"/>
      <c r="EH1" s="169"/>
      <c r="EI1" s="169"/>
      <c r="EJ1" s="169"/>
      <c r="EK1" s="169"/>
      <c r="EL1" s="169"/>
      <c r="EM1" s="169"/>
      <c r="EN1" s="169"/>
      <c r="EO1" s="169"/>
      <c r="EP1" s="169"/>
      <c r="EQ1" s="169"/>
      <c r="ER1" s="169"/>
      <c r="ES1" s="169"/>
      <c r="ET1" s="169"/>
      <c r="EU1" s="169"/>
      <c r="EV1" s="169"/>
      <c r="EW1" s="169"/>
      <c r="EX1" s="169"/>
      <c r="EY1" s="169"/>
      <c r="EZ1" s="169"/>
      <c r="FA1" s="169"/>
      <c r="FB1" s="169"/>
      <c r="FC1" s="169"/>
      <c r="FD1" s="169"/>
      <c r="FE1" s="169"/>
      <c r="FF1" s="169"/>
      <c r="FG1" s="169"/>
      <c r="FH1" s="169"/>
      <c r="FI1" s="169"/>
      <c r="FJ1" s="169"/>
      <c r="FK1" s="169"/>
      <c r="FL1" s="169"/>
      <c r="FM1" s="169"/>
      <c r="FN1" s="169"/>
      <c r="FO1" s="169"/>
      <c r="FP1" s="172"/>
      <c r="FQ1" s="169"/>
      <c r="FR1" s="173"/>
      <c r="FS1" s="167"/>
      <c r="FT1" s="167"/>
      <c r="FU1" s="167"/>
      <c r="FV1" s="167"/>
    </row>
    <row r="2" spans="1:178" s="174" customFormat="1" ht="11.4">
      <c r="A2" s="175"/>
      <c r="B2" s="176"/>
      <c r="C2" s="176"/>
      <c r="D2" s="176"/>
      <c r="E2" s="177"/>
      <c r="F2" s="177"/>
      <c r="G2" s="170" t="s">
        <v>290</v>
      </c>
      <c r="H2" s="178" t="s">
        <v>1</v>
      </c>
      <c r="I2" s="178" t="s">
        <v>291</v>
      </c>
      <c r="J2" s="178" t="s">
        <v>293</v>
      </c>
      <c r="K2" s="178" t="s">
        <v>291</v>
      </c>
      <c r="L2" s="178" t="s">
        <v>1</v>
      </c>
      <c r="M2" s="178" t="s">
        <v>1</v>
      </c>
      <c r="N2" s="179" t="s">
        <v>1</v>
      </c>
      <c r="O2" s="178" t="s">
        <v>1</v>
      </c>
      <c r="P2" s="178" t="s">
        <v>1</v>
      </c>
      <c r="Q2" s="178" t="s">
        <v>291</v>
      </c>
      <c r="R2" s="178" t="s">
        <v>291</v>
      </c>
      <c r="S2" s="178" t="s">
        <v>1</v>
      </c>
      <c r="T2" s="178" t="s">
        <v>291</v>
      </c>
      <c r="U2" s="178" t="s">
        <v>1</v>
      </c>
      <c r="V2" s="178" t="s">
        <v>1</v>
      </c>
      <c r="W2" s="178" t="s">
        <v>1</v>
      </c>
      <c r="X2" s="178" t="s">
        <v>1</v>
      </c>
      <c r="Y2" s="178" t="s">
        <v>1</v>
      </c>
      <c r="Z2" s="178" t="s">
        <v>1</v>
      </c>
      <c r="AA2" s="178" t="s">
        <v>1</v>
      </c>
      <c r="AB2" s="178" t="s">
        <v>1</v>
      </c>
      <c r="AC2" s="178" t="s">
        <v>1</v>
      </c>
      <c r="AD2" s="179" t="s">
        <v>291</v>
      </c>
      <c r="AE2" s="178" t="s">
        <v>1</v>
      </c>
      <c r="AF2" s="178" t="s">
        <v>1</v>
      </c>
      <c r="AG2" s="179" t="s">
        <v>292</v>
      </c>
      <c r="AH2" s="179" t="s">
        <v>291</v>
      </c>
      <c r="AI2" s="178" t="s">
        <v>1</v>
      </c>
      <c r="AJ2" s="178" t="s">
        <v>1</v>
      </c>
      <c r="AK2" s="178" t="s">
        <v>1</v>
      </c>
      <c r="AL2" s="178" t="s">
        <v>1</v>
      </c>
      <c r="AM2" s="178" t="s">
        <v>1</v>
      </c>
      <c r="AN2" s="178" t="s">
        <v>1</v>
      </c>
      <c r="AO2" s="179" t="s">
        <v>291</v>
      </c>
      <c r="AP2" s="178" t="s">
        <v>1</v>
      </c>
      <c r="AQ2" s="179" t="s">
        <v>294</v>
      </c>
      <c r="AR2" s="178" t="s">
        <v>291</v>
      </c>
      <c r="AS2" s="178" t="s">
        <v>1</v>
      </c>
      <c r="AT2" s="179" t="s">
        <v>292</v>
      </c>
      <c r="AU2" s="178" t="s">
        <v>1</v>
      </c>
      <c r="AV2" s="178" t="s">
        <v>291</v>
      </c>
      <c r="AW2" s="178" t="s">
        <v>1</v>
      </c>
      <c r="AX2" s="178" t="s">
        <v>1</v>
      </c>
      <c r="AY2" s="179" t="s">
        <v>1</v>
      </c>
      <c r="AZ2" s="179" t="s">
        <v>452</v>
      </c>
      <c r="BA2" s="178" t="s">
        <v>291</v>
      </c>
      <c r="BB2" s="178" t="s">
        <v>291</v>
      </c>
      <c r="BC2" s="179" t="s">
        <v>292</v>
      </c>
      <c r="BD2" s="178" t="s">
        <v>1</v>
      </c>
      <c r="BE2" s="178" t="s">
        <v>1</v>
      </c>
      <c r="BF2" s="179" t="s">
        <v>452</v>
      </c>
      <c r="BG2" s="179" t="s">
        <v>292</v>
      </c>
      <c r="BH2" s="178" t="s">
        <v>1</v>
      </c>
      <c r="BI2" s="178" t="s">
        <v>1</v>
      </c>
      <c r="BJ2" s="178" t="s">
        <v>1</v>
      </c>
      <c r="BK2" s="178" t="s">
        <v>1</v>
      </c>
      <c r="BL2" s="178" t="s">
        <v>1</v>
      </c>
      <c r="BM2" s="178" t="s">
        <v>1</v>
      </c>
      <c r="BN2" s="179" t="s">
        <v>293</v>
      </c>
      <c r="BO2" s="178" t="s">
        <v>1</v>
      </c>
      <c r="BP2" s="178" t="s">
        <v>1</v>
      </c>
      <c r="BQ2" s="179" t="s">
        <v>294</v>
      </c>
      <c r="BR2" s="178" t="s">
        <v>1</v>
      </c>
      <c r="BS2" s="178" t="s">
        <v>1</v>
      </c>
      <c r="BT2" s="178" t="s">
        <v>1</v>
      </c>
      <c r="BU2" s="178" t="s">
        <v>1</v>
      </c>
      <c r="BV2" s="179" t="s">
        <v>292</v>
      </c>
      <c r="BW2" s="178" t="s">
        <v>1</v>
      </c>
      <c r="BX2" s="178" t="s">
        <v>1</v>
      </c>
      <c r="BY2" s="178" t="s">
        <v>1</v>
      </c>
      <c r="BZ2" s="178" t="s">
        <v>1</v>
      </c>
      <c r="CA2" s="178" t="s">
        <v>1</v>
      </c>
      <c r="CB2" s="178" t="s">
        <v>1</v>
      </c>
      <c r="CC2" s="178" t="s">
        <v>1</v>
      </c>
      <c r="CD2" s="178" t="s">
        <v>1</v>
      </c>
      <c r="CE2" s="178" t="s">
        <v>1</v>
      </c>
      <c r="CF2" s="179" t="s">
        <v>294</v>
      </c>
      <c r="CG2" s="178" t="s">
        <v>1</v>
      </c>
      <c r="CH2" s="178" t="s">
        <v>1</v>
      </c>
      <c r="CI2" s="178" t="s">
        <v>1</v>
      </c>
      <c r="CJ2" s="178" t="s">
        <v>1</v>
      </c>
      <c r="CK2" s="178" t="s">
        <v>1</v>
      </c>
      <c r="CL2" s="178" t="s">
        <v>1</v>
      </c>
      <c r="CM2" s="178" t="s">
        <v>1</v>
      </c>
      <c r="CN2" s="179" t="s">
        <v>293</v>
      </c>
      <c r="CO2" s="178" t="s">
        <v>1</v>
      </c>
      <c r="CP2" s="178" t="s">
        <v>1</v>
      </c>
      <c r="CQ2" s="178" t="s">
        <v>1</v>
      </c>
      <c r="CR2" s="178" t="s">
        <v>1</v>
      </c>
      <c r="CS2" s="178" t="s">
        <v>1</v>
      </c>
      <c r="CT2" s="178" t="s">
        <v>1</v>
      </c>
      <c r="CU2" s="178" t="s">
        <v>1</v>
      </c>
      <c r="CV2" s="178" t="s">
        <v>1</v>
      </c>
      <c r="CW2" s="178" t="s">
        <v>1</v>
      </c>
      <c r="CX2" s="178" t="s">
        <v>1</v>
      </c>
      <c r="CY2" s="178" t="s">
        <v>1</v>
      </c>
      <c r="CZ2" s="178" t="s">
        <v>1</v>
      </c>
      <c r="DA2" s="178" t="s">
        <v>1</v>
      </c>
      <c r="DB2" s="178" t="s">
        <v>1</v>
      </c>
      <c r="DC2" s="178" t="s">
        <v>1</v>
      </c>
      <c r="DD2" s="178" t="s">
        <v>1</v>
      </c>
      <c r="DE2" s="178" t="s">
        <v>1</v>
      </c>
      <c r="DF2" s="178" t="s">
        <v>1</v>
      </c>
      <c r="DG2" s="178" t="s">
        <v>1</v>
      </c>
      <c r="DH2" s="179" t="s">
        <v>294</v>
      </c>
      <c r="DI2" s="178" t="s">
        <v>1</v>
      </c>
      <c r="DJ2" s="178" t="s">
        <v>1</v>
      </c>
      <c r="DK2" s="178" t="s">
        <v>1</v>
      </c>
      <c r="DL2" s="178" t="s">
        <v>1</v>
      </c>
      <c r="DM2" s="178" t="s">
        <v>1</v>
      </c>
      <c r="DN2" s="178" t="s">
        <v>1</v>
      </c>
      <c r="DO2" s="178" t="s">
        <v>1</v>
      </c>
      <c r="DP2" s="178" t="s">
        <v>1</v>
      </c>
      <c r="DQ2" s="178" t="s">
        <v>1</v>
      </c>
      <c r="DR2" s="178" t="s">
        <v>1</v>
      </c>
      <c r="DS2" s="178" t="s">
        <v>1</v>
      </c>
      <c r="DT2" s="178" t="s">
        <v>1</v>
      </c>
      <c r="DU2" s="178" t="s">
        <v>1</v>
      </c>
      <c r="DV2" s="178" t="s">
        <v>1</v>
      </c>
      <c r="DW2" s="178" t="s">
        <v>1</v>
      </c>
      <c r="DX2" s="178" t="s">
        <v>291</v>
      </c>
      <c r="DY2" s="178" t="s">
        <v>291</v>
      </c>
      <c r="DZ2" s="179" t="s">
        <v>295</v>
      </c>
      <c r="EA2" s="178" t="s">
        <v>1</v>
      </c>
      <c r="EB2" s="178" t="s">
        <v>291</v>
      </c>
      <c r="EC2" s="178" t="s">
        <v>291</v>
      </c>
      <c r="ED2" s="178" t="s">
        <v>291</v>
      </c>
      <c r="EE2" s="178" t="s">
        <v>1</v>
      </c>
      <c r="EF2" s="178" t="s">
        <v>1</v>
      </c>
      <c r="EG2" s="178" t="s">
        <v>1</v>
      </c>
      <c r="EH2" s="178" t="s">
        <v>1</v>
      </c>
      <c r="EI2" s="178" t="s">
        <v>1</v>
      </c>
      <c r="EJ2" s="178" t="s">
        <v>1</v>
      </c>
      <c r="EK2" s="178" t="s">
        <v>1</v>
      </c>
      <c r="EL2" s="178" t="s">
        <v>1</v>
      </c>
      <c r="EM2" s="178" t="s">
        <v>1</v>
      </c>
      <c r="EN2" s="178" t="s">
        <v>1</v>
      </c>
      <c r="EO2" s="178" t="s">
        <v>1</v>
      </c>
      <c r="EP2" s="178" t="s">
        <v>1</v>
      </c>
      <c r="EQ2" s="178" t="s">
        <v>1</v>
      </c>
      <c r="ER2" s="178" t="s">
        <v>1</v>
      </c>
      <c r="ES2" s="178" t="s">
        <v>1</v>
      </c>
      <c r="ET2" s="178" t="s">
        <v>1</v>
      </c>
      <c r="EU2" s="178" t="s">
        <v>1</v>
      </c>
      <c r="EV2" s="178" t="s">
        <v>1</v>
      </c>
      <c r="EW2" s="178" t="s">
        <v>293</v>
      </c>
      <c r="EX2" s="178" t="s">
        <v>1</v>
      </c>
      <c r="EY2" s="178" t="s">
        <v>1</v>
      </c>
      <c r="EZ2" s="178" t="s">
        <v>1</v>
      </c>
      <c r="FA2" s="178" t="s">
        <v>293</v>
      </c>
      <c r="FB2" s="178" t="s">
        <v>1</v>
      </c>
      <c r="FC2" s="178" t="s">
        <v>1</v>
      </c>
      <c r="FD2" s="178" t="s">
        <v>1</v>
      </c>
      <c r="FE2" s="178" t="s">
        <v>293</v>
      </c>
      <c r="FF2" s="178" t="s">
        <v>1</v>
      </c>
      <c r="FG2" s="178" t="s">
        <v>1</v>
      </c>
      <c r="FH2" s="178" t="s">
        <v>1</v>
      </c>
      <c r="FI2" s="178" t="s">
        <v>293</v>
      </c>
      <c r="FJ2" s="178" t="s">
        <v>1</v>
      </c>
      <c r="FK2" s="178" t="s">
        <v>1</v>
      </c>
      <c r="FL2" s="178" t="s">
        <v>1</v>
      </c>
      <c r="FM2" s="178" t="s">
        <v>1</v>
      </c>
      <c r="FN2" s="178" t="s">
        <v>1</v>
      </c>
      <c r="FO2" s="178" t="s">
        <v>1</v>
      </c>
      <c r="FP2" s="172"/>
      <c r="FQ2" s="177"/>
      <c r="FR2" s="180"/>
      <c r="FS2" s="176"/>
      <c r="FT2" s="176"/>
      <c r="FU2" s="176"/>
      <c r="FV2" s="176"/>
    </row>
    <row r="3" spans="1:178" s="174" customFormat="1" ht="11.4">
      <c r="A3" s="175"/>
      <c r="B3" s="176"/>
      <c r="C3" s="176"/>
      <c r="D3" s="176"/>
      <c r="E3" s="177"/>
      <c r="F3" s="177"/>
      <c r="G3" s="177" t="s">
        <v>296</v>
      </c>
      <c r="H3" s="178">
        <v>20</v>
      </c>
      <c r="I3" s="178">
        <v>20</v>
      </c>
      <c r="J3" s="178">
        <v>20</v>
      </c>
      <c r="K3" s="178">
        <v>20</v>
      </c>
      <c r="L3" s="178">
        <v>20</v>
      </c>
      <c r="M3" s="178">
        <v>20</v>
      </c>
      <c r="N3" s="178">
        <v>20</v>
      </c>
      <c r="O3" s="178">
        <v>20</v>
      </c>
      <c r="P3" s="178">
        <v>20</v>
      </c>
      <c r="Q3" s="178">
        <v>20</v>
      </c>
      <c r="R3" s="178">
        <v>10</v>
      </c>
      <c r="S3" s="178">
        <v>20</v>
      </c>
      <c r="T3" s="178">
        <v>20</v>
      </c>
      <c r="U3" s="178">
        <v>20</v>
      </c>
      <c r="V3" s="178">
        <v>20</v>
      </c>
      <c r="W3" s="178">
        <v>10</v>
      </c>
      <c r="X3" s="178">
        <v>10</v>
      </c>
      <c r="Y3" s="178">
        <v>20</v>
      </c>
      <c r="Z3" s="178">
        <v>20</v>
      </c>
      <c r="AA3" s="178">
        <v>10</v>
      </c>
      <c r="AB3" s="178">
        <v>20</v>
      </c>
      <c r="AC3" s="178">
        <v>20</v>
      </c>
      <c r="AD3" s="178">
        <v>20</v>
      </c>
      <c r="AE3" s="178">
        <v>20</v>
      </c>
      <c r="AF3" s="178">
        <v>20</v>
      </c>
      <c r="AG3" s="178">
        <v>20</v>
      </c>
      <c r="AH3" s="178">
        <v>10</v>
      </c>
      <c r="AI3" s="178">
        <v>10</v>
      </c>
      <c r="AJ3" s="178">
        <v>10</v>
      </c>
      <c r="AK3" s="178">
        <v>10</v>
      </c>
      <c r="AL3" s="178">
        <v>20</v>
      </c>
      <c r="AM3" s="178">
        <v>10</v>
      </c>
      <c r="AN3" s="178">
        <v>10</v>
      </c>
      <c r="AO3" s="178">
        <v>10</v>
      </c>
      <c r="AP3" s="178">
        <v>5</v>
      </c>
      <c r="AQ3" s="178">
        <v>10</v>
      </c>
      <c r="AR3" s="178">
        <v>10</v>
      </c>
      <c r="AS3" s="178">
        <v>20</v>
      </c>
      <c r="AT3" s="178">
        <v>20</v>
      </c>
      <c r="AU3" s="178">
        <v>10</v>
      </c>
      <c r="AV3" s="178">
        <v>5</v>
      </c>
      <c r="AW3" s="178">
        <v>5</v>
      </c>
      <c r="AX3" s="178">
        <v>10</v>
      </c>
      <c r="AY3" s="178">
        <v>20</v>
      </c>
      <c r="AZ3" s="178">
        <v>20</v>
      </c>
      <c r="BA3" s="178">
        <v>10</v>
      </c>
      <c r="BB3" s="178">
        <v>10</v>
      </c>
      <c r="BC3" s="178">
        <v>10</v>
      </c>
      <c r="BD3" s="178">
        <v>10</v>
      </c>
      <c r="BE3" s="178">
        <v>20</v>
      </c>
      <c r="BF3" s="178">
        <v>20</v>
      </c>
      <c r="BG3" s="178">
        <v>10</v>
      </c>
      <c r="BH3" s="178">
        <v>10</v>
      </c>
      <c r="BI3" s="178">
        <v>10</v>
      </c>
      <c r="BJ3" s="178">
        <v>10</v>
      </c>
      <c r="BK3" s="178">
        <v>10</v>
      </c>
      <c r="BL3" s="178">
        <v>10</v>
      </c>
      <c r="BM3" s="178">
        <v>10</v>
      </c>
      <c r="BN3" s="178">
        <v>10</v>
      </c>
      <c r="BO3" s="178">
        <v>10</v>
      </c>
      <c r="BP3" s="178">
        <v>10</v>
      </c>
      <c r="BQ3" s="178">
        <v>10</v>
      </c>
      <c r="BR3" s="178">
        <v>10</v>
      </c>
      <c r="BS3" s="178">
        <v>10</v>
      </c>
      <c r="BT3" s="178">
        <v>10</v>
      </c>
      <c r="BU3" s="178">
        <v>5</v>
      </c>
      <c r="BV3" s="178">
        <v>10</v>
      </c>
      <c r="BW3" s="178">
        <v>10</v>
      </c>
      <c r="BX3" s="178">
        <v>10</v>
      </c>
      <c r="BY3" s="178">
        <v>10</v>
      </c>
      <c r="BZ3" s="178">
        <v>10</v>
      </c>
      <c r="CA3" s="178">
        <v>10</v>
      </c>
      <c r="CB3" s="178">
        <v>5</v>
      </c>
      <c r="CC3" s="178">
        <v>5</v>
      </c>
      <c r="CD3" s="178">
        <v>10</v>
      </c>
      <c r="CE3" s="178">
        <v>10</v>
      </c>
      <c r="CF3" s="178">
        <v>10</v>
      </c>
      <c r="CG3" s="178">
        <v>10</v>
      </c>
      <c r="CH3" s="178">
        <v>5</v>
      </c>
      <c r="CI3" s="178">
        <v>4</v>
      </c>
      <c r="CJ3" s="178">
        <v>5</v>
      </c>
      <c r="CK3" s="178">
        <v>5</v>
      </c>
      <c r="CL3" s="178">
        <v>10</v>
      </c>
      <c r="CM3" s="178">
        <v>10</v>
      </c>
      <c r="CN3" s="178">
        <v>10</v>
      </c>
      <c r="CO3" s="178">
        <v>10</v>
      </c>
      <c r="CP3" s="178">
        <v>1</v>
      </c>
      <c r="CQ3" s="178">
        <v>1</v>
      </c>
      <c r="CR3" s="178">
        <v>1</v>
      </c>
      <c r="CS3" s="178">
        <v>1</v>
      </c>
      <c r="CT3" s="178">
        <v>1</v>
      </c>
      <c r="CU3" s="178">
        <v>1</v>
      </c>
      <c r="CV3" s="178">
        <v>1</v>
      </c>
      <c r="CW3" s="178">
        <v>10</v>
      </c>
      <c r="CX3" s="178">
        <v>10</v>
      </c>
      <c r="CY3" s="178">
        <v>5</v>
      </c>
      <c r="CZ3" s="178">
        <v>4</v>
      </c>
      <c r="DA3" s="178">
        <v>5</v>
      </c>
      <c r="DB3" s="178">
        <v>5</v>
      </c>
      <c r="DC3" s="178">
        <v>10</v>
      </c>
      <c r="DD3" s="178">
        <v>10</v>
      </c>
      <c r="DE3" s="178">
        <v>10</v>
      </c>
      <c r="DF3" s="178">
        <v>10</v>
      </c>
      <c r="DG3" s="178">
        <v>10</v>
      </c>
      <c r="DH3" s="178">
        <v>5</v>
      </c>
      <c r="DI3" s="178">
        <v>5</v>
      </c>
      <c r="DJ3" s="178">
        <v>4</v>
      </c>
      <c r="DK3" s="178">
        <v>5</v>
      </c>
      <c r="DL3" s="178">
        <v>5</v>
      </c>
      <c r="DM3" s="178">
        <v>10</v>
      </c>
      <c r="DN3" s="178">
        <v>10</v>
      </c>
      <c r="DO3" s="178">
        <v>10</v>
      </c>
      <c r="DP3" s="178">
        <v>1</v>
      </c>
      <c r="DQ3" s="178">
        <v>1</v>
      </c>
      <c r="DR3" s="178">
        <v>1</v>
      </c>
      <c r="DS3" s="178">
        <v>1</v>
      </c>
      <c r="DT3" s="178">
        <v>1</v>
      </c>
      <c r="DU3" s="178">
        <v>10</v>
      </c>
      <c r="DV3" s="178">
        <v>5</v>
      </c>
      <c r="DW3" s="178">
        <v>10</v>
      </c>
      <c r="DX3" s="178">
        <v>30</v>
      </c>
      <c r="DY3" s="178">
        <v>20</v>
      </c>
      <c r="DZ3" s="178">
        <v>30</v>
      </c>
      <c r="EA3" s="178">
        <v>30</v>
      </c>
      <c r="EB3" s="178">
        <v>30</v>
      </c>
      <c r="EC3" s="178">
        <v>20</v>
      </c>
      <c r="ED3" s="178">
        <v>30</v>
      </c>
      <c r="EE3" s="178">
        <v>10</v>
      </c>
      <c r="EF3" s="178">
        <v>10</v>
      </c>
      <c r="EG3" s="178">
        <v>10</v>
      </c>
      <c r="EH3" s="178">
        <v>10</v>
      </c>
      <c r="EI3" s="178">
        <v>10</v>
      </c>
      <c r="EJ3" s="178">
        <v>10</v>
      </c>
      <c r="EK3" s="178">
        <v>10</v>
      </c>
      <c r="EL3" s="178">
        <v>10</v>
      </c>
      <c r="EM3" s="178">
        <v>10</v>
      </c>
      <c r="EN3" s="178">
        <v>10</v>
      </c>
      <c r="EO3" s="178">
        <v>10</v>
      </c>
      <c r="EP3" s="178">
        <v>10</v>
      </c>
      <c r="EQ3" s="178">
        <v>5</v>
      </c>
      <c r="ER3" s="178">
        <v>10</v>
      </c>
      <c r="ES3" s="178">
        <v>10</v>
      </c>
      <c r="ET3" s="178">
        <v>10</v>
      </c>
      <c r="EU3" s="178">
        <v>10</v>
      </c>
      <c r="EV3" s="178" t="s">
        <v>206</v>
      </c>
      <c r="EW3" s="178">
        <v>10</v>
      </c>
      <c r="EX3" s="178">
        <v>10</v>
      </c>
      <c r="EY3" s="178">
        <v>10</v>
      </c>
      <c r="EZ3" s="178">
        <v>5</v>
      </c>
      <c r="FA3" s="178">
        <v>10</v>
      </c>
      <c r="FB3" s="178">
        <v>10</v>
      </c>
      <c r="FC3" s="178">
        <v>5</v>
      </c>
      <c r="FD3" s="178">
        <v>5</v>
      </c>
      <c r="FE3" s="178">
        <v>10</v>
      </c>
      <c r="FF3" s="178">
        <v>10</v>
      </c>
      <c r="FG3" s="178">
        <v>5</v>
      </c>
      <c r="FH3" s="178" t="s">
        <v>206</v>
      </c>
      <c r="FI3" s="178">
        <v>10</v>
      </c>
      <c r="FJ3" s="178">
        <v>10</v>
      </c>
      <c r="FK3" s="178">
        <v>10</v>
      </c>
      <c r="FL3" s="178">
        <v>10</v>
      </c>
      <c r="FM3" s="178">
        <v>10</v>
      </c>
      <c r="FN3" s="178">
        <v>10</v>
      </c>
      <c r="FO3" s="178">
        <v>10</v>
      </c>
      <c r="FP3" s="181"/>
      <c r="FQ3" s="175"/>
      <c r="FR3" s="176"/>
      <c r="FS3" s="177"/>
      <c r="FT3" s="180"/>
      <c r="FU3" s="176"/>
      <c r="FV3" s="176"/>
    </row>
    <row r="4" spans="1:178" s="174" customFormat="1" ht="11.4">
      <c r="A4" s="182"/>
      <c r="B4" s="183"/>
      <c r="C4" s="183"/>
      <c r="D4" s="183"/>
      <c r="E4" s="182"/>
      <c r="F4" s="182"/>
      <c r="G4" s="182" t="s">
        <v>59</v>
      </c>
      <c r="H4" s="184" t="s">
        <v>453</v>
      </c>
      <c r="I4" s="184" t="s">
        <v>454</v>
      </c>
      <c r="J4" s="184" t="s">
        <v>455</v>
      </c>
      <c r="K4" s="184" t="s">
        <v>456</v>
      </c>
      <c r="L4" s="184" t="s">
        <v>297</v>
      </c>
      <c r="M4" s="184" t="s">
        <v>457</v>
      </c>
      <c r="N4" s="184" t="s">
        <v>298</v>
      </c>
      <c r="O4" s="184" t="s">
        <v>458</v>
      </c>
      <c r="P4" s="184" t="s">
        <v>459</v>
      </c>
      <c r="Q4" s="184" t="s">
        <v>460</v>
      </c>
      <c r="R4" s="184" t="s">
        <v>461</v>
      </c>
      <c r="S4" s="184" t="s">
        <v>462</v>
      </c>
      <c r="T4" s="184" t="s">
        <v>463</v>
      </c>
      <c r="U4" s="184" t="s">
        <v>464</v>
      </c>
      <c r="V4" s="184" t="s">
        <v>465</v>
      </c>
      <c r="W4" s="184" t="s">
        <v>466</v>
      </c>
      <c r="X4" s="184" t="s">
        <v>467</v>
      </c>
      <c r="Y4" s="184" t="s">
        <v>468</v>
      </c>
      <c r="Z4" s="184" t="s">
        <v>469</v>
      </c>
      <c r="AA4" s="184" t="s">
        <v>470</v>
      </c>
      <c r="AB4" s="184" t="s">
        <v>299</v>
      </c>
      <c r="AC4" s="184" t="s">
        <v>471</v>
      </c>
      <c r="AD4" s="184" t="s">
        <v>300</v>
      </c>
      <c r="AE4" s="184" t="s">
        <v>472</v>
      </c>
      <c r="AF4" s="184" t="s">
        <v>473</v>
      </c>
      <c r="AG4" s="184" t="s">
        <v>474</v>
      </c>
      <c r="AH4" s="184" t="s">
        <v>301</v>
      </c>
      <c r="AI4" s="184" t="s">
        <v>475</v>
      </c>
      <c r="AJ4" s="184" t="s">
        <v>476</v>
      </c>
      <c r="AK4" s="184" t="s">
        <v>477</v>
      </c>
      <c r="AL4" s="184" t="s">
        <v>478</v>
      </c>
      <c r="AM4" s="184" t="s">
        <v>479</v>
      </c>
      <c r="AN4" s="184" t="s">
        <v>480</v>
      </c>
      <c r="AO4" s="184" t="s">
        <v>302</v>
      </c>
      <c r="AP4" s="184" t="s">
        <v>481</v>
      </c>
      <c r="AQ4" s="184" t="s">
        <v>482</v>
      </c>
      <c r="AR4" s="184" t="s">
        <v>483</v>
      </c>
      <c r="AS4" s="184" t="s">
        <v>484</v>
      </c>
      <c r="AT4" s="184" t="s">
        <v>303</v>
      </c>
      <c r="AU4" s="184" t="s">
        <v>304</v>
      </c>
      <c r="AV4" s="184" t="s">
        <v>304</v>
      </c>
      <c r="AW4" s="184" t="s">
        <v>485</v>
      </c>
      <c r="AX4" s="184" t="s">
        <v>486</v>
      </c>
      <c r="AY4" s="184" t="s">
        <v>487</v>
      </c>
      <c r="AZ4" s="184" t="s">
        <v>488</v>
      </c>
      <c r="BA4" s="184" t="s">
        <v>489</v>
      </c>
      <c r="BB4" s="184" t="s">
        <v>490</v>
      </c>
      <c r="BC4" s="184" t="s">
        <v>305</v>
      </c>
      <c r="BD4" s="184" t="s">
        <v>491</v>
      </c>
      <c r="BE4" s="184" t="s">
        <v>492</v>
      </c>
      <c r="BF4" s="184" t="s">
        <v>493</v>
      </c>
      <c r="BG4" s="184" t="s">
        <v>306</v>
      </c>
      <c r="BH4" s="184" t="s">
        <v>494</v>
      </c>
      <c r="BI4" s="184" t="s">
        <v>495</v>
      </c>
      <c r="BJ4" s="184" t="s">
        <v>496</v>
      </c>
      <c r="BK4" s="184" t="s">
        <v>497</v>
      </c>
      <c r="BL4" s="184" t="s">
        <v>498</v>
      </c>
      <c r="BM4" s="184" t="s">
        <v>499</v>
      </c>
      <c r="BN4" s="184" t="s">
        <v>307</v>
      </c>
      <c r="BO4" s="184" t="s">
        <v>285</v>
      </c>
      <c r="BP4" s="184" t="s">
        <v>272</v>
      </c>
      <c r="BQ4" s="184" t="s">
        <v>257</v>
      </c>
      <c r="BR4" s="184" t="s">
        <v>258</v>
      </c>
      <c r="BS4" s="184" t="s">
        <v>273</v>
      </c>
      <c r="BT4" s="184" t="s">
        <v>500</v>
      </c>
      <c r="BU4" s="184" t="s">
        <v>20</v>
      </c>
      <c r="BV4" s="184" t="s">
        <v>11</v>
      </c>
      <c r="BW4" s="184" t="s">
        <v>12</v>
      </c>
      <c r="BX4" s="184" t="s">
        <v>13</v>
      </c>
      <c r="BY4" s="184" t="s">
        <v>70</v>
      </c>
      <c r="BZ4" s="184" t="s">
        <v>501</v>
      </c>
      <c r="CA4" s="184" t="s">
        <v>231</v>
      </c>
      <c r="CB4" s="185" t="s">
        <v>17</v>
      </c>
      <c r="CC4" s="185" t="s">
        <v>17</v>
      </c>
      <c r="CD4" s="184" t="s">
        <v>14</v>
      </c>
      <c r="CE4" s="184" t="s">
        <v>6</v>
      </c>
      <c r="CF4" s="184" t="s">
        <v>7</v>
      </c>
      <c r="CG4" s="184" t="s">
        <v>18</v>
      </c>
      <c r="CH4" s="184" t="s">
        <v>8</v>
      </c>
      <c r="CI4" s="184" t="s">
        <v>87</v>
      </c>
      <c r="CJ4" s="184" t="s">
        <v>71</v>
      </c>
      <c r="CK4" s="184" t="s">
        <v>16</v>
      </c>
      <c r="CL4" s="184" t="s">
        <v>72</v>
      </c>
      <c r="CM4" s="184" t="s">
        <v>2</v>
      </c>
      <c r="CN4" s="184" t="s">
        <v>3</v>
      </c>
      <c r="CO4" s="184" t="s">
        <v>502</v>
      </c>
      <c r="CP4" s="184" t="s">
        <v>115</v>
      </c>
      <c r="CQ4" s="184" t="s">
        <v>115</v>
      </c>
      <c r="CR4" s="184" t="s">
        <v>115</v>
      </c>
      <c r="CS4" s="184" t="s">
        <v>115</v>
      </c>
      <c r="CT4" s="184" t="s">
        <v>115</v>
      </c>
      <c r="CU4" s="184" t="s">
        <v>115</v>
      </c>
      <c r="CV4" s="184" t="s">
        <v>115</v>
      </c>
      <c r="CW4" s="184" t="s">
        <v>308</v>
      </c>
      <c r="CX4" s="184" t="s">
        <v>9</v>
      </c>
      <c r="CY4" s="184" t="s">
        <v>503</v>
      </c>
      <c r="CZ4" s="184" t="s">
        <v>504</v>
      </c>
      <c r="DA4" s="184" t="s">
        <v>505</v>
      </c>
      <c r="DB4" s="184" t="s">
        <v>506</v>
      </c>
      <c r="DC4" s="184" t="s">
        <v>507</v>
      </c>
      <c r="DD4" s="184" t="s">
        <v>508</v>
      </c>
      <c r="DE4" s="184" t="s">
        <v>509</v>
      </c>
      <c r="DF4" s="184" t="s">
        <v>510</v>
      </c>
      <c r="DG4" s="184" t="s">
        <v>511</v>
      </c>
      <c r="DH4" s="185" t="s">
        <v>15</v>
      </c>
      <c r="DI4" s="185" t="s">
        <v>15</v>
      </c>
      <c r="DJ4" s="184" t="s">
        <v>167</v>
      </c>
      <c r="DK4" s="184" t="s">
        <v>240</v>
      </c>
      <c r="DL4" s="184" t="s">
        <v>101</v>
      </c>
      <c r="DM4" s="184" t="s">
        <v>207</v>
      </c>
      <c r="DN4" s="184" t="s">
        <v>4</v>
      </c>
      <c r="DO4" s="184" t="s">
        <v>5</v>
      </c>
      <c r="DP4" s="184" t="s">
        <v>227</v>
      </c>
      <c r="DQ4" s="184" t="s">
        <v>227</v>
      </c>
      <c r="DR4" s="184" t="s">
        <v>227</v>
      </c>
      <c r="DS4" s="184" t="s">
        <v>227</v>
      </c>
      <c r="DT4" s="184" t="s">
        <v>227</v>
      </c>
      <c r="DU4" s="184" t="s">
        <v>10</v>
      </c>
      <c r="DV4" s="184" t="s">
        <v>10</v>
      </c>
      <c r="DW4" s="184" t="s">
        <v>19</v>
      </c>
      <c r="DX4" s="184" t="s">
        <v>512</v>
      </c>
      <c r="DY4" s="184" t="s">
        <v>513</v>
      </c>
      <c r="DZ4" s="184" t="s">
        <v>309</v>
      </c>
      <c r="EA4" s="184" t="s">
        <v>514</v>
      </c>
      <c r="EB4" s="184" t="s">
        <v>310</v>
      </c>
      <c r="EC4" s="184" t="s">
        <v>515</v>
      </c>
      <c r="ED4" s="184" t="s">
        <v>516</v>
      </c>
      <c r="EE4" s="184" t="s">
        <v>517</v>
      </c>
      <c r="EF4" s="184" t="s">
        <v>311</v>
      </c>
      <c r="EG4" s="184" t="s">
        <v>518</v>
      </c>
      <c r="EH4" s="184" t="s">
        <v>519</v>
      </c>
      <c r="EI4" s="184" t="s">
        <v>312</v>
      </c>
      <c r="EJ4" s="184" t="s">
        <v>520</v>
      </c>
      <c r="EK4" s="184" t="s">
        <v>521</v>
      </c>
      <c r="EL4" s="184" t="s">
        <v>522</v>
      </c>
      <c r="EM4" s="184" t="s">
        <v>523</v>
      </c>
      <c r="EN4" s="184" t="s">
        <v>524</v>
      </c>
      <c r="EO4" s="185" t="s">
        <v>313</v>
      </c>
      <c r="EP4" s="185" t="s">
        <v>313</v>
      </c>
      <c r="EQ4" s="184" t="s">
        <v>525</v>
      </c>
      <c r="ER4" s="184" t="s">
        <v>526</v>
      </c>
      <c r="ES4" s="184" t="s">
        <v>527</v>
      </c>
      <c r="ET4" s="184" t="s">
        <v>528</v>
      </c>
      <c r="EU4" s="184" t="s">
        <v>529</v>
      </c>
      <c r="EV4" s="184" t="s">
        <v>530</v>
      </c>
      <c r="EW4" s="184" t="s">
        <v>531</v>
      </c>
      <c r="EX4" s="184" t="s">
        <v>287</v>
      </c>
      <c r="EY4" s="184" t="s">
        <v>314</v>
      </c>
      <c r="EZ4" s="184" t="s">
        <v>261</v>
      </c>
      <c r="FA4" s="184" t="s">
        <v>532</v>
      </c>
      <c r="FB4" s="184" t="s">
        <v>208</v>
      </c>
      <c r="FC4" s="184" t="s">
        <v>228</v>
      </c>
      <c r="FD4" s="184" t="s">
        <v>209</v>
      </c>
      <c r="FE4" s="184" t="s">
        <v>533</v>
      </c>
      <c r="FF4" s="184" t="s">
        <v>229</v>
      </c>
      <c r="FG4" s="184" t="s">
        <v>279</v>
      </c>
      <c r="FH4" s="184" t="s">
        <v>534</v>
      </c>
      <c r="FI4" s="184" t="s">
        <v>535</v>
      </c>
      <c r="FJ4" s="184" t="s">
        <v>230</v>
      </c>
      <c r="FK4" s="184" t="s">
        <v>536</v>
      </c>
      <c r="FL4" s="184" t="s">
        <v>537</v>
      </c>
      <c r="FM4" s="184" t="s">
        <v>315</v>
      </c>
      <c r="FN4" s="184" t="s">
        <v>538</v>
      </c>
      <c r="FO4" s="184" t="s">
        <v>539</v>
      </c>
      <c r="FP4" s="186"/>
      <c r="FQ4" s="182"/>
      <c r="FR4" s="183"/>
      <c r="FS4" s="182"/>
      <c r="FT4" s="183"/>
      <c r="FU4" s="183"/>
      <c r="FV4" s="183"/>
    </row>
    <row r="5" spans="1:178" s="174" customFormat="1" ht="11.4">
      <c r="A5" s="187"/>
      <c r="B5" s="167"/>
      <c r="C5" s="167"/>
      <c r="D5" s="168"/>
      <c r="E5" s="169" t="s">
        <v>316</v>
      </c>
      <c r="F5" s="188" t="s">
        <v>758</v>
      </c>
      <c r="G5" s="169" t="s">
        <v>317</v>
      </c>
      <c r="H5" s="189" t="s">
        <v>540</v>
      </c>
      <c r="I5" s="189" t="s">
        <v>541</v>
      </c>
      <c r="J5" s="189" t="s">
        <v>542</v>
      </c>
      <c r="K5" s="189" t="s">
        <v>543</v>
      </c>
      <c r="L5" s="189" t="s">
        <v>318</v>
      </c>
      <c r="M5" s="189" t="s">
        <v>544</v>
      </c>
      <c r="N5" s="189" t="s">
        <v>319</v>
      </c>
      <c r="O5" s="189" t="s">
        <v>545</v>
      </c>
      <c r="P5" s="189" t="s">
        <v>546</v>
      </c>
      <c r="Q5" s="189" t="s">
        <v>547</v>
      </c>
      <c r="R5" s="189" t="s">
        <v>548</v>
      </c>
      <c r="S5" s="189" t="s">
        <v>549</v>
      </c>
      <c r="T5" s="189" t="s">
        <v>550</v>
      </c>
      <c r="U5" s="189" t="s">
        <v>551</v>
      </c>
      <c r="V5" s="189" t="s">
        <v>552</v>
      </c>
      <c r="W5" s="189" t="s">
        <v>553</v>
      </c>
      <c r="X5" s="189" t="s">
        <v>554</v>
      </c>
      <c r="Y5" s="189" t="s">
        <v>555</v>
      </c>
      <c r="Z5" s="189" t="s">
        <v>556</v>
      </c>
      <c r="AA5" s="189" t="s">
        <v>557</v>
      </c>
      <c r="AB5" s="189" t="s">
        <v>320</v>
      </c>
      <c r="AC5" s="189" t="s">
        <v>558</v>
      </c>
      <c r="AD5" s="189" t="s">
        <v>321</v>
      </c>
      <c r="AE5" s="189" t="s">
        <v>559</v>
      </c>
      <c r="AF5" s="189" t="s">
        <v>560</v>
      </c>
      <c r="AG5" s="189" t="s">
        <v>561</v>
      </c>
      <c r="AH5" s="189" t="s">
        <v>322</v>
      </c>
      <c r="AI5" s="189" t="s">
        <v>562</v>
      </c>
      <c r="AJ5" s="189" t="s">
        <v>563</v>
      </c>
      <c r="AK5" s="189" t="s">
        <v>564</v>
      </c>
      <c r="AL5" s="189" t="s">
        <v>565</v>
      </c>
      <c r="AM5" s="189" t="s">
        <v>566</v>
      </c>
      <c r="AN5" s="189" t="s">
        <v>567</v>
      </c>
      <c r="AO5" s="189" t="s">
        <v>323</v>
      </c>
      <c r="AP5" s="189" t="s">
        <v>568</v>
      </c>
      <c r="AQ5" s="189" t="s">
        <v>569</v>
      </c>
      <c r="AR5" s="189" t="s">
        <v>570</v>
      </c>
      <c r="AS5" s="189" t="s">
        <v>571</v>
      </c>
      <c r="AT5" s="189" t="s">
        <v>324</v>
      </c>
      <c r="AU5" s="189" t="s">
        <v>325</v>
      </c>
      <c r="AV5" s="189" t="s">
        <v>572</v>
      </c>
      <c r="AW5" s="189" t="s">
        <v>573</v>
      </c>
      <c r="AX5" s="189" t="s">
        <v>574</v>
      </c>
      <c r="AY5" s="189" t="s">
        <v>575</v>
      </c>
      <c r="AZ5" s="189" t="s">
        <v>576</v>
      </c>
      <c r="BA5" s="189" t="s">
        <v>577</v>
      </c>
      <c r="BB5" s="189" t="s">
        <v>578</v>
      </c>
      <c r="BC5" s="189" t="s">
        <v>326</v>
      </c>
      <c r="BD5" s="189" t="s">
        <v>579</v>
      </c>
      <c r="BE5" s="189" t="s">
        <v>580</v>
      </c>
      <c r="BF5" s="189" t="s">
        <v>581</v>
      </c>
      <c r="BG5" s="189" t="s">
        <v>327</v>
      </c>
      <c r="BH5" s="189" t="s">
        <v>582</v>
      </c>
      <c r="BI5" s="189" t="s">
        <v>583</v>
      </c>
      <c r="BJ5" s="189" t="s">
        <v>584</v>
      </c>
      <c r="BK5" s="189" t="s">
        <v>585</v>
      </c>
      <c r="BL5" s="189" t="s">
        <v>586</v>
      </c>
      <c r="BM5" s="189" t="s">
        <v>587</v>
      </c>
      <c r="BN5" s="189" t="s">
        <v>328</v>
      </c>
      <c r="BO5" s="189" t="s">
        <v>286</v>
      </c>
      <c r="BP5" s="189" t="s">
        <v>274</v>
      </c>
      <c r="BQ5" s="189" t="s">
        <v>259</v>
      </c>
      <c r="BR5" s="189" t="s">
        <v>260</v>
      </c>
      <c r="BS5" s="189" t="s">
        <v>275</v>
      </c>
      <c r="BT5" s="189" t="s">
        <v>588</v>
      </c>
      <c r="BU5" s="189" t="s">
        <v>40</v>
      </c>
      <c r="BV5" s="189" t="s">
        <v>30</v>
      </c>
      <c r="BW5" s="189" t="s">
        <v>31</v>
      </c>
      <c r="BX5" s="189" t="s">
        <v>32</v>
      </c>
      <c r="BY5" s="189" t="s">
        <v>249</v>
      </c>
      <c r="BZ5" s="189" t="s">
        <v>589</v>
      </c>
      <c r="CA5" s="189" t="s">
        <v>232</v>
      </c>
      <c r="CB5" s="189" t="s">
        <v>36</v>
      </c>
      <c r="CC5" s="189" t="s">
        <v>37</v>
      </c>
      <c r="CD5" s="189" t="s">
        <v>33</v>
      </c>
      <c r="CE5" s="189" t="s">
        <v>25</v>
      </c>
      <c r="CF5" s="189" t="s">
        <v>26</v>
      </c>
      <c r="CG5" s="189" t="s">
        <v>38</v>
      </c>
      <c r="CH5" s="189" t="s">
        <v>233</v>
      </c>
      <c r="CI5" s="189" t="s">
        <v>88</v>
      </c>
      <c r="CJ5" s="189" t="s">
        <v>74</v>
      </c>
      <c r="CK5" s="189" t="s">
        <v>35</v>
      </c>
      <c r="CL5" s="189" t="s">
        <v>75</v>
      </c>
      <c r="CM5" s="189" t="s">
        <v>21</v>
      </c>
      <c r="CN5" s="189" t="s">
        <v>22</v>
      </c>
      <c r="CO5" s="189" t="s">
        <v>590</v>
      </c>
      <c r="CP5" s="189" t="s">
        <v>188</v>
      </c>
      <c r="CQ5" s="189" t="s">
        <v>591</v>
      </c>
      <c r="CR5" s="189" t="s">
        <v>592</v>
      </c>
      <c r="CS5" s="189" t="s">
        <v>593</v>
      </c>
      <c r="CT5" s="189" t="s">
        <v>594</v>
      </c>
      <c r="CU5" s="189" t="s">
        <v>595</v>
      </c>
      <c r="CV5" s="189" t="s">
        <v>596</v>
      </c>
      <c r="CW5" s="189" t="s">
        <v>329</v>
      </c>
      <c r="CX5" s="189" t="s">
        <v>28</v>
      </c>
      <c r="CY5" s="189" t="s">
        <v>597</v>
      </c>
      <c r="CZ5" s="189" t="s">
        <v>598</v>
      </c>
      <c r="DA5" s="189" t="s">
        <v>599</v>
      </c>
      <c r="DB5" s="189" t="s">
        <v>600</v>
      </c>
      <c r="DC5" s="189" t="s">
        <v>601</v>
      </c>
      <c r="DD5" s="189" t="s">
        <v>602</v>
      </c>
      <c r="DE5" s="189" t="s">
        <v>603</v>
      </c>
      <c r="DF5" s="189" t="s">
        <v>604</v>
      </c>
      <c r="DG5" s="189" t="s">
        <v>605</v>
      </c>
      <c r="DH5" s="189" t="s">
        <v>34</v>
      </c>
      <c r="DI5" s="189" t="s">
        <v>116</v>
      </c>
      <c r="DJ5" s="189" t="s">
        <v>168</v>
      </c>
      <c r="DK5" s="189" t="s">
        <v>169</v>
      </c>
      <c r="DL5" s="189" t="s">
        <v>102</v>
      </c>
      <c r="DM5" s="189" t="s">
        <v>189</v>
      </c>
      <c r="DN5" s="189" t="s">
        <v>23</v>
      </c>
      <c r="DO5" s="189" t="s">
        <v>24</v>
      </c>
      <c r="DP5" s="189" t="s">
        <v>170</v>
      </c>
      <c r="DQ5" s="189" t="s">
        <v>606</v>
      </c>
      <c r="DR5" s="189" t="s">
        <v>607</v>
      </c>
      <c r="DS5" s="189" t="s">
        <v>608</v>
      </c>
      <c r="DT5" s="189" t="s">
        <v>609</v>
      </c>
      <c r="DU5" s="189" t="s">
        <v>29</v>
      </c>
      <c r="DV5" s="189" t="s">
        <v>610</v>
      </c>
      <c r="DW5" s="189" t="s">
        <v>39</v>
      </c>
      <c r="DX5" s="189" t="s">
        <v>611</v>
      </c>
      <c r="DY5" s="189" t="s">
        <v>612</v>
      </c>
      <c r="DZ5" s="189" t="s">
        <v>330</v>
      </c>
      <c r="EA5" s="189" t="s">
        <v>613</v>
      </c>
      <c r="EB5" s="189" t="s">
        <v>331</v>
      </c>
      <c r="EC5" s="189" t="s">
        <v>614</v>
      </c>
      <c r="ED5" s="189" t="s">
        <v>615</v>
      </c>
      <c r="EE5" s="189" t="s">
        <v>616</v>
      </c>
      <c r="EF5" s="189" t="s">
        <v>332</v>
      </c>
      <c r="EG5" s="189" t="s">
        <v>617</v>
      </c>
      <c r="EH5" s="189" t="s">
        <v>618</v>
      </c>
      <c r="EI5" s="189" t="s">
        <v>333</v>
      </c>
      <c r="EJ5" s="189" t="s">
        <v>619</v>
      </c>
      <c r="EK5" s="189" t="s">
        <v>620</v>
      </c>
      <c r="EL5" s="189" t="s">
        <v>621</v>
      </c>
      <c r="EM5" s="189" t="s">
        <v>622</v>
      </c>
      <c r="EN5" s="189" t="s">
        <v>623</v>
      </c>
      <c r="EO5" s="189" t="s">
        <v>334</v>
      </c>
      <c r="EP5" s="189" t="s">
        <v>335</v>
      </c>
      <c r="EQ5" s="189" t="s">
        <v>624</v>
      </c>
      <c r="ER5" s="189" t="s">
        <v>625</v>
      </c>
      <c r="ES5" s="189" t="s">
        <v>626</v>
      </c>
      <c r="ET5" s="189" t="s">
        <v>627</v>
      </c>
      <c r="EU5" s="189" t="s">
        <v>628</v>
      </c>
      <c r="EV5" s="189" t="s">
        <v>629</v>
      </c>
      <c r="EW5" s="189" t="s">
        <v>630</v>
      </c>
      <c r="EX5" s="189" t="s">
        <v>288</v>
      </c>
      <c r="EY5" s="189" t="s">
        <v>280</v>
      </c>
      <c r="EZ5" s="189" t="s">
        <v>210</v>
      </c>
      <c r="FA5" s="189" t="s">
        <v>631</v>
      </c>
      <c r="FB5" s="189" t="s">
        <v>197</v>
      </c>
      <c r="FC5" s="189" t="s">
        <v>211</v>
      </c>
      <c r="FD5" s="189" t="s">
        <v>212</v>
      </c>
      <c r="FE5" s="189" t="s">
        <v>632</v>
      </c>
      <c r="FF5" s="189" t="s">
        <v>213</v>
      </c>
      <c r="FG5" s="189" t="s">
        <v>281</v>
      </c>
      <c r="FH5" s="189" t="s">
        <v>633</v>
      </c>
      <c r="FI5" s="189" t="s">
        <v>198</v>
      </c>
      <c r="FJ5" s="189" t="s">
        <v>214</v>
      </c>
      <c r="FK5" s="189" t="s">
        <v>634</v>
      </c>
      <c r="FL5" s="189" t="s">
        <v>635</v>
      </c>
      <c r="FM5" s="189" t="s">
        <v>336</v>
      </c>
      <c r="FN5" s="189" t="s">
        <v>636</v>
      </c>
      <c r="FO5" s="189" t="s">
        <v>637</v>
      </c>
      <c r="FP5" s="190"/>
      <c r="FQ5" s="169"/>
      <c r="FR5" s="173"/>
      <c r="FS5" s="167"/>
      <c r="FT5" s="167"/>
      <c r="FU5" s="167"/>
      <c r="FV5" s="167"/>
    </row>
    <row r="6" spans="1:178" s="174" customFormat="1" ht="11.4">
      <c r="A6" s="191" t="s">
        <v>759</v>
      </c>
      <c r="B6" s="168" t="s">
        <v>760</v>
      </c>
      <c r="C6" s="168" t="s">
        <v>761</v>
      </c>
      <c r="D6" s="168" t="s">
        <v>762</v>
      </c>
      <c r="E6" s="192" t="s">
        <v>337</v>
      </c>
      <c r="F6" s="192"/>
      <c r="G6" s="193" t="s">
        <v>338</v>
      </c>
      <c r="H6" s="194" t="s">
        <v>638</v>
      </c>
      <c r="I6" s="194" t="s">
        <v>639</v>
      </c>
      <c r="J6" s="194" t="s">
        <v>640</v>
      </c>
      <c r="K6" s="194" t="s">
        <v>641</v>
      </c>
      <c r="L6" s="194" t="s">
        <v>339</v>
      </c>
      <c r="M6" s="194" t="s">
        <v>642</v>
      </c>
      <c r="N6" s="194" t="s">
        <v>340</v>
      </c>
      <c r="O6" s="194" t="s">
        <v>643</v>
      </c>
      <c r="P6" s="194" t="s">
        <v>644</v>
      </c>
      <c r="Q6" s="194" t="s">
        <v>645</v>
      </c>
      <c r="R6" s="194" t="s">
        <v>646</v>
      </c>
      <c r="S6" s="194" t="s">
        <v>647</v>
      </c>
      <c r="T6" s="194" t="s">
        <v>648</v>
      </c>
      <c r="U6" s="194" t="s">
        <v>649</v>
      </c>
      <c r="V6" s="194" t="s">
        <v>650</v>
      </c>
      <c r="W6" s="194" t="s">
        <v>651</v>
      </c>
      <c r="X6" s="194" t="s">
        <v>652</v>
      </c>
      <c r="Y6" s="194" t="s">
        <v>653</v>
      </c>
      <c r="Z6" s="194" t="s">
        <v>654</v>
      </c>
      <c r="AA6" s="194" t="s">
        <v>655</v>
      </c>
      <c r="AB6" s="194" t="s">
        <v>341</v>
      </c>
      <c r="AC6" s="194" t="s">
        <v>656</v>
      </c>
      <c r="AD6" s="194" t="s">
        <v>342</v>
      </c>
      <c r="AE6" s="194" t="s">
        <v>657</v>
      </c>
      <c r="AF6" s="194" t="s">
        <v>658</v>
      </c>
      <c r="AG6" s="194" t="s">
        <v>659</v>
      </c>
      <c r="AH6" s="194" t="s">
        <v>343</v>
      </c>
      <c r="AI6" s="194" t="s">
        <v>660</v>
      </c>
      <c r="AJ6" s="194" t="s">
        <v>661</v>
      </c>
      <c r="AK6" s="194" t="s">
        <v>662</v>
      </c>
      <c r="AL6" s="194" t="s">
        <v>663</v>
      </c>
      <c r="AM6" s="194" t="s">
        <v>664</v>
      </c>
      <c r="AN6" s="194" t="s">
        <v>665</v>
      </c>
      <c r="AO6" s="194" t="s">
        <v>344</v>
      </c>
      <c r="AP6" s="194" t="s">
        <v>666</v>
      </c>
      <c r="AQ6" s="194" t="s">
        <v>667</v>
      </c>
      <c r="AR6" s="194" t="s">
        <v>668</v>
      </c>
      <c r="AS6" s="194" t="s">
        <v>669</v>
      </c>
      <c r="AT6" s="194" t="s">
        <v>345</v>
      </c>
      <c r="AU6" s="194" t="s">
        <v>346</v>
      </c>
      <c r="AV6" s="194" t="s">
        <v>670</v>
      </c>
      <c r="AW6" s="194" t="s">
        <v>671</v>
      </c>
      <c r="AX6" s="194" t="s">
        <v>672</v>
      </c>
      <c r="AY6" s="194" t="s">
        <v>673</v>
      </c>
      <c r="AZ6" s="194" t="s">
        <v>674</v>
      </c>
      <c r="BA6" s="194" t="s">
        <v>675</v>
      </c>
      <c r="BB6" s="194" t="s">
        <v>676</v>
      </c>
      <c r="BC6" s="194" t="s">
        <v>347</v>
      </c>
      <c r="BD6" s="194" t="s">
        <v>677</v>
      </c>
      <c r="BE6" s="194" t="s">
        <v>678</v>
      </c>
      <c r="BF6" s="194" t="s">
        <v>679</v>
      </c>
      <c r="BG6" s="194" t="s">
        <v>348</v>
      </c>
      <c r="BH6" s="194" t="s">
        <v>680</v>
      </c>
      <c r="BI6" s="194" t="s">
        <v>681</v>
      </c>
      <c r="BJ6" s="194" t="s">
        <v>682</v>
      </c>
      <c r="BK6" s="194" t="s">
        <v>683</v>
      </c>
      <c r="BL6" s="194" t="s">
        <v>684</v>
      </c>
      <c r="BM6" s="194" t="s">
        <v>685</v>
      </c>
      <c r="BN6" s="194" t="s">
        <v>349</v>
      </c>
      <c r="BO6" s="194" t="s">
        <v>350</v>
      </c>
      <c r="BP6" s="194" t="s">
        <v>686</v>
      </c>
      <c r="BQ6" s="194" t="s">
        <v>351</v>
      </c>
      <c r="BR6" s="194" t="s">
        <v>352</v>
      </c>
      <c r="BS6" s="194" t="s">
        <v>687</v>
      </c>
      <c r="BT6" s="194" t="s">
        <v>688</v>
      </c>
      <c r="BU6" s="194" t="s">
        <v>353</v>
      </c>
      <c r="BV6" s="194" t="s">
        <v>354</v>
      </c>
      <c r="BW6" s="194" t="s">
        <v>355</v>
      </c>
      <c r="BX6" s="194" t="s">
        <v>689</v>
      </c>
      <c r="BY6" s="194" t="s">
        <v>356</v>
      </c>
      <c r="BZ6" s="194" t="s">
        <v>690</v>
      </c>
      <c r="CA6" s="194" t="s">
        <v>691</v>
      </c>
      <c r="CB6" s="194" t="s">
        <v>357</v>
      </c>
      <c r="CC6" s="194" t="s">
        <v>357</v>
      </c>
      <c r="CD6" s="194" t="s">
        <v>358</v>
      </c>
      <c r="CE6" s="194" t="s">
        <v>692</v>
      </c>
      <c r="CF6" s="194" t="s">
        <v>359</v>
      </c>
      <c r="CG6" s="194" t="s">
        <v>360</v>
      </c>
      <c r="CH6" s="194" t="s">
        <v>693</v>
      </c>
      <c r="CI6" s="194" t="s">
        <v>694</v>
      </c>
      <c r="CJ6" s="194" t="s">
        <v>695</v>
      </c>
      <c r="CK6" s="194" t="s">
        <v>696</v>
      </c>
      <c r="CL6" s="194" t="s">
        <v>361</v>
      </c>
      <c r="CM6" s="194" t="s">
        <v>362</v>
      </c>
      <c r="CN6" s="194" t="s">
        <v>363</v>
      </c>
      <c r="CO6" s="194" t="s">
        <v>697</v>
      </c>
      <c r="CP6" s="194" t="s">
        <v>698</v>
      </c>
      <c r="CQ6" s="194" t="s">
        <v>699</v>
      </c>
      <c r="CR6" s="194" t="s">
        <v>700</v>
      </c>
      <c r="CS6" s="194" t="s">
        <v>701</v>
      </c>
      <c r="CT6" s="194" t="s">
        <v>702</v>
      </c>
      <c r="CU6" s="194" t="s">
        <v>703</v>
      </c>
      <c r="CV6" s="194" t="s">
        <v>704</v>
      </c>
      <c r="CW6" s="194" t="s">
        <v>364</v>
      </c>
      <c r="CX6" s="194" t="s">
        <v>365</v>
      </c>
      <c r="CY6" s="194" t="s">
        <v>705</v>
      </c>
      <c r="CZ6" s="194" t="s">
        <v>706</v>
      </c>
      <c r="DA6" s="194" t="s">
        <v>707</v>
      </c>
      <c r="DB6" s="194" t="s">
        <v>708</v>
      </c>
      <c r="DC6" s="194" t="s">
        <v>709</v>
      </c>
      <c r="DD6" s="194" t="s">
        <v>710</v>
      </c>
      <c r="DE6" s="194" t="s">
        <v>711</v>
      </c>
      <c r="DF6" s="194" t="s">
        <v>712</v>
      </c>
      <c r="DG6" s="194" t="s">
        <v>713</v>
      </c>
      <c r="DH6" s="194" t="s">
        <v>366</v>
      </c>
      <c r="DI6" s="194" t="s">
        <v>366</v>
      </c>
      <c r="DJ6" s="194" t="s">
        <v>714</v>
      </c>
      <c r="DK6" s="194" t="s">
        <v>715</v>
      </c>
      <c r="DL6" s="194" t="s">
        <v>716</v>
      </c>
      <c r="DM6" s="194" t="s">
        <v>367</v>
      </c>
      <c r="DN6" s="194" t="s">
        <v>717</v>
      </c>
      <c r="DO6" s="194" t="s">
        <v>368</v>
      </c>
      <c r="DP6" s="194" t="s">
        <v>369</v>
      </c>
      <c r="DQ6" s="194" t="s">
        <v>718</v>
      </c>
      <c r="DR6" s="194" t="s">
        <v>719</v>
      </c>
      <c r="DS6" s="194" t="s">
        <v>720</v>
      </c>
      <c r="DT6" s="194" t="s">
        <v>721</v>
      </c>
      <c r="DU6" s="194" t="s">
        <v>722</v>
      </c>
      <c r="DV6" s="194" t="s">
        <v>723</v>
      </c>
      <c r="DW6" s="194" t="s">
        <v>370</v>
      </c>
      <c r="DX6" s="194" t="s">
        <v>724</v>
      </c>
      <c r="DY6" s="194" t="s">
        <v>725</v>
      </c>
      <c r="DZ6" s="194" t="s">
        <v>371</v>
      </c>
      <c r="EA6" s="194" t="s">
        <v>726</v>
      </c>
      <c r="EB6" s="194" t="s">
        <v>372</v>
      </c>
      <c r="EC6" s="194" t="s">
        <v>727</v>
      </c>
      <c r="ED6" s="194" t="s">
        <v>728</v>
      </c>
      <c r="EE6" s="194" t="s">
        <v>729</v>
      </c>
      <c r="EF6" s="194" t="s">
        <v>373</v>
      </c>
      <c r="EG6" s="194" t="s">
        <v>730</v>
      </c>
      <c r="EH6" s="194" t="s">
        <v>731</v>
      </c>
      <c r="EI6" s="194" t="s">
        <v>374</v>
      </c>
      <c r="EJ6" s="194" t="s">
        <v>732</v>
      </c>
      <c r="EK6" s="194" t="s">
        <v>733</v>
      </c>
      <c r="EL6" s="194" t="s">
        <v>734</v>
      </c>
      <c r="EM6" s="194" t="s">
        <v>735</v>
      </c>
      <c r="EN6" s="194" t="s">
        <v>736</v>
      </c>
      <c r="EO6" s="194" t="s">
        <v>375</v>
      </c>
      <c r="EP6" s="194" t="s">
        <v>375</v>
      </c>
      <c r="EQ6" s="194" t="s">
        <v>737</v>
      </c>
      <c r="ER6" s="194" t="s">
        <v>738</v>
      </c>
      <c r="ES6" s="194" t="s">
        <v>739</v>
      </c>
      <c r="ET6" s="194" t="s">
        <v>740</v>
      </c>
      <c r="EU6" s="194" t="s">
        <v>741</v>
      </c>
      <c r="EV6" s="194" t="s">
        <v>742</v>
      </c>
      <c r="EW6" s="194" t="s">
        <v>743</v>
      </c>
      <c r="EX6" s="194" t="s">
        <v>376</v>
      </c>
      <c r="EY6" s="194" t="s">
        <v>377</v>
      </c>
      <c r="EZ6" s="194" t="s">
        <v>744</v>
      </c>
      <c r="FA6" s="194" t="s">
        <v>745</v>
      </c>
      <c r="FB6" s="194" t="s">
        <v>378</v>
      </c>
      <c r="FC6" s="194" t="s">
        <v>746</v>
      </c>
      <c r="FD6" s="194" t="s">
        <v>747</v>
      </c>
      <c r="FE6" s="194" t="s">
        <v>748</v>
      </c>
      <c r="FF6" s="194" t="s">
        <v>379</v>
      </c>
      <c r="FG6" s="194" t="s">
        <v>749</v>
      </c>
      <c r="FH6" s="194" t="s">
        <v>750</v>
      </c>
      <c r="FI6" s="194" t="s">
        <v>751</v>
      </c>
      <c r="FJ6" s="194" t="s">
        <v>380</v>
      </c>
      <c r="FK6" s="194" t="s">
        <v>752</v>
      </c>
      <c r="FL6" s="194" t="s">
        <v>753</v>
      </c>
      <c r="FM6" s="194" t="s">
        <v>381</v>
      </c>
      <c r="FN6" s="194" t="s">
        <v>754</v>
      </c>
      <c r="FO6" s="194" t="s">
        <v>755</v>
      </c>
      <c r="FP6" s="175" t="s">
        <v>763</v>
      </c>
      <c r="FQ6" s="175" t="s">
        <v>382</v>
      </c>
      <c r="FR6" s="175" t="s">
        <v>383</v>
      </c>
      <c r="FS6" s="175" t="s">
        <v>764</v>
      </c>
      <c r="FT6" s="175" t="s">
        <v>765</v>
      </c>
      <c r="FU6" s="176"/>
      <c r="FV6" s="195" t="s">
        <v>384</v>
      </c>
    </row>
    <row r="7" spans="1:178" s="174" customFormat="1" ht="11.4">
      <c r="A7" s="196" t="s">
        <v>385</v>
      </c>
      <c r="B7" s="196" t="s">
        <v>385</v>
      </c>
      <c r="C7" s="196" t="s">
        <v>386</v>
      </c>
      <c r="D7" s="196" t="s">
        <v>291</v>
      </c>
      <c r="E7" s="197" t="s">
        <v>387</v>
      </c>
      <c r="F7" s="196" t="s">
        <v>388</v>
      </c>
      <c r="G7" s="196"/>
      <c r="H7" s="198"/>
      <c r="I7" s="198"/>
      <c r="J7" s="198"/>
      <c r="K7" s="198"/>
      <c r="L7" s="198"/>
      <c r="M7" s="198"/>
      <c r="N7" s="198"/>
      <c r="O7" s="198"/>
      <c r="P7" s="198"/>
      <c r="Q7" s="198"/>
      <c r="R7" s="198"/>
      <c r="S7" s="198"/>
      <c r="T7" s="198"/>
      <c r="U7" s="198"/>
      <c r="V7" s="198"/>
      <c r="W7" s="198"/>
      <c r="X7" s="198"/>
      <c r="Y7" s="198"/>
      <c r="Z7" s="198"/>
      <c r="AA7" s="198"/>
      <c r="AB7" s="198"/>
      <c r="AC7" s="198"/>
      <c r="AD7" s="199">
        <f>500-500+15-15</f>
        <v>0</v>
      </c>
      <c r="AE7" s="198"/>
      <c r="AF7" s="198"/>
      <c r="AG7" s="200">
        <f>2000-2000</f>
        <v>0</v>
      </c>
      <c r="AH7" s="199">
        <f>3000-3000+1690-860</f>
        <v>830</v>
      </c>
      <c r="AI7" s="198"/>
      <c r="AJ7" s="198"/>
      <c r="AK7" s="198"/>
      <c r="AL7" s="198"/>
      <c r="AM7" s="198"/>
      <c r="AN7" s="198"/>
      <c r="AO7" s="199">
        <f>500-500+90-90</f>
        <v>0</v>
      </c>
      <c r="AP7" s="198"/>
      <c r="AQ7" s="200">
        <f>300-300</f>
        <v>0</v>
      </c>
      <c r="AR7" s="200">
        <f>1000-1000</f>
        <v>0</v>
      </c>
      <c r="AS7" s="198"/>
      <c r="AT7" s="199">
        <f>300-300+20-20</f>
        <v>0</v>
      </c>
      <c r="AU7" s="198"/>
      <c r="AV7" s="198"/>
      <c r="AW7" s="198"/>
      <c r="AX7" s="198"/>
      <c r="AY7" s="198"/>
      <c r="AZ7" s="198"/>
      <c r="BA7" s="200">
        <f>200-200</f>
        <v>0</v>
      </c>
      <c r="BB7" s="200">
        <f>100-100</f>
        <v>0</v>
      </c>
      <c r="BC7" s="199">
        <f>1000-1000+100-40</f>
        <v>60</v>
      </c>
      <c r="BD7" s="198"/>
      <c r="BE7" s="198"/>
      <c r="BF7" s="198"/>
      <c r="BG7" s="198"/>
      <c r="BH7" s="198"/>
      <c r="BI7" s="198"/>
      <c r="BJ7" s="198"/>
      <c r="BK7" s="198"/>
      <c r="BL7" s="198"/>
      <c r="BM7" s="198"/>
      <c r="BN7" s="198"/>
      <c r="BO7" s="198"/>
      <c r="BP7" s="198"/>
      <c r="BQ7" s="198"/>
      <c r="BR7" s="198"/>
      <c r="BS7" s="198"/>
      <c r="BT7" s="198"/>
      <c r="BU7" s="198"/>
      <c r="BV7" s="200">
        <f>500-500+2</f>
        <v>2</v>
      </c>
      <c r="BW7" s="198"/>
      <c r="BX7" s="198"/>
      <c r="BY7" s="198"/>
      <c r="BZ7" s="198"/>
      <c r="CA7" s="198"/>
      <c r="CB7" s="198"/>
      <c r="CC7" s="198"/>
      <c r="CD7" s="198"/>
      <c r="CE7" s="198"/>
      <c r="CF7" s="198"/>
      <c r="CG7" s="198"/>
      <c r="CH7" s="198"/>
      <c r="CI7" s="198"/>
      <c r="CJ7" s="198"/>
      <c r="CK7" s="198"/>
      <c r="CL7" s="198"/>
      <c r="CM7" s="198"/>
      <c r="CN7" s="198"/>
      <c r="CO7" s="198"/>
      <c r="CP7" s="198"/>
      <c r="CQ7" s="198"/>
      <c r="CR7" s="198"/>
      <c r="CS7" s="198"/>
      <c r="CT7" s="198"/>
      <c r="CU7" s="198"/>
      <c r="CV7" s="198"/>
      <c r="CW7" s="198"/>
      <c r="CX7" s="198"/>
      <c r="CY7" s="198"/>
      <c r="CZ7" s="198"/>
      <c r="DA7" s="198"/>
      <c r="DB7" s="198"/>
      <c r="DC7" s="198"/>
      <c r="DD7" s="198"/>
      <c r="DE7" s="198"/>
      <c r="DF7" s="198"/>
      <c r="DG7" s="198"/>
      <c r="DH7" s="198"/>
      <c r="DI7" s="198"/>
      <c r="DJ7" s="198"/>
      <c r="DK7" s="198"/>
      <c r="DL7" s="198"/>
      <c r="DM7" s="198"/>
      <c r="DN7" s="198"/>
      <c r="DO7" s="198"/>
      <c r="DP7" s="198"/>
      <c r="DQ7" s="198"/>
      <c r="DR7" s="198"/>
      <c r="DS7" s="198"/>
      <c r="DT7" s="198"/>
      <c r="DU7" s="198"/>
      <c r="DV7" s="198"/>
      <c r="DW7" s="198"/>
      <c r="DX7" s="198"/>
      <c r="DY7" s="198"/>
      <c r="DZ7" s="198"/>
      <c r="EA7" s="198"/>
      <c r="EB7" s="198"/>
      <c r="EC7" s="198"/>
      <c r="ED7" s="198"/>
      <c r="EE7" s="198"/>
      <c r="EF7" s="198"/>
      <c r="EG7" s="198"/>
      <c r="EH7" s="198"/>
      <c r="EI7" s="198"/>
      <c r="EJ7" s="198"/>
      <c r="EK7" s="198"/>
      <c r="EL7" s="198"/>
      <c r="EM7" s="198"/>
      <c r="EN7" s="198"/>
      <c r="EO7" s="198"/>
      <c r="EP7" s="198"/>
      <c r="EQ7" s="198"/>
      <c r="ER7" s="198"/>
      <c r="ES7" s="198"/>
      <c r="ET7" s="198"/>
      <c r="EU7" s="198"/>
      <c r="EV7" s="198"/>
      <c r="EW7" s="198"/>
      <c r="EX7" s="198"/>
      <c r="EY7" s="198"/>
      <c r="EZ7" s="198"/>
      <c r="FA7" s="198"/>
      <c r="FB7" s="198"/>
      <c r="FC7" s="198"/>
      <c r="FD7" s="198"/>
      <c r="FE7" s="198"/>
      <c r="FF7" s="198"/>
      <c r="FG7" s="198"/>
      <c r="FH7" s="198"/>
      <c r="FI7" s="198"/>
      <c r="FJ7" s="198"/>
      <c r="FK7" s="198"/>
      <c r="FL7" s="198"/>
      <c r="FM7" s="198"/>
      <c r="FN7" s="198"/>
      <c r="FO7" s="198"/>
      <c r="FP7" s="201"/>
      <c r="FQ7" s="202" t="s">
        <v>756</v>
      </c>
      <c r="FR7" s="203" t="s">
        <v>389</v>
      </c>
      <c r="FS7" s="203"/>
      <c r="FT7" s="203" t="s">
        <v>390</v>
      </c>
      <c r="FU7" s="204">
        <f t="shared" ref="FU7:FU91" si="0">SUM(H7:FO7)</f>
        <v>892</v>
      </c>
      <c r="FV7" s="205" t="s">
        <v>391</v>
      </c>
    </row>
    <row r="8" spans="1:178" s="174" customFormat="1" ht="11.4">
      <c r="A8" s="196" t="s">
        <v>385</v>
      </c>
      <c r="B8" s="196" t="s">
        <v>385</v>
      </c>
      <c r="C8" s="196" t="s">
        <v>386</v>
      </c>
      <c r="D8" s="196" t="s">
        <v>1</v>
      </c>
      <c r="E8" s="197" t="s">
        <v>387</v>
      </c>
      <c r="F8" s="196" t="s">
        <v>388</v>
      </c>
      <c r="G8" s="196"/>
      <c r="H8" s="200">
        <f>100-100</f>
        <v>0</v>
      </c>
      <c r="I8" s="198"/>
      <c r="J8" s="198"/>
      <c r="K8" s="198"/>
      <c r="L8" s="198"/>
      <c r="M8" s="198"/>
      <c r="N8" s="198"/>
      <c r="O8" s="198"/>
      <c r="P8" s="198"/>
      <c r="Q8" s="198"/>
      <c r="R8" s="198"/>
      <c r="S8" s="200">
        <f>500-500</f>
        <v>0</v>
      </c>
      <c r="T8" s="198"/>
      <c r="U8" s="200">
        <f>600-600</f>
        <v>0</v>
      </c>
      <c r="V8" s="200">
        <f>200-200</f>
        <v>0</v>
      </c>
      <c r="W8" s="198"/>
      <c r="X8" s="200">
        <f>1000-1000</f>
        <v>0</v>
      </c>
      <c r="Y8" s="198"/>
      <c r="Z8" s="200">
        <f>300-300</f>
        <v>0</v>
      </c>
      <c r="AA8" s="200">
        <f>1000-1000</f>
        <v>0</v>
      </c>
      <c r="AB8" s="199">
        <f>5000-5000+40-40</f>
        <v>0</v>
      </c>
      <c r="AC8" s="200">
        <f>1500-1500</f>
        <v>0</v>
      </c>
      <c r="AD8" s="198"/>
      <c r="AE8" s="200">
        <f>5000-5000</f>
        <v>0</v>
      </c>
      <c r="AF8" s="198"/>
      <c r="AG8" s="198"/>
      <c r="AH8" s="198"/>
      <c r="AI8" s="200">
        <f>500-500</f>
        <v>0</v>
      </c>
      <c r="AJ8" s="200">
        <f>300-300</f>
        <v>0</v>
      </c>
      <c r="AK8" s="200">
        <f>500-500</f>
        <v>0</v>
      </c>
      <c r="AL8" s="200">
        <f>300-300</f>
        <v>0</v>
      </c>
      <c r="AM8" s="200">
        <f>2000-2000</f>
        <v>0</v>
      </c>
      <c r="AN8" s="200">
        <f>200-200</f>
        <v>0</v>
      </c>
      <c r="AO8" s="198"/>
      <c r="AP8" s="198"/>
      <c r="AQ8" s="198"/>
      <c r="AR8" s="198"/>
      <c r="AS8" s="200">
        <f>500-500</f>
        <v>0</v>
      </c>
      <c r="AT8" s="198"/>
      <c r="AU8" s="199">
        <f>10000-10000+3220-1480</f>
        <v>1740</v>
      </c>
      <c r="AV8" s="198"/>
      <c r="AW8" s="198"/>
      <c r="AX8" s="198"/>
      <c r="AY8" s="198"/>
      <c r="AZ8" s="198"/>
      <c r="BA8" s="198"/>
      <c r="BB8" s="198"/>
      <c r="BC8" s="198"/>
      <c r="BD8" s="200">
        <f>500-500</f>
        <v>0</v>
      </c>
      <c r="BE8" s="200">
        <f>200-200</f>
        <v>0</v>
      </c>
      <c r="BF8" s="198"/>
      <c r="BG8" s="199">
        <f>6000-6000+3890-1430</f>
        <v>2460</v>
      </c>
      <c r="BH8" s="200">
        <f>200-200</f>
        <v>0</v>
      </c>
      <c r="BI8" s="200">
        <f>500-500</f>
        <v>0</v>
      </c>
      <c r="BJ8" s="198"/>
      <c r="BK8" s="198"/>
      <c r="BL8" s="198"/>
      <c r="BM8" s="198"/>
      <c r="BN8" s="198"/>
      <c r="BO8" s="200">
        <f>2000-2000+1000-SUM(BO13:BO91)</f>
        <v>680</v>
      </c>
      <c r="BP8" s="200">
        <f>800-800</f>
        <v>0</v>
      </c>
      <c r="BQ8" s="200">
        <f>3000-3000+2180-SUM(BQ13:BQ91)</f>
        <v>1480</v>
      </c>
      <c r="BR8" s="200">
        <f>5000-5000+9700-SUM(BR13:BR91)</f>
        <v>6600</v>
      </c>
      <c r="BS8" s="200">
        <f>1500-1500</f>
        <v>0</v>
      </c>
      <c r="BT8" s="198"/>
      <c r="BU8" s="200">
        <f>2000-2000+420</f>
        <v>420</v>
      </c>
      <c r="BV8" s="198"/>
      <c r="BW8" s="200">
        <f>5000-5000+20</f>
        <v>20</v>
      </c>
      <c r="BX8" s="200">
        <f>4000-4000</f>
        <v>0</v>
      </c>
      <c r="BY8" s="200">
        <f>4000-4000+1000</f>
        <v>1000</v>
      </c>
      <c r="BZ8" s="200">
        <f>500-500</f>
        <v>0</v>
      </c>
      <c r="CA8" s="200">
        <f>1000-1000</f>
        <v>0</v>
      </c>
      <c r="CB8" s="198"/>
      <c r="CC8" s="200">
        <f>2000-2000+1560</f>
        <v>1560</v>
      </c>
      <c r="CD8" s="200">
        <f>1000-1000+8</f>
        <v>8</v>
      </c>
      <c r="CE8" s="200">
        <f>3000-3000</f>
        <v>0</v>
      </c>
      <c r="CF8" s="200">
        <f>4000-4000+2360</f>
        <v>2360</v>
      </c>
      <c r="CG8" s="200">
        <f>2000-2000+900</f>
        <v>900</v>
      </c>
      <c r="CH8" s="200">
        <f>1500-1500</f>
        <v>0</v>
      </c>
      <c r="CI8" s="200">
        <f t="shared" ref="CI8:CJ8" si="1">400-400</f>
        <v>0</v>
      </c>
      <c r="CJ8" s="200">
        <f t="shared" si="1"/>
        <v>0</v>
      </c>
      <c r="CK8" s="200">
        <f>500-500</f>
        <v>0</v>
      </c>
      <c r="CL8" s="200">
        <f>1000-1000+3</f>
        <v>3</v>
      </c>
      <c r="CM8" s="200">
        <f>4000-4000+1</f>
        <v>1</v>
      </c>
      <c r="CN8" s="198"/>
      <c r="CO8" s="200">
        <f>1000-1000</f>
        <v>0</v>
      </c>
      <c r="CP8" s="200">
        <f>100-100</f>
        <v>0</v>
      </c>
      <c r="CQ8" s="198"/>
      <c r="CR8" s="198"/>
      <c r="CS8" s="198"/>
      <c r="CT8" s="198"/>
      <c r="CU8" s="198"/>
      <c r="CV8" s="198"/>
      <c r="CW8" s="200">
        <f>1000-1000+360</f>
        <v>360</v>
      </c>
      <c r="CX8" s="200">
        <f>1500-1500+450</f>
        <v>450</v>
      </c>
      <c r="CY8" s="198"/>
      <c r="CZ8" s="198"/>
      <c r="DA8" s="198"/>
      <c r="DB8" s="198"/>
      <c r="DC8" s="198"/>
      <c r="DD8" s="198"/>
      <c r="DE8" s="198"/>
      <c r="DF8" s="198"/>
      <c r="DG8" s="198"/>
      <c r="DH8" s="200">
        <f>500-500+160</f>
        <v>160</v>
      </c>
      <c r="DI8" s="200">
        <v>40</v>
      </c>
      <c r="DJ8" s="200">
        <f t="shared" ref="DJ8:DK8" si="2">200-200</f>
        <v>0</v>
      </c>
      <c r="DK8" s="200">
        <f t="shared" si="2"/>
        <v>0</v>
      </c>
      <c r="DL8" s="200">
        <f>300-300</f>
        <v>0</v>
      </c>
      <c r="DM8" s="200">
        <f>500-500+1</f>
        <v>1</v>
      </c>
      <c r="DN8" s="200">
        <f>1000-1000</f>
        <v>0</v>
      </c>
      <c r="DO8" s="200">
        <f>1000-1000+940</f>
        <v>940</v>
      </c>
      <c r="DP8" s="198">
        <v>50</v>
      </c>
      <c r="DQ8" s="198"/>
      <c r="DR8" s="198"/>
      <c r="DS8" s="198"/>
      <c r="DT8" s="198"/>
      <c r="DU8" s="200">
        <f>500-500</f>
        <v>0</v>
      </c>
      <c r="DV8" s="198"/>
      <c r="DW8" s="200">
        <f>500-500+430</f>
        <v>430</v>
      </c>
      <c r="DX8" s="198"/>
      <c r="DY8" s="198"/>
      <c r="DZ8" s="198"/>
      <c r="EA8" s="198"/>
      <c r="EB8" s="198"/>
      <c r="EC8" s="198"/>
      <c r="ED8" s="198"/>
      <c r="EE8" s="200">
        <f>100-100</f>
        <v>0</v>
      </c>
      <c r="EF8" s="200">
        <f>100-100+10</f>
        <v>10</v>
      </c>
      <c r="EG8" s="198"/>
      <c r="EH8" s="198"/>
      <c r="EI8" s="198"/>
      <c r="EJ8" s="198"/>
      <c r="EK8" s="198"/>
      <c r="EL8" s="198"/>
      <c r="EM8" s="198"/>
      <c r="EN8" s="200">
        <f>200-200</f>
        <v>0</v>
      </c>
      <c r="EO8" s="200">
        <v>1</v>
      </c>
      <c r="EP8" s="200">
        <f>500-500+1</f>
        <v>1</v>
      </c>
      <c r="EQ8" s="200">
        <f>500-500</f>
        <v>0</v>
      </c>
      <c r="ER8" s="200">
        <f>300-300</f>
        <v>0</v>
      </c>
      <c r="ES8" s="200">
        <f>3000-3000</f>
        <v>0</v>
      </c>
      <c r="ET8" s="200">
        <f>1000-1000</f>
        <v>0</v>
      </c>
      <c r="EU8" s="200">
        <f>2000-2000</f>
        <v>0</v>
      </c>
      <c r="EV8" s="200">
        <f>1000-1000</f>
        <v>0</v>
      </c>
      <c r="EW8" s="198"/>
      <c r="EX8" s="200">
        <f>2000-2000+690</f>
        <v>690</v>
      </c>
      <c r="EY8" s="200">
        <f>3000-3000+1080</f>
        <v>1080</v>
      </c>
      <c r="EZ8" s="200">
        <f>500-500</f>
        <v>0</v>
      </c>
      <c r="FA8" s="198"/>
      <c r="FB8" s="200">
        <f>1000-1000+40</f>
        <v>40</v>
      </c>
      <c r="FC8" s="200">
        <f>1500-1500</f>
        <v>0</v>
      </c>
      <c r="FD8" s="200">
        <f>500-500</f>
        <v>0</v>
      </c>
      <c r="FE8" s="198"/>
      <c r="FF8" s="200">
        <f>2000-2000+200</f>
        <v>200</v>
      </c>
      <c r="FG8" s="200">
        <f>300-300</f>
        <v>0</v>
      </c>
      <c r="FH8" s="200">
        <f>200-200</f>
        <v>0</v>
      </c>
      <c r="FI8" s="198"/>
      <c r="FJ8" s="200">
        <f>500-500+310</f>
        <v>310</v>
      </c>
      <c r="FK8" s="198"/>
      <c r="FL8" s="198"/>
      <c r="FM8" s="198"/>
      <c r="FN8" s="198"/>
      <c r="FO8" s="198"/>
      <c r="FP8" s="201"/>
      <c r="FQ8" s="202" t="s">
        <v>756</v>
      </c>
      <c r="FR8" s="203" t="s">
        <v>389</v>
      </c>
      <c r="FS8" s="203"/>
      <c r="FT8" s="203" t="s">
        <v>390</v>
      </c>
      <c r="FU8" s="204">
        <f t="shared" si="0"/>
        <v>23995</v>
      </c>
      <c r="FV8" s="205" t="s">
        <v>391</v>
      </c>
    </row>
    <row r="9" spans="1:178" s="174" customFormat="1" ht="11.4">
      <c r="A9" s="196" t="s">
        <v>385</v>
      </c>
      <c r="B9" s="196" t="s">
        <v>385</v>
      </c>
      <c r="C9" s="196" t="s">
        <v>386</v>
      </c>
      <c r="D9" s="196" t="s">
        <v>293</v>
      </c>
      <c r="E9" s="197" t="s">
        <v>387</v>
      </c>
      <c r="F9" s="196" t="s">
        <v>388</v>
      </c>
      <c r="G9" s="196"/>
      <c r="H9" s="198"/>
      <c r="I9" s="198"/>
      <c r="J9" s="198"/>
      <c r="K9" s="198"/>
      <c r="L9" s="198"/>
      <c r="M9" s="198"/>
      <c r="N9" s="198"/>
      <c r="O9" s="198"/>
      <c r="P9" s="198"/>
      <c r="Q9" s="198"/>
      <c r="R9" s="198"/>
      <c r="S9" s="198"/>
      <c r="T9" s="198"/>
      <c r="U9" s="198"/>
      <c r="V9" s="198"/>
      <c r="W9" s="198"/>
      <c r="X9" s="198"/>
      <c r="Y9" s="198"/>
      <c r="Z9" s="198"/>
      <c r="AA9" s="198"/>
      <c r="AB9" s="198"/>
      <c r="AC9" s="198"/>
      <c r="AD9" s="198"/>
      <c r="AE9" s="198"/>
      <c r="AF9" s="198"/>
      <c r="AG9" s="198"/>
      <c r="AH9" s="198"/>
      <c r="AI9" s="198"/>
      <c r="AJ9" s="198"/>
      <c r="AK9" s="198"/>
      <c r="AL9" s="198"/>
      <c r="AM9" s="198"/>
      <c r="AN9" s="198"/>
      <c r="AO9" s="198"/>
      <c r="AP9" s="198"/>
      <c r="AQ9" s="198"/>
      <c r="AR9" s="198"/>
      <c r="AS9" s="198"/>
      <c r="AT9" s="198"/>
      <c r="AU9" s="198"/>
      <c r="AV9" s="198"/>
      <c r="AW9" s="198"/>
      <c r="AX9" s="198"/>
      <c r="AY9" s="198"/>
      <c r="AZ9" s="198"/>
      <c r="BA9" s="198"/>
      <c r="BB9" s="198"/>
      <c r="BC9" s="198"/>
      <c r="BD9" s="198"/>
      <c r="BE9" s="198"/>
      <c r="BF9" s="198"/>
      <c r="BG9" s="198"/>
      <c r="BH9" s="198"/>
      <c r="BI9" s="198"/>
      <c r="BJ9" s="198"/>
      <c r="BK9" s="198"/>
      <c r="BL9" s="198"/>
      <c r="BM9" s="198"/>
      <c r="BN9" s="200">
        <f>100-100+3</f>
        <v>3</v>
      </c>
      <c r="BO9" s="198"/>
      <c r="BP9" s="198"/>
      <c r="BQ9" s="198"/>
      <c r="BR9" s="198"/>
      <c r="BS9" s="198"/>
      <c r="BT9" s="198"/>
      <c r="BU9" s="198"/>
      <c r="BV9" s="198"/>
      <c r="BW9" s="198"/>
      <c r="BX9" s="198"/>
      <c r="BY9" s="198"/>
      <c r="BZ9" s="198"/>
      <c r="CA9" s="198"/>
      <c r="CB9" s="198"/>
      <c r="CC9" s="198"/>
      <c r="CD9" s="198"/>
      <c r="CE9" s="198"/>
      <c r="CF9" s="200">
        <v>760</v>
      </c>
      <c r="CG9" s="198"/>
      <c r="CH9" s="198"/>
      <c r="CI9" s="198"/>
      <c r="CJ9" s="198"/>
      <c r="CK9" s="198"/>
      <c r="CL9" s="198"/>
      <c r="CM9" s="198"/>
      <c r="CN9" s="200">
        <f>4000-4000+940</f>
        <v>940</v>
      </c>
      <c r="CO9" s="198"/>
      <c r="CP9" s="198"/>
      <c r="CQ9" s="198"/>
      <c r="CR9" s="198"/>
      <c r="CS9" s="198"/>
      <c r="CT9" s="198"/>
      <c r="CU9" s="198"/>
      <c r="CV9" s="198"/>
      <c r="CW9" s="198"/>
      <c r="CX9" s="198"/>
      <c r="CY9" s="198"/>
      <c r="CZ9" s="198"/>
      <c r="DA9" s="198"/>
      <c r="DB9" s="198"/>
      <c r="DC9" s="198"/>
      <c r="DD9" s="198"/>
      <c r="DE9" s="198"/>
      <c r="DF9" s="198"/>
      <c r="DG9" s="198"/>
      <c r="DH9" s="200">
        <v>75</v>
      </c>
      <c r="DI9" s="198"/>
      <c r="DJ9" s="198"/>
      <c r="DK9" s="198"/>
      <c r="DL9" s="198"/>
      <c r="DM9" s="198"/>
      <c r="DN9" s="198"/>
      <c r="DO9" s="198"/>
      <c r="DP9" s="198"/>
      <c r="DQ9" s="198"/>
      <c r="DR9" s="198"/>
      <c r="DS9" s="198"/>
      <c r="DT9" s="198"/>
      <c r="DU9" s="198"/>
      <c r="DV9" s="198"/>
      <c r="DW9" s="198"/>
      <c r="DX9" s="198"/>
      <c r="DY9" s="198"/>
      <c r="DZ9" s="198"/>
      <c r="EA9" s="198"/>
      <c r="EB9" s="198"/>
      <c r="EC9" s="198"/>
      <c r="ED9" s="198"/>
      <c r="EE9" s="198"/>
      <c r="EF9" s="198"/>
      <c r="EG9" s="198"/>
      <c r="EH9" s="198"/>
      <c r="EI9" s="198"/>
      <c r="EJ9" s="198"/>
      <c r="EK9" s="198"/>
      <c r="EL9" s="198"/>
      <c r="EM9" s="198"/>
      <c r="EN9" s="198"/>
      <c r="EO9" s="198"/>
      <c r="EP9" s="198"/>
      <c r="EQ9" s="198"/>
      <c r="ER9" s="198"/>
      <c r="ES9" s="198"/>
      <c r="ET9" s="198"/>
      <c r="EU9" s="198"/>
      <c r="EV9" s="198"/>
      <c r="EW9" s="200">
        <f>500-500</f>
        <v>0</v>
      </c>
      <c r="EX9" s="198"/>
      <c r="EY9" s="198"/>
      <c r="EZ9" s="198"/>
      <c r="FA9" s="200">
        <f>100-100</f>
        <v>0</v>
      </c>
      <c r="FB9" s="198"/>
      <c r="FC9" s="198"/>
      <c r="FD9" s="198"/>
      <c r="FE9" s="200">
        <f>100-100</f>
        <v>0</v>
      </c>
      <c r="FF9" s="198"/>
      <c r="FG9" s="198"/>
      <c r="FH9" s="198"/>
      <c r="FI9" s="200">
        <f>100-100</f>
        <v>0</v>
      </c>
      <c r="FJ9" s="198"/>
      <c r="FK9" s="198"/>
      <c r="FL9" s="198"/>
      <c r="FM9" s="198"/>
      <c r="FN9" s="198"/>
      <c r="FO9" s="198"/>
      <c r="FP9" s="201"/>
      <c r="FQ9" s="202" t="s">
        <v>756</v>
      </c>
      <c r="FR9" s="203" t="s">
        <v>389</v>
      </c>
      <c r="FS9" s="203"/>
      <c r="FT9" s="203" t="s">
        <v>390</v>
      </c>
      <c r="FU9" s="204">
        <f t="shared" si="0"/>
        <v>1778</v>
      </c>
      <c r="FV9" s="205" t="s">
        <v>391</v>
      </c>
    </row>
    <row r="10" spans="1:178" s="174" customFormat="1" ht="11.4">
      <c r="A10" s="196" t="s">
        <v>385</v>
      </c>
      <c r="B10" s="196" t="s">
        <v>392</v>
      </c>
      <c r="C10" s="196" t="s">
        <v>386</v>
      </c>
      <c r="D10" s="196" t="s">
        <v>291</v>
      </c>
      <c r="E10" s="197" t="s">
        <v>387</v>
      </c>
      <c r="F10" s="196" t="s">
        <v>388</v>
      </c>
      <c r="G10" s="196"/>
      <c r="H10" s="198"/>
      <c r="I10" s="200">
        <f>2000-2000</f>
        <v>0</v>
      </c>
      <c r="J10" s="198"/>
      <c r="K10" s="200">
        <f>2200-2200</f>
        <v>0</v>
      </c>
      <c r="L10" s="198"/>
      <c r="M10" s="198"/>
      <c r="N10" s="198"/>
      <c r="O10" s="198"/>
      <c r="P10" s="198"/>
      <c r="Q10" s="198"/>
      <c r="R10" s="198"/>
      <c r="S10" s="198"/>
      <c r="T10" s="198"/>
      <c r="U10" s="198"/>
      <c r="V10" s="198"/>
      <c r="W10" s="198"/>
      <c r="X10" s="198"/>
      <c r="Y10" s="198"/>
      <c r="Z10" s="198"/>
      <c r="AA10" s="198"/>
      <c r="AB10" s="198"/>
      <c r="AC10" s="198"/>
      <c r="AD10" s="198"/>
      <c r="AE10" s="198"/>
      <c r="AF10" s="198"/>
      <c r="AG10" s="198"/>
      <c r="AH10" s="198"/>
      <c r="AI10" s="198"/>
      <c r="AJ10" s="198"/>
      <c r="AK10" s="198"/>
      <c r="AL10" s="198"/>
      <c r="AM10" s="198"/>
      <c r="AN10" s="198"/>
      <c r="AO10" s="198"/>
      <c r="AP10" s="198"/>
      <c r="AQ10" s="198"/>
      <c r="AR10" s="198"/>
      <c r="AS10" s="198"/>
      <c r="AT10" s="198"/>
      <c r="AU10" s="198"/>
      <c r="AV10" s="198"/>
      <c r="AW10" s="198"/>
      <c r="AX10" s="198"/>
      <c r="AY10" s="198"/>
      <c r="AZ10" s="198"/>
      <c r="BA10" s="198"/>
      <c r="BB10" s="198"/>
      <c r="BC10" s="198"/>
      <c r="BD10" s="198"/>
      <c r="BE10" s="198"/>
      <c r="BF10" s="198"/>
      <c r="BG10" s="198"/>
      <c r="BH10" s="198"/>
      <c r="BI10" s="198"/>
      <c r="BJ10" s="198"/>
      <c r="BK10" s="198"/>
      <c r="BL10" s="198"/>
      <c r="BM10" s="198"/>
      <c r="BN10" s="198"/>
      <c r="BO10" s="198"/>
      <c r="BP10" s="198"/>
      <c r="BQ10" s="198"/>
      <c r="BR10" s="198"/>
      <c r="BS10" s="198"/>
      <c r="BT10" s="198"/>
      <c r="BU10" s="198"/>
      <c r="BV10" s="198"/>
      <c r="BW10" s="198"/>
      <c r="BX10" s="198"/>
      <c r="BY10" s="198"/>
      <c r="BZ10" s="198"/>
      <c r="CA10" s="198"/>
      <c r="CB10" s="198"/>
      <c r="CC10" s="198"/>
      <c r="CD10" s="198"/>
      <c r="CE10" s="198"/>
      <c r="CF10" s="198"/>
      <c r="CG10" s="198"/>
      <c r="CH10" s="198"/>
      <c r="CI10" s="198"/>
      <c r="CJ10" s="198"/>
      <c r="CK10" s="198"/>
      <c r="CL10" s="198"/>
      <c r="CM10" s="198"/>
      <c r="CN10" s="198"/>
      <c r="CO10" s="198"/>
      <c r="CP10" s="198"/>
      <c r="CQ10" s="198"/>
      <c r="CR10" s="198"/>
      <c r="CS10" s="198"/>
      <c r="CT10" s="198"/>
      <c r="CU10" s="198"/>
      <c r="CV10" s="198"/>
      <c r="CW10" s="198"/>
      <c r="CX10" s="198"/>
      <c r="CY10" s="198"/>
      <c r="CZ10" s="198"/>
      <c r="DA10" s="198"/>
      <c r="DB10" s="198"/>
      <c r="DC10" s="198"/>
      <c r="DD10" s="198"/>
      <c r="DE10" s="198"/>
      <c r="DF10" s="198"/>
      <c r="DG10" s="198"/>
      <c r="DH10" s="198"/>
      <c r="DI10" s="198"/>
      <c r="DJ10" s="198"/>
      <c r="DK10" s="198"/>
      <c r="DL10" s="198"/>
      <c r="DM10" s="198"/>
      <c r="DN10" s="198"/>
      <c r="DO10" s="198"/>
      <c r="DP10" s="198"/>
      <c r="DQ10" s="198"/>
      <c r="DR10" s="198"/>
      <c r="DS10" s="198"/>
      <c r="DT10" s="198"/>
      <c r="DU10" s="198"/>
      <c r="DV10" s="198"/>
      <c r="DW10" s="198"/>
      <c r="DX10" s="200">
        <f>2000-2000</f>
        <v>0</v>
      </c>
      <c r="DY10" s="200">
        <f>1000-1000</f>
        <v>0</v>
      </c>
      <c r="DZ10" s="199">
        <f>2000-2000+600-60</f>
        <v>540</v>
      </c>
      <c r="EA10" s="198"/>
      <c r="EB10" s="200">
        <f>3000-3000+150</f>
        <v>150</v>
      </c>
      <c r="EC10" s="200">
        <f t="shared" ref="EC10:ED10" si="3">1000-1000</f>
        <v>0</v>
      </c>
      <c r="ED10" s="200">
        <f t="shared" si="3"/>
        <v>0</v>
      </c>
      <c r="EE10" s="198"/>
      <c r="EF10" s="198"/>
      <c r="EG10" s="198"/>
      <c r="EH10" s="198"/>
      <c r="EI10" s="198"/>
      <c r="EJ10" s="198"/>
      <c r="EK10" s="198"/>
      <c r="EL10" s="198"/>
      <c r="EM10" s="198"/>
      <c r="EN10" s="198"/>
      <c r="EO10" s="198"/>
      <c r="EP10" s="198"/>
      <c r="EQ10" s="198"/>
      <c r="ER10" s="198"/>
      <c r="ES10" s="198"/>
      <c r="ET10" s="198"/>
      <c r="EU10" s="198"/>
      <c r="EV10" s="198"/>
      <c r="EW10" s="198"/>
      <c r="EX10" s="198"/>
      <c r="EY10" s="198"/>
      <c r="EZ10" s="198"/>
      <c r="FA10" s="198"/>
      <c r="FB10" s="198"/>
      <c r="FC10" s="198"/>
      <c r="FD10" s="198"/>
      <c r="FE10" s="198"/>
      <c r="FF10" s="198"/>
      <c r="FG10" s="198"/>
      <c r="FH10" s="198"/>
      <c r="FI10" s="198"/>
      <c r="FJ10" s="198"/>
      <c r="FK10" s="198"/>
      <c r="FL10" s="198"/>
      <c r="FM10" s="198"/>
      <c r="FN10" s="198"/>
      <c r="FO10" s="198"/>
      <c r="FP10" s="201"/>
      <c r="FQ10" s="202" t="s">
        <v>756</v>
      </c>
      <c r="FR10" s="203" t="s">
        <v>389</v>
      </c>
      <c r="FS10" s="203"/>
      <c r="FT10" s="203" t="s">
        <v>390</v>
      </c>
      <c r="FU10" s="204">
        <f t="shared" si="0"/>
        <v>690</v>
      </c>
      <c r="FV10" s="205" t="s">
        <v>391</v>
      </c>
    </row>
    <row r="11" spans="1:178" s="174" customFormat="1" ht="11.4">
      <c r="A11" s="196" t="s">
        <v>385</v>
      </c>
      <c r="B11" s="196" t="s">
        <v>392</v>
      </c>
      <c r="C11" s="196" t="s">
        <v>386</v>
      </c>
      <c r="D11" s="196" t="s">
        <v>1</v>
      </c>
      <c r="E11" s="197" t="s">
        <v>387</v>
      </c>
      <c r="F11" s="196" t="s">
        <v>388</v>
      </c>
      <c r="G11" s="196"/>
      <c r="H11" s="198"/>
      <c r="I11" s="198"/>
      <c r="J11" s="198"/>
      <c r="K11" s="198"/>
      <c r="L11" s="199">
        <f>5000-5000+2660-300</f>
        <v>2360</v>
      </c>
      <c r="M11" s="198"/>
      <c r="N11" s="199">
        <f>3000-3000+400-180</f>
        <v>220</v>
      </c>
      <c r="O11" s="200">
        <f>3000-3000</f>
        <v>0</v>
      </c>
      <c r="P11" s="200">
        <f>5000-5000</f>
        <v>0</v>
      </c>
      <c r="Q11" s="198"/>
      <c r="R11" s="198"/>
      <c r="S11" s="198"/>
      <c r="T11" s="198"/>
      <c r="U11" s="198"/>
      <c r="V11" s="198"/>
      <c r="W11" s="198"/>
      <c r="X11" s="198"/>
      <c r="Y11" s="198"/>
      <c r="Z11" s="198"/>
      <c r="AA11" s="198"/>
      <c r="AB11" s="198"/>
      <c r="AC11" s="198"/>
      <c r="AD11" s="198"/>
      <c r="AE11" s="198"/>
      <c r="AF11" s="200">
        <f>500-500</f>
        <v>0</v>
      </c>
      <c r="AG11" s="198"/>
      <c r="AH11" s="198"/>
      <c r="AI11" s="198"/>
      <c r="AJ11" s="198"/>
      <c r="AK11" s="198"/>
      <c r="AL11" s="198"/>
      <c r="AM11" s="198"/>
      <c r="AN11" s="198"/>
      <c r="AO11" s="198"/>
      <c r="AP11" s="198"/>
      <c r="AQ11" s="198"/>
      <c r="AR11" s="198"/>
      <c r="AS11" s="198"/>
      <c r="AT11" s="198"/>
      <c r="AU11" s="198"/>
      <c r="AV11" s="198"/>
      <c r="AW11" s="198"/>
      <c r="AX11" s="198"/>
      <c r="AY11" s="198"/>
      <c r="AZ11" s="198"/>
      <c r="BA11" s="198"/>
      <c r="BB11" s="198"/>
      <c r="BC11" s="198"/>
      <c r="BD11" s="198"/>
      <c r="BE11" s="198"/>
      <c r="BF11" s="198"/>
      <c r="BG11" s="198"/>
      <c r="BH11" s="198"/>
      <c r="BI11" s="198"/>
      <c r="BJ11" s="198"/>
      <c r="BK11" s="198"/>
      <c r="BL11" s="198"/>
      <c r="BM11" s="198"/>
      <c r="BN11" s="198"/>
      <c r="BO11" s="198"/>
      <c r="BP11" s="198"/>
      <c r="BQ11" s="198"/>
      <c r="BR11" s="198"/>
      <c r="BS11" s="198"/>
      <c r="BT11" s="198"/>
      <c r="BU11" s="198"/>
      <c r="BV11" s="198"/>
      <c r="BW11" s="198"/>
      <c r="BX11" s="198"/>
      <c r="BY11" s="198"/>
      <c r="BZ11" s="198"/>
      <c r="CA11" s="198"/>
      <c r="CB11" s="198"/>
      <c r="CC11" s="198"/>
      <c r="CD11" s="198"/>
      <c r="CE11" s="198"/>
      <c r="CF11" s="198"/>
      <c r="CG11" s="198"/>
      <c r="CH11" s="198"/>
      <c r="CI11" s="198"/>
      <c r="CJ11" s="198"/>
      <c r="CK11" s="198"/>
      <c r="CL11" s="198"/>
      <c r="CM11" s="198"/>
      <c r="CN11" s="198"/>
      <c r="CO11" s="198"/>
      <c r="CP11" s="198"/>
      <c r="CQ11" s="198"/>
      <c r="CR11" s="198"/>
      <c r="CS11" s="198"/>
      <c r="CT11" s="198"/>
      <c r="CU11" s="198"/>
      <c r="CV11" s="198"/>
      <c r="CW11" s="198"/>
      <c r="CX11" s="198"/>
      <c r="CY11" s="198"/>
      <c r="CZ11" s="198"/>
      <c r="DA11" s="198"/>
      <c r="DB11" s="198"/>
      <c r="DC11" s="198"/>
      <c r="DD11" s="198"/>
      <c r="DE11" s="198"/>
      <c r="DF11" s="198"/>
      <c r="DG11" s="198"/>
      <c r="DH11" s="198"/>
      <c r="DI11" s="198"/>
      <c r="DJ11" s="198"/>
      <c r="DK11" s="198"/>
      <c r="DL11" s="198"/>
      <c r="DM11" s="198"/>
      <c r="DN11" s="198"/>
      <c r="DO11" s="198"/>
      <c r="DP11" s="198"/>
      <c r="DQ11" s="198"/>
      <c r="DR11" s="198"/>
      <c r="DS11" s="198"/>
      <c r="DT11" s="198"/>
      <c r="DU11" s="198"/>
      <c r="DV11" s="198"/>
      <c r="DW11" s="198"/>
      <c r="DX11" s="198"/>
      <c r="DY11" s="198"/>
      <c r="DZ11" s="198"/>
      <c r="EA11" s="200">
        <f>3000-3000</f>
        <v>0</v>
      </c>
      <c r="EB11" s="198"/>
      <c r="EC11" s="198"/>
      <c r="ED11" s="198"/>
      <c r="EE11" s="198"/>
      <c r="EF11" s="198"/>
      <c r="EG11" s="198"/>
      <c r="EH11" s="198"/>
      <c r="EI11" s="200">
        <f>1000-1000+10</f>
        <v>10</v>
      </c>
      <c r="EJ11" s="200">
        <f>500-500</f>
        <v>0</v>
      </c>
      <c r="EK11" s="198"/>
      <c r="EL11" s="198"/>
      <c r="EM11" s="200">
        <f>1000-1000</f>
        <v>0</v>
      </c>
      <c r="EN11" s="198"/>
      <c r="EO11" s="198"/>
      <c r="EP11" s="198"/>
      <c r="EQ11" s="198"/>
      <c r="ER11" s="198"/>
      <c r="ES11" s="198"/>
      <c r="ET11" s="198"/>
      <c r="EU11" s="198"/>
      <c r="EV11" s="198"/>
      <c r="EW11" s="198"/>
      <c r="EX11" s="198"/>
      <c r="EY11" s="198"/>
      <c r="EZ11" s="198"/>
      <c r="FA11" s="198"/>
      <c r="FB11" s="198"/>
      <c r="FC11" s="198"/>
      <c r="FD11" s="198"/>
      <c r="FE11" s="198"/>
      <c r="FF11" s="198"/>
      <c r="FG11" s="198"/>
      <c r="FH11" s="198"/>
      <c r="FI11" s="198"/>
      <c r="FJ11" s="198"/>
      <c r="FK11" s="200">
        <f>500-500</f>
        <v>0</v>
      </c>
      <c r="FL11" s="198"/>
      <c r="FM11" s="199">
        <f>1000-1000+120-70</f>
        <v>50</v>
      </c>
      <c r="FN11" s="198"/>
      <c r="FO11" s="198"/>
      <c r="FP11" s="201"/>
      <c r="FQ11" s="202" t="s">
        <v>756</v>
      </c>
      <c r="FR11" s="203" t="s">
        <v>389</v>
      </c>
      <c r="FS11" s="203"/>
      <c r="FT11" s="203" t="s">
        <v>390</v>
      </c>
      <c r="FU11" s="204">
        <f t="shared" si="0"/>
        <v>2640</v>
      </c>
      <c r="FV11" s="205" t="s">
        <v>391</v>
      </c>
    </row>
    <row r="12" spans="1:178" s="174" customFormat="1" ht="11.4">
      <c r="A12" s="196" t="s">
        <v>385</v>
      </c>
      <c r="B12" s="196" t="s">
        <v>392</v>
      </c>
      <c r="C12" s="196" t="s">
        <v>386</v>
      </c>
      <c r="D12" s="196" t="s">
        <v>293</v>
      </c>
      <c r="E12" s="197" t="s">
        <v>387</v>
      </c>
      <c r="F12" s="196" t="s">
        <v>388</v>
      </c>
      <c r="G12" s="196"/>
      <c r="H12" s="198"/>
      <c r="I12" s="198"/>
      <c r="J12" s="200">
        <f>2000-2000</f>
        <v>0</v>
      </c>
      <c r="K12" s="198"/>
      <c r="L12" s="198"/>
      <c r="M12" s="198"/>
      <c r="N12" s="198"/>
      <c r="O12" s="198"/>
      <c r="P12" s="198"/>
      <c r="Q12" s="198"/>
      <c r="R12" s="198"/>
      <c r="S12" s="198"/>
      <c r="T12" s="198"/>
      <c r="U12" s="198"/>
      <c r="V12" s="198"/>
      <c r="W12" s="198"/>
      <c r="X12" s="198"/>
      <c r="Y12" s="198"/>
      <c r="Z12" s="198"/>
      <c r="AA12" s="198"/>
      <c r="AB12" s="198"/>
      <c r="AC12" s="198"/>
      <c r="AD12" s="198"/>
      <c r="AE12" s="198"/>
      <c r="AF12" s="198"/>
      <c r="AG12" s="198"/>
      <c r="AH12" s="198"/>
      <c r="AI12" s="198"/>
      <c r="AJ12" s="198"/>
      <c r="AK12" s="198"/>
      <c r="AL12" s="198"/>
      <c r="AM12" s="198"/>
      <c r="AN12" s="198"/>
      <c r="AO12" s="198"/>
      <c r="AP12" s="198"/>
      <c r="AQ12" s="198"/>
      <c r="AR12" s="198"/>
      <c r="AS12" s="198"/>
      <c r="AT12" s="198"/>
      <c r="AU12" s="198"/>
      <c r="AV12" s="198"/>
      <c r="AW12" s="198"/>
      <c r="AX12" s="198"/>
      <c r="AY12" s="198"/>
      <c r="AZ12" s="198"/>
      <c r="BA12" s="198"/>
      <c r="BB12" s="198"/>
      <c r="BC12" s="198"/>
      <c r="BD12" s="198"/>
      <c r="BE12" s="198"/>
      <c r="BF12" s="198"/>
      <c r="BG12" s="198"/>
      <c r="BH12" s="198"/>
      <c r="BI12" s="198"/>
      <c r="BJ12" s="198"/>
      <c r="BK12" s="198"/>
      <c r="BL12" s="198"/>
      <c r="BM12" s="198"/>
      <c r="BN12" s="198"/>
      <c r="BO12" s="198"/>
      <c r="BP12" s="198"/>
      <c r="BQ12" s="198"/>
      <c r="BR12" s="198">
        <f t="shared" ref="BR12:DW12" si="4">SUM(BR13:BR91)</f>
        <v>3100</v>
      </c>
      <c r="BS12" s="198">
        <f t="shared" si="4"/>
        <v>0</v>
      </c>
      <c r="BT12" s="198">
        <f t="shared" si="4"/>
        <v>0</v>
      </c>
      <c r="BU12" s="198">
        <f t="shared" si="4"/>
        <v>145</v>
      </c>
      <c r="BV12" s="198">
        <f t="shared" si="4"/>
        <v>2</v>
      </c>
      <c r="BW12" s="198">
        <f t="shared" si="4"/>
        <v>0</v>
      </c>
      <c r="BX12" s="198">
        <f t="shared" si="4"/>
        <v>0</v>
      </c>
      <c r="BY12" s="198">
        <f t="shared" si="4"/>
        <v>340</v>
      </c>
      <c r="BZ12" s="198">
        <f t="shared" si="4"/>
        <v>0</v>
      </c>
      <c r="CA12" s="198">
        <f t="shared" si="4"/>
        <v>0</v>
      </c>
      <c r="CB12" s="198">
        <f t="shared" si="4"/>
        <v>0</v>
      </c>
      <c r="CC12" s="198">
        <f t="shared" si="4"/>
        <v>470</v>
      </c>
      <c r="CD12" s="198">
        <f t="shared" si="4"/>
        <v>8</v>
      </c>
      <c r="CE12" s="198">
        <f t="shared" si="4"/>
        <v>0</v>
      </c>
      <c r="CF12" s="198">
        <f t="shared" si="4"/>
        <v>930</v>
      </c>
      <c r="CG12" s="198">
        <f t="shared" si="4"/>
        <v>270</v>
      </c>
      <c r="CH12" s="198">
        <f t="shared" si="4"/>
        <v>0</v>
      </c>
      <c r="CI12" s="198">
        <f t="shared" si="4"/>
        <v>0</v>
      </c>
      <c r="CJ12" s="198">
        <f t="shared" si="4"/>
        <v>0</v>
      </c>
      <c r="CK12" s="198">
        <f t="shared" si="4"/>
        <v>0</v>
      </c>
      <c r="CL12" s="198">
        <f t="shared" si="4"/>
        <v>0</v>
      </c>
      <c r="CM12" s="198">
        <f t="shared" si="4"/>
        <v>1</v>
      </c>
      <c r="CN12" s="198">
        <f t="shared" si="4"/>
        <v>280</v>
      </c>
      <c r="CO12" s="198">
        <f t="shared" si="4"/>
        <v>0</v>
      </c>
      <c r="CP12" s="198">
        <f t="shared" si="4"/>
        <v>0</v>
      </c>
      <c r="CQ12" s="198">
        <f t="shared" si="4"/>
        <v>0</v>
      </c>
      <c r="CR12" s="198">
        <f t="shared" si="4"/>
        <v>0</v>
      </c>
      <c r="CS12" s="198">
        <f t="shared" si="4"/>
        <v>0</v>
      </c>
      <c r="CT12" s="198">
        <f t="shared" si="4"/>
        <v>0</v>
      </c>
      <c r="CU12" s="198">
        <f t="shared" si="4"/>
        <v>0</v>
      </c>
      <c r="CV12" s="198">
        <f t="shared" si="4"/>
        <v>0</v>
      </c>
      <c r="CW12" s="198">
        <f t="shared" si="4"/>
        <v>110</v>
      </c>
      <c r="CX12" s="198">
        <f t="shared" si="4"/>
        <v>140</v>
      </c>
      <c r="CY12" s="198">
        <f t="shared" si="4"/>
        <v>0</v>
      </c>
      <c r="CZ12" s="198">
        <f t="shared" si="4"/>
        <v>0</v>
      </c>
      <c r="DA12" s="198">
        <f t="shared" si="4"/>
        <v>0</v>
      </c>
      <c r="DB12" s="198">
        <f t="shared" si="4"/>
        <v>0</v>
      </c>
      <c r="DC12" s="198">
        <f t="shared" si="4"/>
        <v>0</v>
      </c>
      <c r="DD12" s="198">
        <f t="shared" si="4"/>
        <v>0</v>
      </c>
      <c r="DE12" s="198">
        <f t="shared" si="4"/>
        <v>0</v>
      </c>
      <c r="DF12" s="198">
        <f t="shared" si="4"/>
        <v>0</v>
      </c>
      <c r="DG12" s="198">
        <f t="shared" si="4"/>
        <v>0</v>
      </c>
      <c r="DH12" s="198">
        <f t="shared" si="4"/>
        <v>70</v>
      </c>
      <c r="DI12" s="198">
        <f t="shared" si="4"/>
        <v>15</v>
      </c>
      <c r="DJ12" s="198">
        <f t="shared" si="4"/>
        <v>0</v>
      </c>
      <c r="DK12" s="198">
        <f t="shared" si="4"/>
        <v>0</v>
      </c>
      <c r="DL12" s="198">
        <f t="shared" si="4"/>
        <v>0</v>
      </c>
      <c r="DM12" s="198">
        <f t="shared" si="4"/>
        <v>0</v>
      </c>
      <c r="DN12" s="198">
        <f t="shared" si="4"/>
        <v>0</v>
      </c>
      <c r="DO12" s="198">
        <f t="shared" si="4"/>
        <v>290</v>
      </c>
      <c r="DP12" s="198">
        <f t="shared" si="4"/>
        <v>15</v>
      </c>
      <c r="DQ12" s="198">
        <f t="shared" si="4"/>
        <v>0</v>
      </c>
      <c r="DR12" s="198">
        <f t="shared" si="4"/>
        <v>0</v>
      </c>
      <c r="DS12" s="198">
        <f t="shared" si="4"/>
        <v>0</v>
      </c>
      <c r="DT12" s="198">
        <f t="shared" si="4"/>
        <v>0</v>
      </c>
      <c r="DU12" s="198">
        <f t="shared" si="4"/>
        <v>0</v>
      </c>
      <c r="DV12" s="198">
        <f t="shared" si="4"/>
        <v>0</v>
      </c>
      <c r="DW12" s="198">
        <f t="shared" si="4"/>
        <v>125</v>
      </c>
      <c r="DX12" s="198"/>
      <c r="DY12" s="198"/>
      <c r="DZ12" s="198"/>
      <c r="EA12" s="198"/>
      <c r="EB12" s="198"/>
      <c r="EC12" s="198"/>
      <c r="ED12" s="198"/>
      <c r="EE12" s="198"/>
      <c r="EF12" s="198"/>
      <c r="EG12" s="198"/>
      <c r="EH12" s="198"/>
      <c r="EI12" s="198"/>
      <c r="EJ12" s="198"/>
      <c r="EK12" s="198"/>
      <c r="EL12" s="198"/>
      <c r="EM12" s="198"/>
      <c r="EN12" s="198"/>
      <c r="EO12" s="198">
        <f t="shared" ref="EO12:FJ12" si="5">SUM(EO13:EO91)</f>
        <v>1</v>
      </c>
      <c r="EP12" s="198">
        <f t="shared" si="5"/>
        <v>1</v>
      </c>
      <c r="EQ12" s="198">
        <f t="shared" si="5"/>
        <v>0</v>
      </c>
      <c r="ER12" s="198">
        <f t="shared" si="5"/>
        <v>0</v>
      </c>
      <c r="ES12" s="198">
        <f t="shared" si="5"/>
        <v>0</v>
      </c>
      <c r="ET12" s="198">
        <f t="shared" si="5"/>
        <v>0</v>
      </c>
      <c r="EU12" s="198">
        <f t="shared" si="5"/>
        <v>0</v>
      </c>
      <c r="EV12" s="198">
        <f t="shared" si="5"/>
        <v>0</v>
      </c>
      <c r="EW12" s="198">
        <f t="shared" si="5"/>
        <v>0</v>
      </c>
      <c r="EX12" s="198">
        <f t="shared" si="5"/>
        <v>150</v>
      </c>
      <c r="EY12" s="198">
        <f t="shared" si="5"/>
        <v>240</v>
      </c>
      <c r="EZ12" s="198">
        <f t="shared" si="5"/>
        <v>0</v>
      </c>
      <c r="FA12" s="198">
        <f t="shared" si="5"/>
        <v>0</v>
      </c>
      <c r="FB12" s="198">
        <f t="shared" si="5"/>
        <v>10</v>
      </c>
      <c r="FC12" s="198">
        <f t="shared" si="5"/>
        <v>0</v>
      </c>
      <c r="FD12" s="198">
        <f t="shared" si="5"/>
        <v>0</v>
      </c>
      <c r="FE12" s="198">
        <f t="shared" si="5"/>
        <v>0</v>
      </c>
      <c r="FF12" s="198">
        <f t="shared" si="5"/>
        <v>20</v>
      </c>
      <c r="FG12" s="198">
        <f t="shared" si="5"/>
        <v>0</v>
      </c>
      <c r="FH12" s="198">
        <f t="shared" si="5"/>
        <v>0</v>
      </c>
      <c r="FI12" s="198">
        <f t="shared" si="5"/>
        <v>0</v>
      </c>
      <c r="FJ12" s="198">
        <f t="shared" si="5"/>
        <v>30</v>
      </c>
      <c r="FK12" s="198"/>
      <c r="FL12" s="198"/>
      <c r="FM12" s="198"/>
      <c r="FN12" s="198"/>
      <c r="FO12" s="198"/>
      <c r="FP12" s="201"/>
      <c r="FQ12" s="202" t="s">
        <v>756</v>
      </c>
      <c r="FR12" s="203" t="s">
        <v>389</v>
      </c>
      <c r="FS12" s="203"/>
      <c r="FT12" s="203" t="s">
        <v>390</v>
      </c>
      <c r="FU12" s="204">
        <f t="shared" si="0"/>
        <v>6763</v>
      </c>
      <c r="FV12" s="205" t="s">
        <v>391</v>
      </c>
    </row>
    <row r="13" spans="1:178" s="174" customFormat="1" ht="11.4" hidden="1">
      <c r="A13" s="196" t="s">
        <v>393</v>
      </c>
      <c r="B13" s="196" t="s">
        <v>385</v>
      </c>
      <c r="C13" s="196" t="s">
        <v>394</v>
      </c>
      <c r="D13" s="196" t="s">
        <v>291</v>
      </c>
      <c r="E13" s="197" t="s">
        <v>395</v>
      </c>
      <c r="F13" s="196" t="s">
        <v>388</v>
      </c>
      <c r="G13" s="196"/>
      <c r="H13" s="198"/>
      <c r="I13" s="198"/>
      <c r="J13" s="198"/>
      <c r="K13" s="198"/>
      <c r="L13" s="198"/>
      <c r="M13" s="198"/>
      <c r="N13" s="200">
        <f>500-500</f>
        <v>0</v>
      </c>
      <c r="O13" s="198"/>
      <c r="P13" s="198"/>
      <c r="Q13" s="198"/>
      <c r="R13" s="198"/>
      <c r="S13" s="198"/>
      <c r="T13" s="198"/>
      <c r="U13" s="198"/>
      <c r="V13" s="198"/>
      <c r="W13" s="198"/>
      <c r="X13" s="198"/>
      <c r="Y13" s="198"/>
      <c r="Z13" s="198"/>
      <c r="AA13" s="198"/>
      <c r="AB13" s="198"/>
      <c r="AC13" s="198"/>
      <c r="AD13" s="198"/>
      <c r="AE13" s="198"/>
      <c r="AF13" s="198"/>
      <c r="AG13" s="200">
        <f>500-500</f>
        <v>0</v>
      </c>
      <c r="AH13" s="198"/>
      <c r="AI13" s="198"/>
      <c r="AJ13" s="198"/>
      <c r="AK13" s="198"/>
      <c r="AL13" s="198"/>
      <c r="AM13" s="198"/>
      <c r="AN13" s="198"/>
      <c r="AO13" s="198"/>
      <c r="AP13" s="198"/>
      <c r="AQ13" s="198"/>
      <c r="AR13" s="200">
        <f>500-500</f>
        <v>0</v>
      </c>
      <c r="AS13" s="198"/>
      <c r="AT13" s="198"/>
      <c r="AU13" s="198"/>
      <c r="AV13" s="198"/>
      <c r="AW13" s="198"/>
      <c r="AX13" s="198"/>
      <c r="AY13" s="198"/>
      <c r="AZ13" s="198"/>
      <c r="BA13" s="198"/>
      <c r="BB13" s="198"/>
      <c r="BC13" s="198"/>
      <c r="BD13" s="198"/>
      <c r="BE13" s="198"/>
      <c r="BF13" s="198"/>
      <c r="BG13" s="200">
        <f>500-500</f>
        <v>0</v>
      </c>
      <c r="BH13" s="198"/>
      <c r="BI13" s="198"/>
      <c r="BJ13" s="198"/>
      <c r="BK13" s="198"/>
      <c r="BL13" s="198"/>
      <c r="BM13" s="198"/>
      <c r="BN13" s="198"/>
      <c r="BO13" s="198"/>
      <c r="BP13" s="198"/>
      <c r="BQ13" s="198"/>
      <c r="BR13" s="198"/>
      <c r="BS13" s="198"/>
      <c r="BT13" s="198"/>
      <c r="BU13" s="198"/>
      <c r="BV13" s="198"/>
      <c r="BW13" s="198"/>
      <c r="BX13" s="198"/>
      <c r="BY13" s="198"/>
      <c r="BZ13" s="198"/>
      <c r="CA13" s="198"/>
      <c r="CB13" s="198"/>
      <c r="CC13" s="198"/>
      <c r="CD13" s="198"/>
      <c r="CE13" s="198"/>
      <c r="CF13" s="198"/>
      <c r="CG13" s="198"/>
      <c r="CH13" s="198"/>
      <c r="CI13" s="198"/>
      <c r="CJ13" s="198"/>
      <c r="CK13" s="198"/>
      <c r="CL13" s="198"/>
      <c r="CM13" s="198"/>
      <c r="CN13" s="198"/>
      <c r="CO13" s="198"/>
      <c r="CP13" s="198"/>
      <c r="CQ13" s="198"/>
      <c r="CR13" s="198"/>
      <c r="CS13" s="198"/>
      <c r="CT13" s="198"/>
      <c r="CU13" s="198"/>
      <c r="CV13" s="198"/>
      <c r="CW13" s="198"/>
      <c r="CX13" s="198"/>
      <c r="CY13" s="198"/>
      <c r="CZ13" s="198"/>
      <c r="DA13" s="198"/>
      <c r="DB13" s="198"/>
      <c r="DC13" s="198"/>
      <c r="DD13" s="198"/>
      <c r="DE13" s="198"/>
      <c r="DF13" s="198"/>
      <c r="DG13" s="198"/>
      <c r="DH13" s="198"/>
      <c r="DI13" s="198"/>
      <c r="DJ13" s="198"/>
      <c r="DK13" s="198"/>
      <c r="DL13" s="198"/>
      <c r="DM13" s="198"/>
      <c r="DN13" s="198"/>
      <c r="DO13" s="198"/>
      <c r="DP13" s="198"/>
      <c r="DQ13" s="198"/>
      <c r="DR13" s="198"/>
      <c r="DS13" s="198"/>
      <c r="DT13" s="198"/>
      <c r="DU13" s="198"/>
      <c r="DV13" s="198"/>
      <c r="DW13" s="198"/>
      <c r="DX13" s="198"/>
      <c r="DY13" s="198"/>
      <c r="DZ13" s="198"/>
      <c r="EA13" s="198"/>
      <c r="EB13" s="198"/>
      <c r="EC13" s="198"/>
      <c r="ED13" s="198"/>
      <c r="EE13" s="198"/>
      <c r="EF13" s="198"/>
      <c r="EG13" s="198"/>
      <c r="EH13" s="198"/>
      <c r="EI13" s="198"/>
      <c r="EJ13" s="198"/>
      <c r="EK13" s="198"/>
      <c r="EL13" s="198"/>
      <c r="EM13" s="198"/>
      <c r="EN13" s="198"/>
      <c r="EO13" s="198"/>
      <c r="EP13" s="198"/>
      <c r="EQ13" s="198"/>
      <c r="ER13" s="198"/>
      <c r="ES13" s="198"/>
      <c r="ET13" s="198"/>
      <c r="EU13" s="198"/>
      <c r="EV13" s="198"/>
      <c r="EW13" s="198"/>
      <c r="EX13" s="198"/>
      <c r="EY13" s="198"/>
      <c r="EZ13" s="198"/>
      <c r="FA13" s="198"/>
      <c r="FB13" s="198"/>
      <c r="FC13" s="198"/>
      <c r="FD13" s="198"/>
      <c r="FE13" s="198"/>
      <c r="FF13" s="198"/>
      <c r="FG13" s="198"/>
      <c r="FH13" s="198"/>
      <c r="FI13" s="198"/>
      <c r="FJ13" s="198"/>
      <c r="FK13" s="198"/>
      <c r="FL13" s="198"/>
      <c r="FM13" s="198"/>
      <c r="FN13" s="198"/>
      <c r="FO13" s="198"/>
      <c r="FP13" s="201"/>
      <c r="FQ13" s="202" t="s">
        <v>756</v>
      </c>
      <c r="FR13" s="203" t="s">
        <v>389</v>
      </c>
      <c r="FS13" s="203" t="s">
        <v>396</v>
      </c>
      <c r="FT13" s="203" t="s">
        <v>397</v>
      </c>
      <c r="FU13" s="204">
        <f t="shared" si="0"/>
        <v>0</v>
      </c>
      <c r="FV13" s="205" t="s">
        <v>398</v>
      </c>
    </row>
    <row r="14" spans="1:178" s="174" customFormat="1" ht="11.4" hidden="1">
      <c r="A14" s="196" t="s">
        <v>393</v>
      </c>
      <c r="B14" s="196" t="s">
        <v>385</v>
      </c>
      <c r="C14" s="196" t="s">
        <v>394</v>
      </c>
      <c r="D14" s="196" t="s">
        <v>1</v>
      </c>
      <c r="E14" s="197" t="s">
        <v>395</v>
      </c>
      <c r="F14" s="196" t="s">
        <v>388</v>
      </c>
      <c r="G14" s="196"/>
      <c r="H14" s="198"/>
      <c r="I14" s="198"/>
      <c r="J14" s="198"/>
      <c r="K14" s="198"/>
      <c r="L14" s="198"/>
      <c r="M14" s="198"/>
      <c r="N14" s="206">
        <f>0+20</f>
        <v>20</v>
      </c>
      <c r="O14" s="200">
        <f t="shared" ref="O14:P14" si="6">500-500</f>
        <v>0</v>
      </c>
      <c r="P14" s="200">
        <f t="shared" si="6"/>
        <v>0</v>
      </c>
      <c r="Q14" s="198"/>
      <c r="R14" s="198"/>
      <c r="S14" s="198"/>
      <c r="T14" s="198"/>
      <c r="U14" s="200">
        <f>1000-1000</f>
        <v>0</v>
      </c>
      <c r="V14" s="198"/>
      <c r="W14" s="198"/>
      <c r="X14" s="198"/>
      <c r="Y14" s="198"/>
      <c r="Z14" s="198"/>
      <c r="AA14" s="198"/>
      <c r="AB14" s="198"/>
      <c r="AC14" s="198"/>
      <c r="AD14" s="198"/>
      <c r="AE14" s="198"/>
      <c r="AF14" s="198"/>
      <c r="AG14" s="198"/>
      <c r="AH14" s="198"/>
      <c r="AI14" s="198"/>
      <c r="AJ14" s="198"/>
      <c r="AK14" s="198"/>
      <c r="AL14" s="198"/>
      <c r="AM14" s="198"/>
      <c r="AN14" s="198"/>
      <c r="AO14" s="198"/>
      <c r="AP14" s="198"/>
      <c r="AQ14" s="198"/>
      <c r="AR14" s="198"/>
      <c r="AS14" s="198"/>
      <c r="AT14" s="198"/>
      <c r="AU14" s="199">
        <f>500-500+40</f>
        <v>40</v>
      </c>
      <c r="AV14" s="198"/>
      <c r="AW14" s="198"/>
      <c r="AX14" s="198"/>
      <c r="AY14" s="198"/>
      <c r="AZ14" s="198"/>
      <c r="BA14" s="198"/>
      <c r="BB14" s="198"/>
      <c r="BC14" s="198"/>
      <c r="BD14" s="198"/>
      <c r="BE14" s="198"/>
      <c r="BF14" s="198"/>
      <c r="BG14" s="206">
        <f>0+120</f>
        <v>120</v>
      </c>
      <c r="BH14" s="198"/>
      <c r="BI14" s="198"/>
      <c r="BJ14" s="198"/>
      <c r="BK14" s="198"/>
      <c r="BL14" s="198"/>
      <c r="BM14" s="198"/>
      <c r="BN14" s="198"/>
      <c r="BO14" s="198"/>
      <c r="BP14" s="198"/>
      <c r="BQ14" s="198"/>
      <c r="BR14" s="198"/>
      <c r="BS14" s="198"/>
      <c r="BT14" s="198"/>
      <c r="BU14" s="198"/>
      <c r="BV14" s="198"/>
      <c r="BW14" s="198"/>
      <c r="BX14" s="198"/>
      <c r="BY14" s="198"/>
      <c r="BZ14" s="198"/>
      <c r="CA14" s="198"/>
      <c r="CB14" s="198"/>
      <c r="CC14" s="198"/>
      <c r="CD14" s="198"/>
      <c r="CE14" s="198"/>
      <c r="CF14" s="198"/>
      <c r="CG14" s="198"/>
      <c r="CH14" s="198"/>
      <c r="CI14" s="198"/>
      <c r="CJ14" s="198"/>
      <c r="CK14" s="198"/>
      <c r="CL14" s="198"/>
      <c r="CM14" s="198"/>
      <c r="CN14" s="198"/>
      <c r="CO14" s="198"/>
      <c r="CP14" s="198"/>
      <c r="CQ14" s="198"/>
      <c r="CR14" s="198"/>
      <c r="CS14" s="198"/>
      <c r="CT14" s="198"/>
      <c r="CU14" s="198"/>
      <c r="CV14" s="198"/>
      <c r="CW14" s="198"/>
      <c r="CX14" s="198"/>
      <c r="CY14" s="198"/>
      <c r="CZ14" s="198"/>
      <c r="DA14" s="198"/>
      <c r="DB14" s="198"/>
      <c r="DC14" s="198"/>
      <c r="DD14" s="198"/>
      <c r="DE14" s="198"/>
      <c r="DF14" s="198"/>
      <c r="DG14" s="198"/>
      <c r="DH14" s="198"/>
      <c r="DI14" s="198"/>
      <c r="DJ14" s="198"/>
      <c r="DK14" s="198"/>
      <c r="DL14" s="198"/>
      <c r="DM14" s="198"/>
      <c r="DN14" s="198"/>
      <c r="DO14" s="198"/>
      <c r="DP14" s="198"/>
      <c r="DQ14" s="198"/>
      <c r="DR14" s="198"/>
      <c r="DS14" s="198"/>
      <c r="DT14" s="198"/>
      <c r="DU14" s="198"/>
      <c r="DV14" s="198"/>
      <c r="DW14" s="198"/>
      <c r="DX14" s="198"/>
      <c r="DY14" s="198"/>
      <c r="DZ14" s="198"/>
      <c r="EA14" s="198"/>
      <c r="EB14" s="198"/>
      <c r="EC14" s="198"/>
      <c r="ED14" s="198"/>
      <c r="EE14" s="198"/>
      <c r="EF14" s="198"/>
      <c r="EG14" s="198"/>
      <c r="EH14" s="198"/>
      <c r="EI14" s="198"/>
      <c r="EJ14" s="198"/>
      <c r="EK14" s="198"/>
      <c r="EL14" s="198"/>
      <c r="EM14" s="198"/>
      <c r="EN14" s="198"/>
      <c r="EO14" s="198"/>
      <c r="EP14" s="198"/>
      <c r="EQ14" s="200">
        <f>100-100</f>
        <v>0</v>
      </c>
      <c r="ER14" s="198"/>
      <c r="ES14" s="200">
        <f>100-100</f>
        <v>0</v>
      </c>
      <c r="ET14" s="198"/>
      <c r="EU14" s="198"/>
      <c r="EV14" s="198"/>
      <c r="EW14" s="198"/>
      <c r="EX14" s="198"/>
      <c r="EY14" s="198"/>
      <c r="EZ14" s="200">
        <f>200-200</f>
        <v>0</v>
      </c>
      <c r="FA14" s="198"/>
      <c r="FB14" s="200">
        <f>300-300</f>
        <v>0</v>
      </c>
      <c r="FC14" s="200">
        <f t="shared" ref="FC14:FD14" si="7">100-100</f>
        <v>0</v>
      </c>
      <c r="FD14" s="200">
        <f t="shared" si="7"/>
        <v>0</v>
      </c>
      <c r="FE14" s="198"/>
      <c r="FF14" s="200">
        <f>100-100</f>
        <v>0</v>
      </c>
      <c r="FG14" s="198"/>
      <c r="FH14" s="198"/>
      <c r="FI14" s="198"/>
      <c r="FJ14" s="200">
        <f>50-50</f>
        <v>0</v>
      </c>
      <c r="FK14" s="198"/>
      <c r="FL14" s="198"/>
      <c r="FM14" s="198"/>
      <c r="FN14" s="198"/>
      <c r="FO14" s="198"/>
      <c r="FP14" s="201"/>
      <c r="FQ14" s="202" t="s">
        <v>756</v>
      </c>
      <c r="FR14" s="203" t="s">
        <v>389</v>
      </c>
      <c r="FS14" s="203" t="s">
        <v>396</v>
      </c>
      <c r="FT14" s="203" t="s">
        <v>397</v>
      </c>
      <c r="FU14" s="204">
        <f t="shared" si="0"/>
        <v>180</v>
      </c>
      <c r="FV14" s="205" t="s">
        <v>398</v>
      </c>
    </row>
    <row r="15" spans="1:178" s="174" customFormat="1" ht="11.4" hidden="1">
      <c r="A15" s="196" t="s">
        <v>393</v>
      </c>
      <c r="B15" s="196" t="s">
        <v>385</v>
      </c>
      <c r="C15" s="196" t="s">
        <v>394</v>
      </c>
      <c r="D15" s="196" t="s">
        <v>1</v>
      </c>
      <c r="E15" s="197" t="s">
        <v>399</v>
      </c>
      <c r="F15" s="196" t="s">
        <v>388</v>
      </c>
      <c r="G15" s="196"/>
      <c r="H15" s="198"/>
      <c r="I15" s="198"/>
      <c r="J15" s="198"/>
      <c r="K15" s="198"/>
      <c r="L15" s="198"/>
      <c r="M15" s="198"/>
      <c r="N15" s="198"/>
      <c r="O15" s="198"/>
      <c r="P15" s="198"/>
      <c r="Q15" s="198"/>
      <c r="R15" s="198"/>
      <c r="S15" s="198"/>
      <c r="T15" s="198"/>
      <c r="U15" s="198"/>
      <c r="V15" s="198"/>
      <c r="W15" s="198"/>
      <c r="X15" s="198"/>
      <c r="Y15" s="200">
        <f t="shared" ref="Y15:AA15" si="8">500-500</f>
        <v>0</v>
      </c>
      <c r="Z15" s="200">
        <f t="shared" si="8"/>
        <v>0</v>
      </c>
      <c r="AA15" s="200">
        <f t="shared" si="8"/>
        <v>0</v>
      </c>
      <c r="AB15" s="199">
        <f>500-500+20</f>
        <v>20</v>
      </c>
      <c r="AC15" s="200">
        <f t="shared" ref="AC15:AE15" si="9">500-500</f>
        <v>0</v>
      </c>
      <c r="AD15" s="200">
        <f t="shared" si="9"/>
        <v>0</v>
      </c>
      <c r="AE15" s="200">
        <f t="shared" si="9"/>
        <v>0</v>
      </c>
      <c r="AF15" s="198"/>
      <c r="AG15" s="198"/>
      <c r="AH15" s="198"/>
      <c r="AI15" s="198"/>
      <c r="AJ15" s="198"/>
      <c r="AK15" s="198"/>
      <c r="AL15" s="198"/>
      <c r="AM15" s="198"/>
      <c r="AN15" s="198"/>
      <c r="AO15" s="198"/>
      <c r="AP15" s="198"/>
      <c r="AQ15" s="198"/>
      <c r="AR15" s="198"/>
      <c r="AS15" s="198"/>
      <c r="AT15" s="198"/>
      <c r="AU15" s="198"/>
      <c r="AV15" s="198"/>
      <c r="AW15" s="198"/>
      <c r="AX15" s="198"/>
      <c r="AY15" s="198"/>
      <c r="AZ15" s="198"/>
      <c r="BA15" s="198"/>
      <c r="BB15" s="198"/>
      <c r="BC15" s="198"/>
      <c r="BD15" s="198"/>
      <c r="BE15" s="198"/>
      <c r="BF15" s="198"/>
      <c r="BG15" s="198"/>
      <c r="BH15" s="198"/>
      <c r="BI15" s="198"/>
      <c r="BJ15" s="198"/>
      <c r="BK15" s="198"/>
      <c r="BL15" s="198"/>
      <c r="BM15" s="198"/>
      <c r="BN15" s="198"/>
      <c r="BO15" s="198"/>
      <c r="BP15" s="198"/>
      <c r="BQ15" s="198"/>
      <c r="BR15" s="198"/>
      <c r="BS15" s="198"/>
      <c r="BT15" s="198"/>
      <c r="BU15" s="198"/>
      <c r="BV15" s="198"/>
      <c r="BW15" s="198"/>
      <c r="BX15" s="198"/>
      <c r="BY15" s="198"/>
      <c r="BZ15" s="198"/>
      <c r="CA15" s="198"/>
      <c r="CB15" s="198"/>
      <c r="CC15" s="198"/>
      <c r="CD15" s="198"/>
      <c r="CE15" s="198"/>
      <c r="CF15" s="198"/>
      <c r="CG15" s="198"/>
      <c r="CH15" s="198"/>
      <c r="CI15" s="198"/>
      <c r="CJ15" s="198"/>
      <c r="CK15" s="198"/>
      <c r="CL15" s="198"/>
      <c r="CM15" s="198"/>
      <c r="CN15" s="198"/>
      <c r="CO15" s="198"/>
      <c r="CP15" s="198"/>
      <c r="CQ15" s="198"/>
      <c r="CR15" s="198"/>
      <c r="CS15" s="198"/>
      <c r="CT15" s="198"/>
      <c r="CU15" s="198"/>
      <c r="CV15" s="198"/>
      <c r="CW15" s="198"/>
      <c r="CX15" s="198"/>
      <c r="CY15" s="198"/>
      <c r="CZ15" s="198"/>
      <c r="DA15" s="198"/>
      <c r="DB15" s="198"/>
      <c r="DC15" s="198"/>
      <c r="DD15" s="198"/>
      <c r="DE15" s="198"/>
      <c r="DF15" s="198"/>
      <c r="DG15" s="198"/>
      <c r="DH15" s="198"/>
      <c r="DI15" s="198"/>
      <c r="DJ15" s="198"/>
      <c r="DK15" s="198"/>
      <c r="DL15" s="198"/>
      <c r="DM15" s="198"/>
      <c r="DN15" s="198"/>
      <c r="DO15" s="198"/>
      <c r="DP15" s="198"/>
      <c r="DQ15" s="198"/>
      <c r="DR15" s="198"/>
      <c r="DS15" s="198"/>
      <c r="DT15" s="198"/>
      <c r="DU15" s="198"/>
      <c r="DV15" s="198"/>
      <c r="DW15" s="198"/>
      <c r="DX15" s="198"/>
      <c r="DY15" s="198"/>
      <c r="DZ15" s="198"/>
      <c r="EA15" s="198"/>
      <c r="EB15" s="198"/>
      <c r="EC15" s="198"/>
      <c r="ED15" s="198"/>
      <c r="EE15" s="198"/>
      <c r="EF15" s="198"/>
      <c r="EG15" s="198"/>
      <c r="EH15" s="198"/>
      <c r="EI15" s="198"/>
      <c r="EJ15" s="198"/>
      <c r="EK15" s="198"/>
      <c r="EL15" s="198"/>
      <c r="EM15" s="198"/>
      <c r="EN15" s="198"/>
      <c r="EO15" s="198"/>
      <c r="EP15" s="198"/>
      <c r="EQ15" s="198"/>
      <c r="ER15" s="198"/>
      <c r="ES15" s="198"/>
      <c r="ET15" s="198"/>
      <c r="EU15" s="198"/>
      <c r="EV15" s="198"/>
      <c r="EW15" s="198"/>
      <c r="EX15" s="198"/>
      <c r="EY15" s="198"/>
      <c r="EZ15" s="198"/>
      <c r="FA15" s="198"/>
      <c r="FB15" s="198"/>
      <c r="FC15" s="198"/>
      <c r="FD15" s="198"/>
      <c r="FE15" s="198"/>
      <c r="FF15" s="198"/>
      <c r="FG15" s="198"/>
      <c r="FH15" s="198"/>
      <c r="FI15" s="198"/>
      <c r="FJ15" s="198"/>
      <c r="FK15" s="198"/>
      <c r="FL15" s="198"/>
      <c r="FM15" s="198"/>
      <c r="FN15" s="198"/>
      <c r="FO15" s="198"/>
      <c r="FP15" s="201"/>
      <c r="FQ15" s="202" t="s">
        <v>756</v>
      </c>
      <c r="FR15" s="203" t="s">
        <v>389</v>
      </c>
      <c r="FS15" s="203" t="s">
        <v>400</v>
      </c>
      <c r="FT15" s="203" t="s">
        <v>397</v>
      </c>
      <c r="FU15" s="204">
        <f t="shared" si="0"/>
        <v>20</v>
      </c>
      <c r="FV15" s="205" t="s">
        <v>398</v>
      </c>
    </row>
    <row r="16" spans="1:178" s="174" customFormat="1" ht="11.4" hidden="1">
      <c r="A16" s="196" t="s">
        <v>393</v>
      </c>
      <c r="B16" s="196" t="s">
        <v>392</v>
      </c>
      <c r="C16" s="196" t="s">
        <v>394</v>
      </c>
      <c r="D16" s="196" t="s">
        <v>291</v>
      </c>
      <c r="E16" s="197" t="s">
        <v>401</v>
      </c>
      <c r="F16" s="196" t="s">
        <v>388</v>
      </c>
      <c r="G16" s="196"/>
      <c r="H16" s="198"/>
      <c r="I16" s="198"/>
      <c r="J16" s="198"/>
      <c r="K16" s="198"/>
      <c r="L16" s="198"/>
      <c r="M16" s="198"/>
      <c r="N16" s="198"/>
      <c r="O16" s="198"/>
      <c r="P16" s="198"/>
      <c r="Q16" s="200">
        <f>100-100</f>
        <v>0</v>
      </c>
      <c r="R16" s="198"/>
      <c r="S16" s="198"/>
      <c r="T16" s="200">
        <f>100-100</f>
        <v>0</v>
      </c>
      <c r="U16" s="198"/>
      <c r="V16" s="198"/>
      <c r="W16" s="198"/>
      <c r="X16" s="198"/>
      <c r="Y16" s="198"/>
      <c r="Z16" s="198"/>
      <c r="AA16" s="198"/>
      <c r="AB16" s="198"/>
      <c r="AC16" s="198"/>
      <c r="AD16" s="198"/>
      <c r="AE16" s="198"/>
      <c r="AF16" s="198"/>
      <c r="AG16" s="200">
        <f>100-100</f>
        <v>0</v>
      </c>
      <c r="AH16" s="206">
        <f>0+40</f>
        <v>40</v>
      </c>
      <c r="AI16" s="198"/>
      <c r="AJ16" s="198"/>
      <c r="AK16" s="198"/>
      <c r="AL16" s="198"/>
      <c r="AM16" s="198"/>
      <c r="AN16" s="198"/>
      <c r="AO16" s="198"/>
      <c r="AP16" s="198"/>
      <c r="AQ16" s="200">
        <f t="shared" ref="AQ16:AR16" si="10">100-100</f>
        <v>0</v>
      </c>
      <c r="AR16" s="200">
        <f t="shared" si="10"/>
        <v>0</v>
      </c>
      <c r="AS16" s="198"/>
      <c r="AT16" s="198"/>
      <c r="AU16" s="198"/>
      <c r="AV16" s="198"/>
      <c r="AW16" s="198"/>
      <c r="AX16" s="198"/>
      <c r="AY16" s="198"/>
      <c r="AZ16" s="198"/>
      <c r="BA16" s="198"/>
      <c r="BB16" s="198"/>
      <c r="BC16" s="198"/>
      <c r="BD16" s="198"/>
      <c r="BE16" s="198"/>
      <c r="BF16" s="198"/>
      <c r="BG16" s="200">
        <f>100-100</f>
        <v>0</v>
      </c>
      <c r="BH16" s="198"/>
      <c r="BI16" s="198"/>
      <c r="BJ16" s="198"/>
      <c r="BK16" s="198"/>
      <c r="BL16" s="198"/>
      <c r="BM16" s="198"/>
      <c r="BN16" s="198"/>
      <c r="BO16" s="198"/>
      <c r="BP16" s="198"/>
      <c r="BQ16" s="198"/>
      <c r="BR16" s="198"/>
      <c r="BS16" s="198"/>
      <c r="BT16" s="198"/>
      <c r="BU16" s="198"/>
      <c r="BV16" s="198"/>
      <c r="BW16" s="198"/>
      <c r="BX16" s="198"/>
      <c r="BY16" s="198"/>
      <c r="BZ16" s="198"/>
      <c r="CA16" s="198"/>
      <c r="CB16" s="198"/>
      <c r="CC16" s="198"/>
      <c r="CD16" s="198"/>
      <c r="CE16" s="198"/>
      <c r="CF16" s="198"/>
      <c r="CG16" s="198"/>
      <c r="CH16" s="198"/>
      <c r="CI16" s="198"/>
      <c r="CJ16" s="198"/>
      <c r="CK16" s="198"/>
      <c r="CL16" s="198"/>
      <c r="CM16" s="198"/>
      <c r="CN16" s="198"/>
      <c r="CO16" s="198"/>
      <c r="CP16" s="198"/>
      <c r="CQ16" s="198"/>
      <c r="CR16" s="198"/>
      <c r="CS16" s="198"/>
      <c r="CT16" s="198"/>
      <c r="CU16" s="198"/>
      <c r="CV16" s="198"/>
      <c r="CW16" s="198"/>
      <c r="CX16" s="198"/>
      <c r="CY16" s="198"/>
      <c r="CZ16" s="198"/>
      <c r="DA16" s="198"/>
      <c r="DB16" s="198"/>
      <c r="DC16" s="198"/>
      <c r="DD16" s="198"/>
      <c r="DE16" s="198"/>
      <c r="DF16" s="198"/>
      <c r="DG16" s="198"/>
      <c r="DH16" s="198"/>
      <c r="DI16" s="198"/>
      <c r="DJ16" s="198"/>
      <c r="DK16" s="198"/>
      <c r="DL16" s="198"/>
      <c r="DM16" s="198"/>
      <c r="DN16" s="198"/>
      <c r="DO16" s="198"/>
      <c r="DP16" s="198"/>
      <c r="DQ16" s="198"/>
      <c r="DR16" s="198"/>
      <c r="DS16" s="198"/>
      <c r="DT16" s="198"/>
      <c r="DU16" s="198"/>
      <c r="DV16" s="198"/>
      <c r="DW16" s="198"/>
      <c r="DX16" s="198"/>
      <c r="DY16" s="198"/>
      <c r="DZ16" s="198"/>
      <c r="EA16" s="198"/>
      <c r="EB16" s="198"/>
      <c r="EC16" s="198"/>
      <c r="ED16" s="198"/>
      <c r="EE16" s="198"/>
      <c r="EF16" s="198"/>
      <c r="EG16" s="198"/>
      <c r="EH16" s="198"/>
      <c r="EI16" s="198"/>
      <c r="EJ16" s="198"/>
      <c r="EK16" s="198"/>
      <c r="EL16" s="198"/>
      <c r="EM16" s="198"/>
      <c r="EN16" s="198"/>
      <c r="EO16" s="198"/>
      <c r="EP16" s="198"/>
      <c r="EQ16" s="198"/>
      <c r="ER16" s="198"/>
      <c r="ES16" s="198"/>
      <c r="ET16" s="198"/>
      <c r="EU16" s="198"/>
      <c r="EV16" s="198"/>
      <c r="EW16" s="198"/>
      <c r="EX16" s="198"/>
      <c r="EY16" s="198"/>
      <c r="EZ16" s="198"/>
      <c r="FA16" s="198"/>
      <c r="FB16" s="198"/>
      <c r="FC16" s="198"/>
      <c r="FD16" s="198"/>
      <c r="FE16" s="198"/>
      <c r="FF16" s="198"/>
      <c r="FG16" s="198"/>
      <c r="FH16" s="198"/>
      <c r="FI16" s="198"/>
      <c r="FJ16" s="198"/>
      <c r="FK16" s="198"/>
      <c r="FL16" s="198"/>
      <c r="FM16" s="198"/>
      <c r="FN16" s="198"/>
      <c r="FO16" s="198"/>
      <c r="FP16" s="201"/>
      <c r="FQ16" s="202" t="s">
        <v>756</v>
      </c>
      <c r="FR16" s="203" t="s">
        <v>389</v>
      </c>
      <c r="FS16" s="203"/>
      <c r="FT16" s="203" t="s">
        <v>402</v>
      </c>
      <c r="FU16" s="204">
        <f t="shared" si="0"/>
        <v>40</v>
      </c>
      <c r="FV16" s="205" t="s">
        <v>403</v>
      </c>
    </row>
    <row r="17" spans="1:178" s="174" customFormat="1" ht="11.4" hidden="1">
      <c r="A17" s="196" t="s">
        <v>393</v>
      </c>
      <c r="B17" s="196" t="s">
        <v>392</v>
      </c>
      <c r="C17" s="196" t="s">
        <v>394</v>
      </c>
      <c r="D17" s="196" t="s">
        <v>1</v>
      </c>
      <c r="E17" s="197" t="s">
        <v>401</v>
      </c>
      <c r="F17" s="196" t="s">
        <v>388</v>
      </c>
      <c r="G17" s="196"/>
      <c r="H17" s="198"/>
      <c r="I17" s="198"/>
      <c r="J17" s="198"/>
      <c r="K17" s="198"/>
      <c r="L17" s="198"/>
      <c r="M17" s="198"/>
      <c r="N17" s="198"/>
      <c r="O17" s="198"/>
      <c r="P17" s="198"/>
      <c r="Q17" s="198"/>
      <c r="R17" s="198"/>
      <c r="S17" s="200">
        <f>100-100</f>
        <v>0</v>
      </c>
      <c r="T17" s="198"/>
      <c r="U17" s="200">
        <f t="shared" ref="U17:V17" si="11">100-100</f>
        <v>0</v>
      </c>
      <c r="V17" s="200">
        <f t="shared" si="11"/>
        <v>0</v>
      </c>
      <c r="W17" s="198"/>
      <c r="X17" s="198"/>
      <c r="Y17" s="200">
        <f t="shared" ref="Y17:AF17" si="12">100-100</f>
        <v>0</v>
      </c>
      <c r="Z17" s="200">
        <f t="shared" si="12"/>
        <v>0</v>
      </c>
      <c r="AA17" s="200">
        <f t="shared" si="12"/>
        <v>0</v>
      </c>
      <c r="AB17" s="200">
        <f t="shared" si="12"/>
        <v>0</v>
      </c>
      <c r="AC17" s="200">
        <f t="shared" si="12"/>
        <v>0</v>
      </c>
      <c r="AD17" s="200">
        <f t="shared" si="12"/>
        <v>0</v>
      </c>
      <c r="AE17" s="200">
        <f t="shared" si="12"/>
        <v>0</v>
      </c>
      <c r="AF17" s="200">
        <f t="shared" si="12"/>
        <v>0</v>
      </c>
      <c r="AG17" s="198"/>
      <c r="AH17" s="200">
        <f>100-100</f>
        <v>0</v>
      </c>
      <c r="AI17" s="200">
        <f>100-100</f>
        <v>0</v>
      </c>
      <c r="AJ17" s="198"/>
      <c r="AK17" s="198"/>
      <c r="AL17" s="198"/>
      <c r="AM17" s="200">
        <f>100-100</f>
        <v>0</v>
      </c>
      <c r="AN17" s="198"/>
      <c r="AO17" s="198"/>
      <c r="AP17" s="198"/>
      <c r="AQ17" s="198"/>
      <c r="AR17" s="198"/>
      <c r="AS17" s="198"/>
      <c r="AT17" s="198"/>
      <c r="AU17" s="199">
        <f>100-100+30</f>
        <v>30</v>
      </c>
      <c r="AV17" s="198"/>
      <c r="AW17" s="198"/>
      <c r="AX17" s="198"/>
      <c r="AY17" s="198"/>
      <c r="AZ17" s="198"/>
      <c r="BA17" s="198"/>
      <c r="BB17" s="198"/>
      <c r="BC17" s="200">
        <f>100-100</f>
        <v>0</v>
      </c>
      <c r="BD17" s="198"/>
      <c r="BE17" s="198"/>
      <c r="BF17" s="198"/>
      <c r="BG17" s="206">
        <f>0+30</f>
        <v>30</v>
      </c>
      <c r="BH17" s="200">
        <f t="shared" ref="BH17:BI17" si="13">100-100</f>
        <v>0</v>
      </c>
      <c r="BI17" s="200">
        <f t="shared" si="13"/>
        <v>0</v>
      </c>
      <c r="BJ17" s="198"/>
      <c r="BK17" s="198"/>
      <c r="BL17" s="198"/>
      <c r="BM17" s="198"/>
      <c r="BN17" s="198"/>
      <c r="BO17" s="198"/>
      <c r="BP17" s="198"/>
      <c r="BQ17" s="198"/>
      <c r="BR17" s="198"/>
      <c r="BS17" s="198"/>
      <c r="BT17" s="198"/>
      <c r="BU17" s="198"/>
      <c r="BV17" s="198"/>
      <c r="BW17" s="198"/>
      <c r="BX17" s="198"/>
      <c r="BY17" s="198"/>
      <c r="BZ17" s="198"/>
      <c r="CA17" s="198"/>
      <c r="CB17" s="198"/>
      <c r="CC17" s="198"/>
      <c r="CD17" s="198"/>
      <c r="CE17" s="198"/>
      <c r="CF17" s="198"/>
      <c r="CG17" s="198"/>
      <c r="CH17" s="198"/>
      <c r="CI17" s="198"/>
      <c r="CJ17" s="198"/>
      <c r="CK17" s="198"/>
      <c r="CL17" s="198"/>
      <c r="CM17" s="198"/>
      <c r="CN17" s="198"/>
      <c r="CO17" s="198"/>
      <c r="CP17" s="198"/>
      <c r="CQ17" s="198"/>
      <c r="CR17" s="198"/>
      <c r="CS17" s="198"/>
      <c r="CT17" s="198"/>
      <c r="CU17" s="198"/>
      <c r="CV17" s="198"/>
      <c r="CW17" s="198"/>
      <c r="CX17" s="198"/>
      <c r="CY17" s="198"/>
      <c r="CZ17" s="198"/>
      <c r="DA17" s="198"/>
      <c r="DB17" s="198"/>
      <c r="DC17" s="198"/>
      <c r="DD17" s="198"/>
      <c r="DE17" s="198"/>
      <c r="DF17" s="198"/>
      <c r="DG17" s="198"/>
      <c r="DH17" s="198"/>
      <c r="DI17" s="198"/>
      <c r="DJ17" s="198"/>
      <c r="DK17" s="198"/>
      <c r="DL17" s="198"/>
      <c r="DM17" s="198"/>
      <c r="DN17" s="198"/>
      <c r="DO17" s="198"/>
      <c r="DP17" s="198"/>
      <c r="DQ17" s="198"/>
      <c r="DR17" s="198"/>
      <c r="DS17" s="198"/>
      <c r="DT17" s="198"/>
      <c r="DU17" s="198"/>
      <c r="DV17" s="198"/>
      <c r="DW17" s="198"/>
      <c r="DX17" s="198"/>
      <c r="DY17" s="198"/>
      <c r="DZ17" s="198"/>
      <c r="EA17" s="198"/>
      <c r="EB17" s="198"/>
      <c r="EC17" s="198"/>
      <c r="ED17" s="198"/>
      <c r="EE17" s="200">
        <f t="shared" ref="EE17:EN17" si="14">50-50</f>
        <v>0</v>
      </c>
      <c r="EF17" s="200">
        <f t="shared" si="14"/>
        <v>0</v>
      </c>
      <c r="EG17" s="200">
        <f t="shared" si="14"/>
        <v>0</v>
      </c>
      <c r="EH17" s="200">
        <f t="shared" si="14"/>
        <v>0</v>
      </c>
      <c r="EI17" s="200">
        <f t="shared" si="14"/>
        <v>0</v>
      </c>
      <c r="EJ17" s="200">
        <f t="shared" si="14"/>
        <v>0</v>
      </c>
      <c r="EK17" s="200">
        <f t="shared" si="14"/>
        <v>0</v>
      </c>
      <c r="EL17" s="200">
        <f t="shared" si="14"/>
        <v>0</v>
      </c>
      <c r="EM17" s="200">
        <f t="shared" si="14"/>
        <v>0</v>
      </c>
      <c r="EN17" s="200">
        <f t="shared" si="14"/>
        <v>0</v>
      </c>
      <c r="EO17" s="198"/>
      <c r="EP17" s="200">
        <f t="shared" ref="EP17:ES17" si="15">50-50</f>
        <v>0</v>
      </c>
      <c r="EQ17" s="200">
        <f t="shared" si="15"/>
        <v>0</v>
      </c>
      <c r="ER17" s="200">
        <f t="shared" si="15"/>
        <v>0</v>
      </c>
      <c r="ES17" s="200">
        <f t="shared" si="15"/>
        <v>0</v>
      </c>
      <c r="ET17" s="198"/>
      <c r="EU17" s="198"/>
      <c r="EV17" s="198"/>
      <c r="EW17" s="198"/>
      <c r="EX17" s="198"/>
      <c r="EY17" s="198"/>
      <c r="EZ17" s="200">
        <f>50-50</f>
        <v>0</v>
      </c>
      <c r="FA17" s="198"/>
      <c r="FB17" s="200">
        <f t="shared" ref="FB17:FD17" si="16">50-50</f>
        <v>0</v>
      </c>
      <c r="FC17" s="200">
        <f t="shared" si="16"/>
        <v>0</v>
      </c>
      <c r="FD17" s="200">
        <f t="shared" si="16"/>
        <v>0</v>
      </c>
      <c r="FE17" s="198"/>
      <c r="FF17" s="200">
        <f>50-50</f>
        <v>0</v>
      </c>
      <c r="FG17" s="198"/>
      <c r="FH17" s="198"/>
      <c r="FI17" s="198"/>
      <c r="FJ17" s="200">
        <f>50-50</f>
        <v>0</v>
      </c>
      <c r="FK17" s="198"/>
      <c r="FL17" s="198"/>
      <c r="FM17" s="198"/>
      <c r="FN17" s="198"/>
      <c r="FO17" s="198"/>
      <c r="FP17" s="201"/>
      <c r="FQ17" s="202" t="s">
        <v>756</v>
      </c>
      <c r="FR17" s="203" t="s">
        <v>389</v>
      </c>
      <c r="FS17" s="203"/>
      <c r="FT17" s="203" t="s">
        <v>402</v>
      </c>
      <c r="FU17" s="204">
        <f t="shared" si="0"/>
        <v>60</v>
      </c>
      <c r="FV17" s="205" t="s">
        <v>403</v>
      </c>
    </row>
    <row r="18" spans="1:178" s="174" customFormat="1" ht="11.4" hidden="1">
      <c r="A18" s="196" t="s">
        <v>393</v>
      </c>
      <c r="B18" s="196" t="s">
        <v>392</v>
      </c>
      <c r="C18" s="196" t="s">
        <v>394</v>
      </c>
      <c r="D18" s="196" t="s">
        <v>293</v>
      </c>
      <c r="E18" s="197" t="s">
        <v>401</v>
      </c>
      <c r="F18" s="196" t="s">
        <v>388</v>
      </c>
      <c r="G18" s="196"/>
      <c r="H18" s="198"/>
      <c r="I18" s="198"/>
      <c r="J18" s="198"/>
      <c r="K18" s="198"/>
      <c r="L18" s="198"/>
      <c r="M18" s="198"/>
      <c r="N18" s="198"/>
      <c r="O18" s="198"/>
      <c r="P18" s="198"/>
      <c r="Q18" s="198"/>
      <c r="R18" s="198"/>
      <c r="S18" s="198"/>
      <c r="T18" s="198"/>
      <c r="U18" s="198"/>
      <c r="V18" s="198"/>
      <c r="W18" s="198"/>
      <c r="X18" s="198"/>
      <c r="Y18" s="198"/>
      <c r="Z18" s="198"/>
      <c r="AA18" s="198"/>
      <c r="AB18" s="198"/>
      <c r="AC18" s="198"/>
      <c r="AD18" s="198"/>
      <c r="AE18" s="198"/>
      <c r="AF18" s="198"/>
      <c r="AG18" s="198"/>
      <c r="AH18" s="198"/>
      <c r="AI18" s="198"/>
      <c r="AJ18" s="198"/>
      <c r="AK18" s="198"/>
      <c r="AL18" s="198"/>
      <c r="AM18" s="198"/>
      <c r="AN18" s="198"/>
      <c r="AO18" s="198"/>
      <c r="AP18" s="198"/>
      <c r="AQ18" s="198"/>
      <c r="AR18" s="198"/>
      <c r="AS18" s="198"/>
      <c r="AT18" s="198"/>
      <c r="AU18" s="198"/>
      <c r="AV18" s="198"/>
      <c r="AW18" s="198"/>
      <c r="AX18" s="198"/>
      <c r="AY18" s="198"/>
      <c r="AZ18" s="198"/>
      <c r="BA18" s="198"/>
      <c r="BB18" s="198"/>
      <c r="BC18" s="198"/>
      <c r="BD18" s="198"/>
      <c r="BE18" s="198"/>
      <c r="BF18" s="198"/>
      <c r="BG18" s="198"/>
      <c r="BH18" s="198"/>
      <c r="BI18" s="198"/>
      <c r="BJ18" s="198"/>
      <c r="BK18" s="198"/>
      <c r="BL18" s="198"/>
      <c r="BM18" s="198"/>
      <c r="BN18" s="198"/>
      <c r="BO18" s="198"/>
      <c r="BP18" s="198"/>
      <c r="BQ18" s="198"/>
      <c r="BR18" s="198"/>
      <c r="BS18" s="198"/>
      <c r="BT18" s="198"/>
      <c r="BU18" s="198"/>
      <c r="BV18" s="198"/>
      <c r="BW18" s="198"/>
      <c r="BX18" s="198"/>
      <c r="BY18" s="198"/>
      <c r="BZ18" s="198"/>
      <c r="CA18" s="198"/>
      <c r="CB18" s="198"/>
      <c r="CC18" s="198"/>
      <c r="CD18" s="198"/>
      <c r="CE18" s="198"/>
      <c r="CF18" s="198"/>
      <c r="CG18" s="198"/>
      <c r="CH18" s="198"/>
      <c r="CI18" s="198"/>
      <c r="CJ18" s="198"/>
      <c r="CK18" s="198"/>
      <c r="CL18" s="198"/>
      <c r="CM18" s="198"/>
      <c r="CN18" s="198"/>
      <c r="CO18" s="198"/>
      <c r="CP18" s="198"/>
      <c r="CQ18" s="198"/>
      <c r="CR18" s="198"/>
      <c r="CS18" s="198"/>
      <c r="CT18" s="198"/>
      <c r="CU18" s="198"/>
      <c r="CV18" s="198"/>
      <c r="CW18" s="198"/>
      <c r="CX18" s="198"/>
      <c r="CY18" s="198"/>
      <c r="CZ18" s="198"/>
      <c r="DA18" s="198"/>
      <c r="DB18" s="198"/>
      <c r="DC18" s="198"/>
      <c r="DD18" s="198"/>
      <c r="DE18" s="198"/>
      <c r="DF18" s="198"/>
      <c r="DG18" s="198"/>
      <c r="DH18" s="198"/>
      <c r="DI18" s="198"/>
      <c r="DJ18" s="198"/>
      <c r="DK18" s="198"/>
      <c r="DL18" s="198"/>
      <c r="DM18" s="198"/>
      <c r="DN18" s="198"/>
      <c r="DO18" s="198"/>
      <c r="DP18" s="198"/>
      <c r="DQ18" s="198"/>
      <c r="DR18" s="198"/>
      <c r="DS18" s="198"/>
      <c r="DT18" s="198"/>
      <c r="DU18" s="198"/>
      <c r="DV18" s="198"/>
      <c r="DW18" s="198"/>
      <c r="DX18" s="198"/>
      <c r="DY18" s="198"/>
      <c r="DZ18" s="198"/>
      <c r="EA18" s="198"/>
      <c r="EB18" s="198"/>
      <c r="EC18" s="198"/>
      <c r="ED18" s="198"/>
      <c r="EE18" s="198"/>
      <c r="EF18" s="198"/>
      <c r="EG18" s="198"/>
      <c r="EH18" s="198"/>
      <c r="EI18" s="198"/>
      <c r="EJ18" s="198"/>
      <c r="EK18" s="198"/>
      <c r="EL18" s="198"/>
      <c r="EM18" s="198"/>
      <c r="EN18" s="198"/>
      <c r="EO18" s="198"/>
      <c r="EP18" s="198"/>
      <c r="EQ18" s="198"/>
      <c r="ER18" s="198"/>
      <c r="ES18" s="198"/>
      <c r="ET18" s="198"/>
      <c r="EU18" s="198"/>
      <c r="EV18" s="198"/>
      <c r="EW18" s="198"/>
      <c r="EX18" s="198"/>
      <c r="EY18" s="198"/>
      <c r="EZ18" s="198"/>
      <c r="FA18" s="200">
        <f>50-50</f>
        <v>0</v>
      </c>
      <c r="FB18" s="198"/>
      <c r="FC18" s="198"/>
      <c r="FD18" s="198"/>
      <c r="FE18" s="200">
        <f>50-50</f>
        <v>0</v>
      </c>
      <c r="FF18" s="198"/>
      <c r="FG18" s="198"/>
      <c r="FH18" s="198"/>
      <c r="FI18" s="200">
        <f>50-50</f>
        <v>0</v>
      </c>
      <c r="FJ18" s="198"/>
      <c r="FK18" s="198"/>
      <c r="FL18" s="198"/>
      <c r="FM18" s="198"/>
      <c r="FN18" s="198"/>
      <c r="FO18" s="198"/>
      <c r="FP18" s="201"/>
      <c r="FQ18" s="202" t="s">
        <v>756</v>
      </c>
      <c r="FR18" s="203" t="s">
        <v>389</v>
      </c>
      <c r="FS18" s="203"/>
      <c r="FT18" s="203" t="s">
        <v>402</v>
      </c>
      <c r="FU18" s="204">
        <f t="shared" si="0"/>
        <v>0</v>
      </c>
      <c r="FV18" s="205" t="s">
        <v>403</v>
      </c>
    </row>
    <row r="19" spans="1:178" s="174" customFormat="1" ht="11.4" hidden="1">
      <c r="A19" s="196" t="s">
        <v>385</v>
      </c>
      <c r="B19" s="196" t="s">
        <v>385</v>
      </c>
      <c r="C19" s="196" t="s">
        <v>394</v>
      </c>
      <c r="D19" s="196" t="s">
        <v>291</v>
      </c>
      <c r="E19" s="197" t="s">
        <v>404</v>
      </c>
      <c r="F19" s="196" t="s">
        <v>388</v>
      </c>
      <c r="G19" s="196"/>
      <c r="H19" s="198"/>
      <c r="I19" s="198"/>
      <c r="J19" s="198"/>
      <c r="K19" s="198"/>
      <c r="L19" s="198"/>
      <c r="M19" s="198"/>
      <c r="N19" s="198"/>
      <c r="O19" s="198"/>
      <c r="P19" s="198"/>
      <c r="Q19" s="200">
        <f>100-100</f>
        <v>0</v>
      </c>
      <c r="R19" s="198"/>
      <c r="S19" s="198"/>
      <c r="T19" s="200">
        <f>100-100</f>
        <v>0</v>
      </c>
      <c r="U19" s="198"/>
      <c r="V19" s="198"/>
      <c r="W19" s="198"/>
      <c r="X19" s="198"/>
      <c r="Y19" s="198"/>
      <c r="Z19" s="198"/>
      <c r="AA19" s="198"/>
      <c r="AB19" s="198"/>
      <c r="AC19" s="198"/>
      <c r="AD19" s="198"/>
      <c r="AE19" s="198"/>
      <c r="AF19" s="198"/>
      <c r="AG19" s="200">
        <f>100-100</f>
        <v>0</v>
      </c>
      <c r="AH19" s="206">
        <f>0+40</f>
        <v>40</v>
      </c>
      <c r="AI19" s="198"/>
      <c r="AJ19" s="198"/>
      <c r="AK19" s="198"/>
      <c r="AL19" s="198"/>
      <c r="AM19" s="198"/>
      <c r="AN19" s="198"/>
      <c r="AO19" s="198"/>
      <c r="AP19" s="198"/>
      <c r="AQ19" s="200">
        <f t="shared" ref="AQ19:AR19" si="17">100-100</f>
        <v>0</v>
      </c>
      <c r="AR19" s="200">
        <f t="shared" si="17"/>
        <v>0</v>
      </c>
      <c r="AS19" s="198"/>
      <c r="AT19" s="198"/>
      <c r="AU19" s="198"/>
      <c r="AV19" s="198"/>
      <c r="AW19" s="198"/>
      <c r="AX19" s="198"/>
      <c r="AY19" s="198"/>
      <c r="AZ19" s="198"/>
      <c r="BA19" s="198"/>
      <c r="BB19" s="198"/>
      <c r="BC19" s="206">
        <f>0+10</f>
        <v>10</v>
      </c>
      <c r="BD19" s="198"/>
      <c r="BE19" s="198"/>
      <c r="BF19" s="198"/>
      <c r="BG19" s="200">
        <f>100-100</f>
        <v>0</v>
      </c>
      <c r="BH19" s="198"/>
      <c r="BI19" s="198"/>
      <c r="BJ19" s="198"/>
      <c r="BK19" s="198"/>
      <c r="BL19" s="198"/>
      <c r="BM19" s="198"/>
      <c r="BN19" s="198"/>
      <c r="BO19" s="198"/>
      <c r="BP19" s="198"/>
      <c r="BQ19" s="198"/>
      <c r="BR19" s="198"/>
      <c r="BS19" s="198"/>
      <c r="BT19" s="198"/>
      <c r="BU19" s="198"/>
      <c r="BV19" s="198"/>
      <c r="BW19" s="198"/>
      <c r="BX19" s="198"/>
      <c r="BY19" s="198"/>
      <c r="BZ19" s="198"/>
      <c r="CA19" s="198"/>
      <c r="CB19" s="198"/>
      <c r="CC19" s="198"/>
      <c r="CD19" s="198"/>
      <c r="CE19" s="198"/>
      <c r="CF19" s="198"/>
      <c r="CG19" s="198"/>
      <c r="CH19" s="198"/>
      <c r="CI19" s="198"/>
      <c r="CJ19" s="198"/>
      <c r="CK19" s="198"/>
      <c r="CL19" s="198"/>
      <c r="CM19" s="198"/>
      <c r="CN19" s="198"/>
      <c r="CO19" s="198"/>
      <c r="CP19" s="198"/>
      <c r="CQ19" s="198"/>
      <c r="CR19" s="198"/>
      <c r="CS19" s="198"/>
      <c r="CT19" s="198"/>
      <c r="CU19" s="198"/>
      <c r="CV19" s="198"/>
      <c r="CW19" s="198"/>
      <c r="CX19" s="198"/>
      <c r="CY19" s="198"/>
      <c r="CZ19" s="198"/>
      <c r="DA19" s="198"/>
      <c r="DB19" s="198"/>
      <c r="DC19" s="198"/>
      <c r="DD19" s="198"/>
      <c r="DE19" s="198"/>
      <c r="DF19" s="198"/>
      <c r="DG19" s="198"/>
      <c r="DH19" s="198"/>
      <c r="DI19" s="198"/>
      <c r="DJ19" s="198"/>
      <c r="DK19" s="198"/>
      <c r="DL19" s="198"/>
      <c r="DM19" s="198"/>
      <c r="DN19" s="198"/>
      <c r="DO19" s="198"/>
      <c r="DP19" s="198"/>
      <c r="DQ19" s="198"/>
      <c r="DR19" s="198"/>
      <c r="DS19" s="198"/>
      <c r="DT19" s="198"/>
      <c r="DU19" s="198"/>
      <c r="DV19" s="198"/>
      <c r="DW19" s="198"/>
      <c r="DX19" s="198"/>
      <c r="DY19" s="198"/>
      <c r="DZ19" s="198"/>
      <c r="EA19" s="198"/>
      <c r="EB19" s="198"/>
      <c r="EC19" s="198"/>
      <c r="ED19" s="198"/>
      <c r="EE19" s="198"/>
      <c r="EF19" s="198"/>
      <c r="EG19" s="198"/>
      <c r="EH19" s="198"/>
      <c r="EI19" s="198"/>
      <c r="EJ19" s="198"/>
      <c r="EK19" s="198"/>
      <c r="EL19" s="198"/>
      <c r="EM19" s="198"/>
      <c r="EN19" s="198"/>
      <c r="EO19" s="198"/>
      <c r="EP19" s="198"/>
      <c r="EQ19" s="198"/>
      <c r="ER19" s="198"/>
      <c r="ES19" s="198"/>
      <c r="ET19" s="198"/>
      <c r="EU19" s="198"/>
      <c r="EV19" s="198"/>
      <c r="EW19" s="198"/>
      <c r="EX19" s="198"/>
      <c r="EY19" s="198"/>
      <c r="EZ19" s="198"/>
      <c r="FA19" s="198"/>
      <c r="FB19" s="198"/>
      <c r="FC19" s="198"/>
      <c r="FD19" s="198"/>
      <c r="FE19" s="198"/>
      <c r="FF19" s="198"/>
      <c r="FG19" s="198"/>
      <c r="FH19" s="198"/>
      <c r="FI19" s="198"/>
      <c r="FJ19" s="198"/>
      <c r="FK19" s="198"/>
      <c r="FL19" s="198"/>
      <c r="FM19" s="198"/>
      <c r="FN19" s="198"/>
      <c r="FO19" s="198"/>
      <c r="FP19" s="201"/>
      <c r="FQ19" s="202" t="s">
        <v>756</v>
      </c>
      <c r="FR19" s="203" t="s">
        <v>389</v>
      </c>
      <c r="FS19" s="203"/>
      <c r="FT19" s="203" t="s">
        <v>402</v>
      </c>
      <c r="FU19" s="204">
        <f t="shared" si="0"/>
        <v>50</v>
      </c>
      <c r="FV19" s="205" t="s">
        <v>403</v>
      </c>
    </row>
    <row r="20" spans="1:178" s="174" customFormat="1" ht="11.4" hidden="1">
      <c r="A20" s="196" t="s">
        <v>385</v>
      </c>
      <c r="B20" s="196" t="s">
        <v>385</v>
      </c>
      <c r="C20" s="196" t="s">
        <v>394</v>
      </c>
      <c r="D20" s="196" t="s">
        <v>1</v>
      </c>
      <c r="E20" s="197" t="s">
        <v>404</v>
      </c>
      <c r="F20" s="196" t="s">
        <v>388</v>
      </c>
      <c r="G20" s="196"/>
      <c r="H20" s="198"/>
      <c r="I20" s="198"/>
      <c r="J20" s="198"/>
      <c r="K20" s="198"/>
      <c r="L20" s="198"/>
      <c r="M20" s="198"/>
      <c r="N20" s="198"/>
      <c r="O20" s="198"/>
      <c r="P20" s="198"/>
      <c r="Q20" s="198"/>
      <c r="R20" s="198"/>
      <c r="S20" s="200">
        <f>100-100</f>
        <v>0</v>
      </c>
      <c r="T20" s="198"/>
      <c r="U20" s="200">
        <f t="shared" ref="U20:V20" si="18">100-100</f>
        <v>0</v>
      </c>
      <c r="V20" s="200">
        <f t="shared" si="18"/>
        <v>0</v>
      </c>
      <c r="W20" s="198"/>
      <c r="X20" s="198"/>
      <c r="Y20" s="200">
        <f t="shared" ref="Y20:AF20" si="19">100-100</f>
        <v>0</v>
      </c>
      <c r="Z20" s="200">
        <f t="shared" si="19"/>
        <v>0</v>
      </c>
      <c r="AA20" s="200">
        <f t="shared" si="19"/>
        <v>0</v>
      </c>
      <c r="AB20" s="200">
        <f t="shared" si="19"/>
        <v>0</v>
      </c>
      <c r="AC20" s="200">
        <f t="shared" si="19"/>
        <v>0</v>
      </c>
      <c r="AD20" s="200">
        <f t="shared" si="19"/>
        <v>0</v>
      </c>
      <c r="AE20" s="200">
        <f t="shared" si="19"/>
        <v>0</v>
      </c>
      <c r="AF20" s="200">
        <f t="shared" si="19"/>
        <v>0</v>
      </c>
      <c r="AG20" s="198"/>
      <c r="AH20" s="200">
        <f>100-100</f>
        <v>0</v>
      </c>
      <c r="AI20" s="200">
        <f>100-100</f>
        <v>0</v>
      </c>
      <c r="AJ20" s="198"/>
      <c r="AK20" s="198"/>
      <c r="AL20" s="198"/>
      <c r="AM20" s="200">
        <f>100-100</f>
        <v>0</v>
      </c>
      <c r="AN20" s="198"/>
      <c r="AO20" s="198"/>
      <c r="AP20" s="198"/>
      <c r="AQ20" s="198"/>
      <c r="AR20" s="198"/>
      <c r="AS20" s="198"/>
      <c r="AT20" s="198"/>
      <c r="AU20" s="199">
        <f>100-100+30</f>
        <v>30</v>
      </c>
      <c r="AV20" s="198"/>
      <c r="AW20" s="198"/>
      <c r="AX20" s="198"/>
      <c r="AY20" s="198"/>
      <c r="AZ20" s="198"/>
      <c r="BA20" s="198"/>
      <c r="BB20" s="198"/>
      <c r="BC20" s="200">
        <f>100-100</f>
        <v>0</v>
      </c>
      <c r="BD20" s="198"/>
      <c r="BE20" s="198"/>
      <c r="BF20" s="198"/>
      <c r="BG20" s="206">
        <f>0+20</f>
        <v>20</v>
      </c>
      <c r="BH20" s="200">
        <f t="shared" ref="BH20:BI20" si="20">100-100</f>
        <v>0</v>
      </c>
      <c r="BI20" s="200">
        <f t="shared" si="20"/>
        <v>0</v>
      </c>
      <c r="BJ20" s="198"/>
      <c r="BK20" s="198"/>
      <c r="BL20" s="198"/>
      <c r="BM20" s="198"/>
      <c r="BN20" s="198"/>
      <c r="BO20" s="198"/>
      <c r="BP20" s="198"/>
      <c r="BQ20" s="198"/>
      <c r="BR20" s="198"/>
      <c r="BS20" s="198"/>
      <c r="BT20" s="198"/>
      <c r="BU20" s="198"/>
      <c r="BV20" s="198"/>
      <c r="BW20" s="198"/>
      <c r="BX20" s="198"/>
      <c r="BY20" s="198"/>
      <c r="BZ20" s="198"/>
      <c r="CA20" s="198"/>
      <c r="CB20" s="198"/>
      <c r="CC20" s="198"/>
      <c r="CD20" s="198"/>
      <c r="CE20" s="198"/>
      <c r="CF20" s="198"/>
      <c r="CG20" s="198"/>
      <c r="CH20" s="198"/>
      <c r="CI20" s="198"/>
      <c r="CJ20" s="198"/>
      <c r="CK20" s="198"/>
      <c r="CL20" s="198"/>
      <c r="CM20" s="198"/>
      <c r="CN20" s="198"/>
      <c r="CO20" s="198"/>
      <c r="CP20" s="198"/>
      <c r="CQ20" s="198"/>
      <c r="CR20" s="198"/>
      <c r="CS20" s="198"/>
      <c r="CT20" s="198"/>
      <c r="CU20" s="198"/>
      <c r="CV20" s="198"/>
      <c r="CW20" s="198"/>
      <c r="CX20" s="198"/>
      <c r="CY20" s="198"/>
      <c r="CZ20" s="198"/>
      <c r="DA20" s="198"/>
      <c r="DB20" s="198"/>
      <c r="DC20" s="198"/>
      <c r="DD20" s="198"/>
      <c r="DE20" s="198"/>
      <c r="DF20" s="198"/>
      <c r="DG20" s="198"/>
      <c r="DH20" s="198"/>
      <c r="DI20" s="198"/>
      <c r="DJ20" s="198"/>
      <c r="DK20" s="198"/>
      <c r="DL20" s="198"/>
      <c r="DM20" s="198"/>
      <c r="DN20" s="198"/>
      <c r="DO20" s="198"/>
      <c r="DP20" s="198"/>
      <c r="DQ20" s="198"/>
      <c r="DR20" s="198"/>
      <c r="DS20" s="198"/>
      <c r="DT20" s="198"/>
      <c r="DU20" s="198"/>
      <c r="DV20" s="198"/>
      <c r="DW20" s="198"/>
      <c r="DX20" s="198"/>
      <c r="DY20" s="198"/>
      <c r="DZ20" s="198"/>
      <c r="EA20" s="198"/>
      <c r="EB20" s="198"/>
      <c r="EC20" s="198"/>
      <c r="ED20" s="198"/>
      <c r="EE20" s="200">
        <f t="shared" ref="EE20:EN20" si="21">50-50</f>
        <v>0</v>
      </c>
      <c r="EF20" s="200">
        <f t="shared" si="21"/>
        <v>0</v>
      </c>
      <c r="EG20" s="200">
        <f t="shared" si="21"/>
        <v>0</v>
      </c>
      <c r="EH20" s="200">
        <f t="shared" si="21"/>
        <v>0</v>
      </c>
      <c r="EI20" s="200">
        <f t="shared" si="21"/>
        <v>0</v>
      </c>
      <c r="EJ20" s="200">
        <f t="shared" si="21"/>
        <v>0</v>
      </c>
      <c r="EK20" s="200">
        <f t="shared" si="21"/>
        <v>0</v>
      </c>
      <c r="EL20" s="200">
        <f t="shared" si="21"/>
        <v>0</v>
      </c>
      <c r="EM20" s="200">
        <f t="shared" si="21"/>
        <v>0</v>
      </c>
      <c r="EN20" s="200">
        <f t="shared" si="21"/>
        <v>0</v>
      </c>
      <c r="EO20" s="198"/>
      <c r="EP20" s="200">
        <f t="shared" ref="EP20:ES20" si="22">50-50</f>
        <v>0</v>
      </c>
      <c r="EQ20" s="200">
        <f t="shared" si="22"/>
        <v>0</v>
      </c>
      <c r="ER20" s="200">
        <f t="shared" si="22"/>
        <v>0</v>
      </c>
      <c r="ES20" s="200">
        <f t="shared" si="22"/>
        <v>0</v>
      </c>
      <c r="ET20" s="198"/>
      <c r="EU20" s="198"/>
      <c r="EV20" s="198"/>
      <c r="EW20" s="198"/>
      <c r="EX20" s="198"/>
      <c r="EY20" s="198"/>
      <c r="EZ20" s="200">
        <f>50-50</f>
        <v>0</v>
      </c>
      <c r="FA20" s="198"/>
      <c r="FB20" s="200">
        <f t="shared" ref="FB20:FD20" si="23">50-50</f>
        <v>0</v>
      </c>
      <c r="FC20" s="200">
        <f t="shared" si="23"/>
        <v>0</v>
      </c>
      <c r="FD20" s="200">
        <f t="shared" si="23"/>
        <v>0</v>
      </c>
      <c r="FE20" s="198"/>
      <c r="FF20" s="200">
        <f>50-50</f>
        <v>0</v>
      </c>
      <c r="FG20" s="198"/>
      <c r="FH20" s="198"/>
      <c r="FI20" s="198"/>
      <c r="FJ20" s="200">
        <f>50-50</f>
        <v>0</v>
      </c>
      <c r="FK20" s="198"/>
      <c r="FL20" s="198"/>
      <c r="FM20" s="198"/>
      <c r="FN20" s="198"/>
      <c r="FO20" s="198"/>
      <c r="FP20" s="201"/>
      <c r="FQ20" s="202" t="s">
        <v>756</v>
      </c>
      <c r="FR20" s="203" t="s">
        <v>389</v>
      </c>
      <c r="FS20" s="203"/>
      <c r="FT20" s="203" t="s">
        <v>402</v>
      </c>
      <c r="FU20" s="204">
        <f t="shared" si="0"/>
        <v>50</v>
      </c>
      <c r="FV20" s="205" t="s">
        <v>403</v>
      </c>
    </row>
    <row r="21" spans="1:178" s="174" customFormat="1" ht="11.4" hidden="1">
      <c r="A21" s="196" t="s">
        <v>385</v>
      </c>
      <c r="B21" s="196" t="s">
        <v>385</v>
      </c>
      <c r="C21" s="196" t="s">
        <v>394</v>
      </c>
      <c r="D21" s="196" t="s">
        <v>293</v>
      </c>
      <c r="E21" s="197" t="s">
        <v>404</v>
      </c>
      <c r="F21" s="196" t="s">
        <v>388</v>
      </c>
      <c r="G21" s="196"/>
      <c r="H21" s="198"/>
      <c r="I21" s="198"/>
      <c r="J21" s="198"/>
      <c r="K21" s="198"/>
      <c r="L21" s="198"/>
      <c r="M21" s="198"/>
      <c r="N21" s="198"/>
      <c r="O21" s="198"/>
      <c r="P21" s="198"/>
      <c r="Q21" s="198"/>
      <c r="R21" s="198"/>
      <c r="S21" s="198"/>
      <c r="T21" s="198"/>
      <c r="U21" s="198"/>
      <c r="V21" s="198"/>
      <c r="W21" s="198"/>
      <c r="X21" s="198"/>
      <c r="Y21" s="198"/>
      <c r="Z21" s="198"/>
      <c r="AA21" s="198"/>
      <c r="AB21" s="198"/>
      <c r="AC21" s="198"/>
      <c r="AD21" s="198"/>
      <c r="AE21" s="198"/>
      <c r="AF21" s="198"/>
      <c r="AG21" s="198"/>
      <c r="AH21" s="198"/>
      <c r="AI21" s="198"/>
      <c r="AJ21" s="198"/>
      <c r="AK21" s="198"/>
      <c r="AL21" s="198"/>
      <c r="AM21" s="198"/>
      <c r="AN21" s="198"/>
      <c r="AO21" s="198"/>
      <c r="AP21" s="198"/>
      <c r="AQ21" s="198"/>
      <c r="AR21" s="198"/>
      <c r="AS21" s="198"/>
      <c r="AT21" s="198"/>
      <c r="AU21" s="198"/>
      <c r="AV21" s="198"/>
      <c r="AW21" s="198"/>
      <c r="AX21" s="198"/>
      <c r="AY21" s="198"/>
      <c r="AZ21" s="198"/>
      <c r="BA21" s="198"/>
      <c r="BB21" s="198"/>
      <c r="BC21" s="198"/>
      <c r="BD21" s="198"/>
      <c r="BE21" s="198"/>
      <c r="BF21" s="198"/>
      <c r="BG21" s="198"/>
      <c r="BH21" s="198"/>
      <c r="BI21" s="198"/>
      <c r="BJ21" s="198"/>
      <c r="BK21" s="198"/>
      <c r="BL21" s="198"/>
      <c r="BM21" s="198"/>
      <c r="BN21" s="198"/>
      <c r="BO21" s="198"/>
      <c r="BP21" s="198"/>
      <c r="BQ21" s="198"/>
      <c r="BR21" s="198"/>
      <c r="BS21" s="198"/>
      <c r="BT21" s="198"/>
      <c r="BU21" s="198"/>
      <c r="BV21" s="198"/>
      <c r="BW21" s="198"/>
      <c r="BX21" s="198"/>
      <c r="BY21" s="198"/>
      <c r="BZ21" s="198"/>
      <c r="CA21" s="198"/>
      <c r="CB21" s="198"/>
      <c r="CC21" s="198"/>
      <c r="CD21" s="198"/>
      <c r="CE21" s="198"/>
      <c r="CF21" s="198"/>
      <c r="CG21" s="198"/>
      <c r="CH21" s="198"/>
      <c r="CI21" s="198"/>
      <c r="CJ21" s="198"/>
      <c r="CK21" s="198"/>
      <c r="CL21" s="198"/>
      <c r="CM21" s="198"/>
      <c r="CN21" s="198"/>
      <c r="CO21" s="198"/>
      <c r="CP21" s="198"/>
      <c r="CQ21" s="198"/>
      <c r="CR21" s="198"/>
      <c r="CS21" s="198"/>
      <c r="CT21" s="198"/>
      <c r="CU21" s="198"/>
      <c r="CV21" s="198"/>
      <c r="CW21" s="198"/>
      <c r="CX21" s="198"/>
      <c r="CY21" s="198"/>
      <c r="CZ21" s="198"/>
      <c r="DA21" s="198"/>
      <c r="DB21" s="198"/>
      <c r="DC21" s="198"/>
      <c r="DD21" s="198"/>
      <c r="DE21" s="198"/>
      <c r="DF21" s="198"/>
      <c r="DG21" s="198"/>
      <c r="DH21" s="198"/>
      <c r="DI21" s="198"/>
      <c r="DJ21" s="198"/>
      <c r="DK21" s="198"/>
      <c r="DL21" s="198"/>
      <c r="DM21" s="198"/>
      <c r="DN21" s="198"/>
      <c r="DO21" s="198"/>
      <c r="DP21" s="198"/>
      <c r="DQ21" s="198"/>
      <c r="DR21" s="198"/>
      <c r="DS21" s="198"/>
      <c r="DT21" s="198"/>
      <c r="DU21" s="198"/>
      <c r="DV21" s="198"/>
      <c r="DW21" s="198"/>
      <c r="DX21" s="198"/>
      <c r="DY21" s="198"/>
      <c r="DZ21" s="198"/>
      <c r="EA21" s="198"/>
      <c r="EB21" s="198"/>
      <c r="EC21" s="198"/>
      <c r="ED21" s="198"/>
      <c r="EE21" s="198"/>
      <c r="EF21" s="198"/>
      <c r="EG21" s="198"/>
      <c r="EH21" s="198"/>
      <c r="EI21" s="198"/>
      <c r="EJ21" s="198"/>
      <c r="EK21" s="198"/>
      <c r="EL21" s="198"/>
      <c r="EM21" s="198"/>
      <c r="EN21" s="198"/>
      <c r="EO21" s="198"/>
      <c r="EP21" s="198"/>
      <c r="EQ21" s="198"/>
      <c r="ER21" s="198"/>
      <c r="ES21" s="198"/>
      <c r="ET21" s="198"/>
      <c r="EU21" s="198"/>
      <c r="EV21" s="198"/>
      <c r="EW21" s="198"/>
      <c r="EX21" s="198"/>
      <c r="EY21" s="198"/>
      <c r="EZ21" s="198"/>
      <c r="FA21" s="200">
        <f>50-50</f>
        <v>0</v>
      </c>
      <c r="FB21" s="198"/>
      <c r="FC21" s="198"/>
      <c r="FD21" s="198"/>
      <c r="FE21" s="200">
        <f>50-50</f>
        <v>0</v>
      </c>
      <c r="FF21" s="198"/>
      <c r="FG21" s="198"/>
      <c r="FH21" s="198"/>
      <c r="FI21" s="200">
        <f>50-50</f>
        <v>0</v>
      </c>
      <c r="FJ21" s="198"/>
      <c r="FK21" s="198"/>
      <c r="FL21" s="198"/>
      <c r="FM21" s="198"/>
      <c r="FN21" s="198"/>
      <c r="FO21" s="198"/>
      <c r="FP21" s="201"/>
      <c r="FQ21" s="202" t="s">
        <v>756</v>
      </c>
      <c r="FR21" s="203" t="s">
        <v>389</v>
      </c>
      <c r="FS21" s="203"/>
      <c r="FT21" s="203" t="s">
        <v>402</v>
      </c>
      <c r="FU21" s="204">
        <f t="shared" si="0"/>
        <v>0</v>
      </c>
      <c r="FV21" s="205" t="s">
        <v>403</v>
      </c>
    </row>
    <row r="22" spans="1:178" s="174" customFormat="1" ht="11.4" hidden="1">
      <c r="A22" s="196" t="s">
        <v>393</v>
      </c>
      <c r="B22" s="196" t="s">
        <v>385</v>
      </c>
      <c r="C22" s="196" t="s">
        <v>394</v>
      </c>
      <c r="D22" s="196" t="s">
        <v>291</v>
      </c>
      <c r="E22" s="197" t="s">
        <v>405</v>
      </c>
      <c r="F22" s="196" t="s">
        <v>388</v>
      </c>
      <c r="G22" s="196"/>
      <c r="H22" s="198"/>
      <c r="I22" s="198"/>
      <c r="J22" s="198"/>
      <c r="K22" s="198"/>
      <c r="L22" s="198"/>
      <c r="M22" s="198"/>
      <c r="N22" s="198"/>
      <c r="O22" s="198"/>
      <c r="P22" s="198"/>
      <c r="Q22" s="198"/>
      <c r="R22" s="198"/>
      <c r="S22" s="198"/>
      <c r="T22" s="198"/>
      <c r="U22" s="198"/>
      <c r="V22" s="198"/>
      <c r="W22" s="198"/>
      <c r="X22" s="198"/>
      <c r="Y22" s="198"/>
      <c r="Z22" s="198"/>
      <c r="AA22" s="198"/>
      <c r="AB22" s="198"/>
      <c r="AC22" s="198"/>
      <c r="AD22" s="198"/>
      <c r="AE22" s="198"/>
      <c r="AF22" s="198"/>
      <c r="AG22" s="200">
        <f>3000-3000</f>
        <v>0</v>
      </c>
      <c r="AH22" s="206">
        <f>0+20</f>
        <v>20</v>
      </c>
      <c r="AI22" s="198"/>
      <c r="AJ22" s="198"/>
      <c r="AK22" s="198"/>
      <c r="AL22" s="198"/>
      <c r="AM22" s="198"/>
      <c r="AN22" s="198"/>
      <c r="AO22" s="198"/>
      <c r="AP22" s="198"/>
      <c r="AQ22" s="200">
        <f>100-100</f>
        <v>0</v>
      </c>
      <c r="AR22" s="200">
        <f>50-50</f>
        <v>0</v>
      </c>
      <c r="AS22" s="198"/>
      <c r="AT22" s="198"/>
      <c r="AU22" s="198"/>
      <c r="AV22" s="198"/>
      <c r="AW22" s="198"/>
      <c r="AX22" s="198"/>
      <c r="AY22" s="198"/>
      <c r="AZ22" s="198"/>
      <c r="BA22" s="198"/>
      <c r="BB22" s="198"/>
      <c r="BC22" s="198"/>
      <c r="BD22" s="198"/>
      <c r="BE22" s="198"/>
      <c r="BF22" s="198"/>
      <c r="BG22" s="198"/>
      <c r="BH22" s="198"/>
      <c r="BI22" s="198"/>
      <c r="BJ22" s="198"/>
      <c r="BK22" s="198"/>
      <c r="BL22" s="198"/>
      <c r="BM22" s="198"/>
      <c r="BN22" s="198"/>
      <c r="BO22" s="198"/>
      <c r="BP22" s="198"/>
      <c r="BQ22" s="198"/>
      <c r="BR22" s="198"/>
      <c r="BS22" s="198"/>
      <c r="BT22" s="198"/>
      <c r="BU22" s="198"/>
      <c r="BV22" s="198"/>
      <c r="BW22" s="198"/>
      <c r="BX22" s="198"/>
      <c r="BY22" s="198"/>
      <c r="BZ22" s="198"/>
      <c r="CA22" s="198"/>
      <c r="CB22" s="198"/>
      <c r="CC22" s="198"/>
      <c r="CD22" s="198"/>
      <c r="CE22" s="198"/>
      <c r="CF22" s="198"/>
      <c r="CG22" s="198"/>
      <c r="CH22" s="198"/>
      <c r="CI22" s="198"/>
      <c r="CJ22" s="198"/>
      <c r="CK22" s="198"/>
      <c r="CL22" s="198"/>
      <c r="CM22" s="198"/>
      <c r="CN22" s="198"/>
      <c r="CO22" s="198"/>
      <c r="CP22" s="198"/>
      <c r="CQ22" s="198"/>
      <c r="CR22" s="198"/>
      <c r="CS22" s="198"/>
      <c r="CT22" s="198"/>
      <c r="CU22" s="198"/>
      <c r="CV22" s="198"/>
      <c r="CW22" s="198"/>
      <c r="CX22" s="198"/>
      <c r="CY22" s="198"/>
      <c r="CZ22" s="198"/>
      <c r="DA22" s="198"/>
      <c r="DB22" s="198"/>
      <c r="DC22" s="198"/>
      <c r="DD22" s="198"/>
      <c r="DE22" s="198"/>
      <c r="DF22" s="198"/>
      <c r="DG22" s="198"/>
      <c r="DH22" s="198"/>
      <c r="DI22" s="198"/>
      <c r="DJ22" s="198"/>
      <c r="DK22" s="198"/>
      <c r="DL22" s="198"/>
      <c r="DM22" s="198"/>
      <c r="DN22" s="198"/>
      <c r="DO22" s="198"/>
      <c r="DP22" s="198"/>
      <c r="DQ22" s="198"/>
      <c r="DR22" s="198"/>
      <c r="DS22" s="198"/>
      <c r="DT22" s="198"/>
      <c r="DU22" s="198"/>
      <c r="DV22" s="198"/>
      <c r="DW22" s="198"/>
      <c r="DX22" s="198"/>
      <c r="DY22" s="198"/>
      <c r="DZ22" s="198"/>
      <c r="EA22" s="198"/>
      <c r="EB22" s="198"/>
      <c r="EC22" s="198"/>
      <c r="ED22" s="198"/>
      <c r="EE22" s="198"/>
      <c r="EF22" s="198"/>
      <c r="EG22" s="198"/>
      <c r="EH22" s="198"/>
      <c r="EI22" s="198"/>
      <c r="EJ22" s="198"/>
      <c r="EK22" s="198"/>
      <c r="EL22" s="198"/>
      <c r="EM22" s="198"/>
      <c r="EN22" s="198"/>
      <c r="EO22" s="198"/>
      <c r="EP22" s="198"/>
      <c r="EQ22" s="198"/>
      <c r="ER22" s="198"/>
      <c r="ES22" s="198"/>
      <c r="ET22" s="198"/>
      <c r="EU22" s="198"/>
      <c r="EV22" s="198"/>
      <c r="EW22" s="198"/>
      <c r="EX22" s="198"/>
      <c r="EY22" s="198"/>
      <c r="EZ22" s="198"/>
      <c r="FA22" s="198"/>
      <c r="FB22" s="198"/>
      <c r="FC22" s="198"/>
      <c r="FD22" s="198"/>
      <c r="FE22" s="198"/>
      <c r="FF22" s="198"/>
      <c r="FG22" s="198"/>
      <c r="FH22" s="198"/>
      <c r="FI22" s="198"/>
      <c r="FJ22" s="198"/>
      <c r="FK22" s="198"/>
      <c r="FL22" s="198"/>
      <c r="FM22" s="198"/>
      <c r="FN22" s="198"/>
      <c r="FO22" s="198"/>
      <c r="FP22" s="201"/>
      <c r="FQ22" s="202" t="s">
        <v>756</v>
      </c>
      <c r="FR22" s="203" t="s">
        <v>389</v>
      </c>
      <c r="FS22" s="203" t="s">
        <v>406</v>
      </c>
      <c r="FT22" s="203" t="s">
        <v>397</v>
      </c>
      <c r="FU22" s="204">
        <f t="shared" si="0"/>
        <v>20</v>
      </c>
      <c r="FV22" s="205" t="s">
        <v>398</v>
      </c>
    </row>
    <row r="23" spans="1:178" s="174" customFormat="1" ht="11.4" hidden="1">
      <c r="A23" s="196" t="s">
        <v>393</v>
      </c>
      <c r="B23" s="196" t="s">
        <v>385</v>
      </c>
      <c r="C23" s="196" t="s">
        <v>394</v>
      </c>
      <c r="D23" s="196" t="s">
        <v>1</v>
      </c>
      <c r="E23" s="197" t="s">
        <v>405</v>
      </c>
      <c r="F23" s="196" t="s">
        <v>388</v>
      </c>
      <c r="G23" s="196"/>
      <c r="H23" s="198"/>
      <c r="I23" s="198"/>
      <c r="J23" s="198"/>
      <c r="K23" s="198"/>
      <c r="L23" s="198"/>
      <c r="M23" s="198"/>
      <c r="N23" s="198"/>
      <c r="O23" s="198"/>
      <c r="P23" s="198"/>
      <c r="Q23" s="198"/>
      <c r="R23" s="198"/>
      <c r="S23" s="198"/>
      <c r="T23" s="198"/>
      <c r="U23" s="198"/>
      <c r="V23" s="198"/>
      <c r="W23" s="198"/>
      <c r="X23" s="198"/>
      <c r="Y23" s="198"/>
      <c r="Z23" s="198"/>
      <c r="AA23" s="200">
        <f>100-100</f>
        <v>0</v>
      </c>
      <c r="AB23" s="198"/>
      <c r="AC23" s="198"/>
      <c r="AD23" s="198"/>
      <c r="AE23" s="200">
        <f>100-100</f>
        <v>0</v>
      </c>
      <c r="AF23" s="198"/>
      <c r="AG23" s="198"/>
      <c r="AH23" s="200">
        <f>3000-3000</f>
        <v>0</v>
      </c>
      <c r="AI23" s="198"/>
      <c r="AJ23" s="198"/>
      <c r="AK23" s="198"/>
      <c r="AL23" s="198"/>
      <c r="AM23" s="198"/>
      <c r="AN23" s="198"/>
      <c r="AO23" s="198"/>
      <c r="AP23" s="198"/>
      <c r="AQ23" s="198"/>
      <c r="AR23" s="198"/>
      <c r="AS23" s="198"/>
      <c r="AT23" s="198"/>
      <c r="AU23" s="199">
        <f>2000-2000+50</f>
        <v>50</v>
      </c>
      <c r="AV23" s="198"/>
      <c r="AW23" s="198"/>
      <c r="AX23" s="198"/>
      <c r="AY23" s="198"/>
      <c r="AZ23" s="198"/>
      <c r="BA23" s="198"/>
      <c r="BB23" s="198"/>
      <c r="BC23" s="198"/>
      <c r="BD23" s="198"/>
      <c r="BE23" s="198"/>
      <c r="BF23" s="198"/>
      <c r="BG23" s="198"/>
      <c r="BH23" s="198"/>
      <c r="BI23" s="198"/>
      <c r="BJ23" s="198"/>
      <c r="BK23" s="198"/>
      <c r="BL23" s="198"/>
      <c r="BM23" s="198"/>
      <c r="BN23" s="198"/>
      <c r="BO23" s="198"/>
      <c r="BP23" s="198"/>
      <c r="BQ23" s="198"/>
      <c r="BR23" s="198"/>
      <c r="BS23" s="198"/>
      <c r="BT23" s="198"/>
      <c r="BU23" s="198"/>
      <c r="BV23" s="198"/>
      <c r="BW23" s="198"/>
      <c r="BX23" s="198"/>
      <c r="BY23" s="198"/>
      <c r="BZ23" s="198"/>
      <c r="CA23" s="198"/>
      <c r="CB23" s="198"/>
      <c r="CC23" s="198"/>
      <c r="CD23" s="198"/>
      <c r="CE23" s="198"/>
      <c r="CF23" s="198"/>
      <c r="CG23" s="198"/>
      <c r="CH23" s="198"/>
      <c r="CI23" s="198"/>
      <c r="CJ23" s="198"/>
      <c r="CK23" s="198"/>
      <c r="CL23" s="198"/>
      <c r="CM23" s="198"/>
      <c r="CN23" s="198"/>
      <c r="CO23" s="198"/>
      <c r="CP23" s="198"/>
      <c r="CQ23" s="198"/>
      <c r="CR23" s="198"/>
      <c r="CS23" s="198"/>
      <c r="CT23" s="198"/>
      <c r="CU23" s="198"/>
      <c r="CV23" s="198"/>
      <c r="CW23" s="198"/>
      <c r="CX23" s="198"/>
      <c r="CY23" s="198"/>
      <c r="CZ23" s="198"/>
      <c r="DA23" s="198"/>
      <c r="DB23" s="198"/>
      <c r="DC23" s="198"/>
      <c r="DD23" s="198"/>
      <c r="DE23" s="198"/>
      <c r="DF23" s="198"/>
      <c r="DG23" s="198"/>
      <c r="DH23" s="198"/>
      <c r="DI23" s="198"/>
      <c r="DJ23" s="198"/>
      <c r="DK23" s="198"/>
      <c r="DL23" s="198"/>
      <c r="DM23" s="198"/>
      <c r="DN23" s="198"/>
      <c r="DO23" s="198"/>
      <c r="DP23" s="198"/>
      <c r="DQ23" s="198"/>
      <c r="DR23" s="198"/>
      <c r="DS23" s="198"/>
      <c r="DT23" s="198"/>
      <c r="DU23" s="198"/>
      <c r="DV23" s="198"/>
      <c r="DW23" s="198"/>
      <c r="DX23" s="198"/>
      <c r="DY23" s="198"/>
      <c r="DZ23" s="198"/>
      <c r="EA23" s="198"/>
      <c r="EB23" s="198"/>
      <c r="EC23" s="198"/>
      <c r="ED23" s="198"/>
      <c r="EE23" s="198"/>
      <c r="EF23" s="198"/>
      <c r="EG23" s="198"/>
      <c r="EH23" s="198"/>
      <c r="EI23" s="198"/>
      <c r="EJ23" s="198"/>
      <c r="EK23" s="198"/>
      <c r="EL23" s="198"/>
      <c r="EM23" s="198"/>
      <c r="EN23" s="198"/>
      <c r="EO23" s="198"/>
      <c r="EP23" s="198"/>
      <c r="EQ23" s="198"/>
      <c r="ER23" s="198"/>
      <c r="ES23" s="198"/>
      <c r="ET23" s="198"/>
      <c r="EU23" s="198"/>
      <c r="EV23" s="198"/>
      <c r="EW23" s="198"/>
      <c r="EX23" s="198"/>
      <c r="EY23" s="198"/>
      <c r="EZ23" s="200">
        <f>10-10</f>
        <v>0</v>
      </c>
      <c r="FA23" s="198"/>
      <c r="FB23" s="200">
        <f>20-20</f>
        <v>0</v>
      </c>
      <c r="FC23" s="200">
        <f>10-10</f>
        <v>0</v>
      </c>
      <c r="FD23" s="198"/>
      <c r="FE23" s="198"/>
      <c r="FF23" s="200">
        <f>20-20</f>
        <v>0</v>
      </c>
      <c r="FG23" s="198"/>
      <c r="FH23" s="198"/>
      <c r="FI23" s="198"/>
      <c r="FJ23" s="198"/>
      <c r="FK23" s="198"/>
      <c r="FL23" s="198"/>
      <c r="FM23" s="198"/>
      <c r="FN23" s="198"/>
      <c r="FO23" s="198"/>
      <c r="FP23" s="201"/>
      <c r="FQ23" s="202" t="s">
        <v>756</v>
      </c>
      <c r="FR23" s="203" t="s">
        <v>389</v>
      </c>
      <c r="FS23" s="203" t="s">
        <v>406</v>
      </c>
      <c r="FT23" s="203" t="s">
        <v>397</v>
      </c>
      <c r="FU23" s="204">
        <f t="shared" si="0"/>
        <v>50</v>
      </c>
      <c r="FV23" s="205" t="s">
        <v>398</v>
      </c>
    </row>
    <row r="24" spans="1:178" s="174" customFormat="1" ht="11.4" hidden="1">
      <c r="A24" s="196" t="s">
        <v>393</v>
      </c>
      <c r="B24" s="196" t="s">
        <v>385</v>
      </c>
      <c r="C24" s="196" t="s">
        <v>407</v>
      </c>
      <c r="D24" s="196" t="s">
        <v>291</v>
      </c>
      <c r="E24" s="197" t="s">
        <v>408</v>
      </c>
      <c r="F24" s="196" t="s">
        <v>388</v>
      </c>
      <c r="G24" s="196"/>
      <c r="H24" s="198"/>
      <c r="I24" s="198"/>
      <c r="J24" s="198"/>
      <c r="K24" s="198"/>
      <c r="L24" s="198"/>
      <c r="M24" s="198"/>
      <c r="N24" s="198"/>
      <c r="O24" s="198"/>
      <c r="P24" s="198"/>
      <c r="Q24" s="198"/>
      <c r="R24" s="198"/>
      <c r="S24" s="198"/>
      <c r="T24" s="198"/>
      <c r="U24" s="198"/>
      <c r="V24" s="198"/>
      <c r="W24" s="198"/>
      <c r="X24" s="198"/>
      <c r="Y24" s="198"/>
      <c r="Z24" s="198"/>
      <c r="AA24" s="198"/>
      <c r="AB24" s="198"/>
      <c r="AC24" s="198"/>
      <c r="AD24" s="198"/>
      <c r="AE24" s="198"/>
      <c r="AF24" s="198"/>
      <c r="AG24" s="198"/>
      <c r="AH24" s="206">
        <f>0+130</f>
        <v>130</v>
      </c>
      <c r="AI24" s="198"/>
      <c r="AJ24" s="198"/>
      <c r="AK24" s="198"/>
      <c r="AL24" s="198"/>
      <c r="AM24" s="198"/>
      <c r="AN24" s="198"/>
      <c r="AO24" s="198"/>
      <c r="AP24" s="198"/>
      <c r="AQ24" s="198"/>
      <c r="AR24" s="198"/>
      <c r="AS24" s="198"/>
      <c r="AT24" s="198"/>
      <c r="AU24" s="198"/>
      <c r="AV24" s="198"/>
      <c r="AW24" s="198"/>
      <c r="AX24" s="198"/>
      <c r="AY24" s="198"/>
      <c r="AZ24" s="198"/>
      <c r="BA24" s="198"/>
      <c r="BB24" s="198"/>
      <c r="BC24" s="198"/>
      <c r="BD24" s="198"/>
      <c r="BE24" s="198"/>
      <c r="BF24" s="198"/>
      <c r="BG24" s="200">
        <f>1000-1000</f>
        <v>0</v>
      </c>
      <c r="BH24" s="198"/>
      <c r="BI24" s="198"/>
      <c r="BJ24" s="198"/>
      <c r="BK24" s="198"/>
      <c r="BL24" s="198"/>
      <c r="BM24" s="198"/>
      <c r="BN24" s="198"/>
      <c r="BO24" s="198"/>
      <c r="BP24" s="198"/>
      <c r="BQ24" s="198"/>
      <c r="BR24" s="198"/>
      <c r="BS24" s="198"/>
      <c r="BT24" s="198"/>
      <c r="BU24" s="198"/>
      <c r="BV24" s="198"/>
      <c r="BW24" s="198"/>
      <c r="BX24" s="198"/>
      <c r="BY24" s="198"/>
      <c r="BZ24" s="198"/>
      <c r="CA24" s="198"/>
      <c r="CB24" s="198"/>
      <c r="CC24" s="198"/>
      <c r="CD24" s="198"/>
      <c r="CE24" s="198"/>
      <c r="CF24" s="198"/>
      <c r="CG24" s="198"/>
      <c r="CH24" s="198"/>
      <c r="CI24" s="198"/>
      <c r="CJ24" s="198"/>
      <c r="CK24" s="198"/>
      <c r="CL24" s="198"/>
      <c r="CM24" s="198"/>
      <c r="CN24" s="198"/>
      <c r="CO24" s="198"/>
      <c r="CP24" s="198"/>
      <c r="CQ24" s="198"/>
      <c r="CR24" s="198"/>
      <c r="CS24" s="198"/>
      <c r="CT24" s="198"/>
      <c r="CU24" s="198"/>
      <c r="CV24" s="198"/>
      <c r="CW24" s="198"/>
      <c r="CX24" s="198"/>
      <c r="CY24" s="198"/>
      <c r="CZ24" s="198"/>
      <c r="DA24" s="198"/>
      <c r="DB24" s="198"/>
      <c r="DC24" s="198"/>
      <c r="DD24" s="198"/>
      <c r="DE24" s="198"/>
      <c r="DF24" s="198"/>
      <c r="DG24" s="198"/>
      <c r="DH24" s="198"/>
      <c r="DI24" s="198"/>
      <c r="DJ24" s="198"/>
      <c r="DK24" s="198"/>
      <c r="DL24" s="198"/>
      <c r="DM24" s="198"/>
      <c r="DN24" s="198"/>
      <c r="DO24" s="198"/>
      <c r="DP24" s="198"/>
      <c r="DQ24" s="198"/>
      <c r="DR24" s="198"/>
      <c r="DS24" s="198"/>
      <c r="DT24" s="198"/>
      <c r="DU24" s="198"/>
      <c r="DV24" s="198"/>
      <c r="DW24" s="198"/>
      <c r="DX24" s="198"/>
      <c r="DY24" s="198"/>
      <c r="DZ24" s="198"/>
      <c r="EA24" s="198"/>
      <c r="EB24" s="198"/>
      <c r="EC24" s="198"/>
      <c r="ED24" s="198"/>
      <c r="EE24" s="198"/>
      <c r="EF24" s="198"/>
      <c r="EG24" s="198"/>
      <c r="EH24" s="198"/>
      <c r="EI24" s="198"/>
      <c r="EJ24" s="198"/>
      <c r="EK24" s="198"/>
      <c r="EL24" s="198"/>
      <c r="EM24" s="198"/>
      <c r="EN24" s="198"/>
      <c r="EO24" s="198"/>
      <c r="EP24" s="198"/>
      <c r="EQ24" s="198"/>
      <c r="ER24" s="198"/>
      <c r="ES24" s="198"/>
      <c r="ET24" s="198"/>
      <c r="EU24" s="198"/>
      <c r="EV24" s="198"/>
      <c r="EW24" s="198"/>
      <c r="EX24" s="198"/>
      <c r="EY24" s="198"/>
      <c r="EZ24" s="198"/>
      <c r="FA24" s="198"/>
      <c r="FB24" s="198"/>
      <c r="FC24" s="198"/>
      <c r="FD24" s="198"/>
      <c r="FE24" s="198"/>
      <c r="FF24" s="198"/>
      <c r="FG24" s="198"/>
      <c r="FH24" s="198"/>
      <c r="FI24" s="198"/>
      <c r="FJ24" s="198"/>
      <c r="FK24" s="198"/>
      <c r="FL24" s="198"/>
      <c r="FM24" s="198"/>
      <c r="FN24" s="198"/>
      <c r="FO24" s="198"/>
      <c r="FP24" s="201"/>
      <c r="FQ24" s="202" t="s">
        <v>756</v>
      </c>
      <c r="FR24" s="203" t="s">
        <v>389</v>
      </c>
      <c r="FS24" s="203"/>
      <c r="FT24" s="203" t="s">
        <v>409</v>
      </c>
      <c r="FU24" s="204">
        <f t="shared" si="0"/>
        <v>130</v>
      </c>
      <c r="FV24" s="205" t="s">
        <v>410</v>
      </c>
    </row>
    <row r="25" spans="1:178" s="174" customFormat="1" ht="11.4" hidden="1">
      <c r="A25" s="196" t="s">
        <v>393</v>
      </c>
      <c r="B25" s="196" t="s">
        <v>385</v>
      </c>
      <c r="C25" s="196" t="s">
        <v>407</v>
      </c>
      <c r="D25" s="196" t="s">
        <v>1</v>
      </c>
      <c r="E25" s="197" t="s">
        <v>408</v>
      </c>
      <c r="F25" s="196" t="s">
        <v>388</v>
      </c>
      <c r="G25" s="196"/>
      <c r="H25" s="198"/>
      <c r="I25" s="198"/>
      <c r="J25" s="198"/>
      <c r="K25" s="198"/>
      <c r="L25" s="198"/>
      <c r="M25" s="198"/>
      <c r="N25" s="198"/>
      <c r="O25" s="198"/>
      <c r="P25" s="198"/>
      <c r="Q25" s="198"/>
      <c r="R25" s="198"/>
      <c r="S25" s="198"/>
      <c r="T25" s="198"/>
      <c r="U25" s="198"/>
      <c r="V25" s="198"/>
      <c r="W25" s="198"/>
      <c r="X25" s="198"/>
      <c r="Y25" s="198"/>
      <c r="Z25" s="198"/>
      <c r="AA25" s="198"/>
      <c r="AB25" s="200">
        <f t="shared" ref="AB25:AC25" si="24">1000-1000</f>
        <v>0</v>
      </c>
      <c r="AC25" s="200">
        <f t="shared" si="24"/>
        <v>0</v>
      </c>
      <c r="AD25" s="198"/>
      <c r="AE25" s="198"/>
      <c r="AF25" s="198"/>
      <c r="AG25" s="198"/>
      <c r="AH25" s="200">
        <f>1000-1000</f>
        <v>0</v>
      </c>
      <c r="AI25" s="198"/>
      <c r="AJ25" s="198"/>
      <c r="AK25" s="198"/>
      <c r="AL25" s="198"/>
      <c r="AM25" s="200">
        <f>1000-1000</f>
        <v>0</v>
      </c>
      <c r="AN25" s="198"/>
      <c r="AO25" s="198"/>
      <c r="AP25" s="198"/>
      <c r="AQ25" s="198"/>
      <c r="AR25" s="198"/>
      <c r="AS25" s="198"/>
      <c r="AT25" s="198"/>
      <c r="AU25" s="199">
        <f>1000-1000+230</f>
        <v>230</v>
      </c>
      <c r="AV25" s="198"/>
      <c r="AW25" s="198"/>
      <c r="AX25" s="198"/>
      <c r="AY25" s="198"/>
      <c r="AZ25" s="198"/>
      <c r="BA25" s="198"/>
      <c r="BB25" s="198"/>
      <c r="BC25" s="198"/>
      <c r="BD25" s="198"/>
      <c r="BE25" s="198"/>
      <c r="BF25" s="198"/>
      <c r="BG25" s="206">
        <f>0+400</f>
        <v>400</v>
      </c>
      <c r="BH25" s="198"/>
      <c r="BI25" s="198"/>
      <c r="BJ25" s="198"/>
      <c r="BK25" s="198"/>
      <c r="BL25" s="198"/>
      <c r="BM25" s="198"/>
      <c r="BN25" s="198"/>
      <c r="BO25" s="207">
        <v>100</v>
      </c>
      <c r="BP25" s="207"/>
      <c r="BQ25" s="207">
        <v>220</v>
      </c>
      <c r="BR25" s="207">
        <v>970</v>
      </c>
      <c r="BS25" s="207"/>
      <c r="BT25" s="207"/>
      <c r="BU25" s="207">
        <v>35</v>
      </c>
      <c r="BV25" s="207"/>
      <c r="BW25" s="207"/>
      <c r="BX25" s="207"/>
      <c r="BY25" s="207">
        <v>80</v>
      </c>
      <c r="BZ25" s="207"/>
      <c r="CA25" s="207"/>
      <c r="CB25" s="207"/>
      <c r="CC25" s="207">
        <v>190</v>
      </c>
      <c r="CD25" s="207"/>
      <c r="CE25" s="207"/>
      <c r="CF25" s="207">
        <v>380</v>
      </c>
      <c r="CG25" s="207">
        <v>110</v>
      </c>
      <c r="CH25" s="207"/>
      <c r="CI25" s="207"/>
      <c r="CJ25" s="207"/>
      <c r="CK25" s="207"/>
      <c r="CL25" s="207"/>
      <c r="CM25" s="207"/>
      <c r="CN25" s="207">
        <v>100</v>
      </c>
      <c r="CO25" s="207"/>
      <c r="CP25" s="207"/>
      <c r="CQ25" s="207"/>
      <c r="CR25" s="207"/>
      <c r="CS25" s="207"/>
      <c r="CT25" s="207"/>
      <c r="CU25" s="207"/>
      <c r="CV25" s="207"/>
      <c r="CW25" s="207">
        <v>40</v>
      </c>
      <c r="CX25" s="207">
        <v>50</v>
      </c>
      <c r="CY25" s="207"/>
      <c r="CZ25" s="207"/>
      <c r="DA25" s="207"/>
      <c r="DB25" s="207"/>
      <c r="DC25" s="207"/>
      <c r="DD25" s="207"/>
      <c r="DE25" s="207"/>
      <c r="DF25" s="207"/>
      <c r="DG25" s="207"/>
      <c r="DH25" s="207">
        <v>25</v>
      </c>
      <c r="DI25" s="207">
        <v>5</v>
      </c>
      <c r="DJ25" s="207"/>
      <c r="DK25" s="207"/>
      <c r="DL25" s="207"/>
      <c r="DM25" s="207"/>
      <c r="DN25" s="207"/>
      <c r="DO25" s="207">
        <v>100</v>
      </c>
      <c r="DP25" s="207">
        <v>5</v>
      </c>
      <c r="DQ25" s="207"/>
      <c r="DR25" s="207"/>
      <c r="DS25" s="207"/>
      <c r="DT25" s="207"/>
      <c r="DU25" s="207"/>
      <c r="DV25" s="207"/>
      <c r="DW25" s="207">
        <v>45</v>
      </c>
      <c r="DX25" s="207"/>
      <c r="DY25" s="207"/>
      <c r="DZ25" s="207"/>
      <c r="EA25" s="207"/>
      <c r="EB25" s="207"/>
      <c r="EC25" s="207"/>
      <c r="ED25" s="207"/>
      <c r="EE25" s="207"/>
      <c r="EF25" s="207"/>
      <c r="EG25" s="207"/>
      <c r="EH25" s="207"/>
      <c r="EI25" s="207"/>
      <c r="EJ25" s="207"/>
      <c r="EK25" s="207"/>
      <c r="EL25" s="207"/>
      <c r="EM25" s="207"/>
      <c r="EN25" s="207"/>
      <c r="EO25" s="207"/>
      <c r="EP25" s="207"/>
      <c r="EQ25" s="207"/>
      <c r="ER25" s="207"/>
      <c r="ES25" s="208">
        <f>500-500</f>
        <v>0</v>
      </c>
      <c r="ET25" s="207"/>
      <c r="EU25" s="207"/>
      <c r="EV25" s="207"/>
      <c r="EW25" s="207"/>
      <c r="EX25" s="207"/>
      <c r="EY25" s="207"/>
      <c r="EZ25" s="207"/>
      <c r="FA25" s="207"/>
      <c r="FB25" s="207"/>
      <c r="FC25" s="207"/>
      <c r="FD25" s="207"/>
      <c r="FE25" s="207"/>
      <c r="FF25" s="207"/>
      <c r="FG25" s="207"/>
      <c r="FH25" s="207"/>
      <c r="FI25" s="207"/>
      <c r="FJ25" s="207"/>
      <c r="FK25" s="198"/>
      <c r="FL25" s="198"/>
      <c r="FM25" s="198"/>
      <c r="FN25" s="198"/>
      <c r="FO25" s="198"/>
      <c r="FP25" s="201"/>
      <c r="FQ25" s="202" t="s">
        <v>756</v>
      </c>
      <c r="FR25" s="203" t="s">
        <v>389</v>
      </c>
      <c r="FS25" s="203"/>
      <c r="FT25" s="203" t="s">
        <v>409</v>
      </c>
      <c r="FU25" s="204">
        <f t="shared" si="0"/>
        <v>3085</v>
      </c>
      <c r="FV25" s="205" t="s">
        <v>410</v>
      </c>
    </row>
    <row r="26" spans="1:178" s="174" customFormat="1" ht="11.4">
      <c r="A26" s="196" t="s">
        <v>393</v>
      </c>
      <c r="B26" s="196" t="s">
        <v>385</v>
      </c>
      <c r="C26" s="196" t="s">
        <v>411</v>
      </c>
      <c r="D26" s="196" t="s">
        <v>291</v>
      </c>
      <c r="E26" s="197" t="s">
        <v>412</v>
      </c>
      <c r="F26" s="196" t="s">
        <v>388</v>
      </c>
      <c r="G26" s="196"/>
      <c r="H26" s="198"/>
      <c r="I26" s="198"/>
      <c r="J26" s="198"/>
      <c r="K26" s="198"/>
      <c r="L26" s="198"/>
      <c r="M26" s="198"/>
      <c r="N26" s="200">
        <f>80-80</f>
        <v>0</v>
      </c>
      <c r="O26" s="198"/>
      <c r="P26" s="198"/>
      <c r="Q26" s="198"/>
      <c r="R26" s="198"/>
      <c r="S26" s="198"/>
      <c r="T26" s="198"/>
      <c r="U26" s="198"/>
      <c r="V26" s="198"/>
      <c r="W26" s="198"/>
      <c r="X26" s="198"/>
      <c r="Y26" s="198"/>
      <c r="Z26" s="198"/>
      <c r="AA26" s="198"/>
      <c r="AB26" s="198"/>
      <c r="AC26" s="198"/>
      <c r="AD26" s="198"/>
      <c r="AE26" s="198"/>
      <c r="AF26" s="198"/>
      <c r="AG26" s="198"/>
      <c r="AH26" s="198"/>
      <c r="AI26" s="198"/>
      <c r="AJ26" s="198"/>
      <c r="AK26" s="198"/>
      <c r="AL26" s="198"/>
      <c r="AM26" s="198"/>
      <c r="AN26" s="198"/>
      <c r="AO26" s="198"/>
      <c r="AP26" s="198"/>
      <c r="AQ26" s="200">
        <f t="shared" ref="AQ26:AR26" si="25">200-200</f>
        <v>0</v>
      </c>
      <c r="AR26" s="200">
        <f t="shared" si="25"/>
        <v>0</v>
      </c>
      <c r="AS26" s="198"/>
      <c r="AT26" s="198"/>
      <c r="AU26" s="198"/>
      <c r="AV26" s="198"/>
      <c r="AW26" s="198"/>
      <c r="AX26" s="198"/>
      <c r="AY26" s="198"/>
      <c r="AZ26" s="198"/>
      <c r="BA26" s="198"/>
      <c r="BB26" s="198"/>
      <c r="BC26" s="198"/>
      <c r="BD26" s="198"/>
      <c r="BE26" s="198"/>
      <c r="BF26" s="198"/>
      <c r="BG26" s="200">
        <f>40-40</f>
        <v>0</v>
      </c>
      <c r="BH26" s="198"/>
      <c r="BI26" s="198"/>
      <c r="BJ26" s="198"/>
      <c r="BK26" s="198"/>
      <c r="BL26" s="198"/>
      <c r="BM26" s="198"/>
      <c r="BN26" s="198"/>
      <c r="BO26" s="198"/>
      <c r="BP26" s="198"/>
      <c r="BQ26" s="198"/>
      <c r="BR26" s="198"/>
      <c r="BS26" s="198"/>
      <c r="BT26" s="198"/>
      <c r="BU26" s="198"/>
      <c r="BV26" s="198"/>
      <c r="BW26" s="198"/>
      <c r="BX26" s="198"/>
      <c r="BY26" s="198"/>
      <c r="BZ26" s="198"/>
      <c r="CA26" s="198"/>
      <c r="CB26" s="198"/>
      <c r="CC26" s="198"/>
      <c r="CD26" s="198"/>
      <c r="CE26" s="198"/>
      <c r="CF26" s="198"/>
      <c r="CG26" s="198"/>
      <c r="CH26" s="198"/>
      <c r="CI26" s="198"/>
      <c r="CJ26" s="198"/>
      <c r="CK26" s="198"/>
      <c r="CL26" s="198"/>
      <c r="CM26" s="198"/>
      <c r="CN26" s="198"/>
      <c r="CO26" s="198"/>
      <c r="CP26" s="198"/>
      <c r="CQ26" s="198"/>
      <c r="CR26" s="198"/>
      <c r="CS26" s="198"/>
      <c r="CT26" s="198"/>
      <c r="CU26" s="198"/>
      <c r="CV26" s="198"/>
      <c r="CW26" s="198"/>
      <c r="CX26" s="198"/>
      <c r="CY26" s="198"/>
      <c r="CZ26" s="198"/>
      <c r="DA26" s="198"/>
      <c r="DB26" s="198"/>
      <c r="DC26" s="198"/>
      <c r="DD26" s="198"/>
      <c r="DE26" s="198"/>
      <c r="DF26" s="198"/>
      <c r="DG26" s="198"/>
      <c r="DH26" s="198"/>
      <c r="DI26" s="198"/>
      <c r="DJ26" s="198"/>
      <c r="DK26" s="198"/>
      <c r="DL26" s="198"/>
      <c r="DM26" s="198"/>
      <c r="DN26" s="198"/>
      <c r="DO26" s="198"/>
      <c r="DP26" s="198"/>
      <c r="DQ26" s="198"/>
      <c r="DR26" s="198"/>
      <c r="DS26" s="198"/>
      <c r="DT26" s="198"/>
      <c r="DU26" s="198"/>
      <c r="DV26" s="198"/>
      <c r="DW26" s="198"/>
      <c r="DX26" s="198"/>
      <c r="DY26" s="198"/>
      <c r="DZ26" s="198"/>
      <c r="EA26" s="198"/>
      <c r="EB26" s="198"/>
      <c r="EC26" s="198"/>
      <c r="ED26" s="198"/>
      <c r="EE26" s="198"/>
      <c r="EF26" s="198"/>
      <c r="EG26" s="198"/>
      <c r="EH26" s="198"/>
      <c r="EI26" s="198"/>
      <c r="EJ26" s="198"/>
      <c r="EK26" s="198"/>
      <c r="EL26" s="198"/>
      <c r="EM26" s="198"/>
      <c r="EN26" s="198"/>
      <c r="EO26" s="198"/>
      <c r="EP26" s="198"/>
      <c r="EQ26" s="198"/>
      <c r="ER26" s="198"/>
      <c r="ES26" s="198"/>
      <c r="ET26" s="198"/>
      <c r="EU26" s="198"/>
      <c r="EV26" s="198"/>
      <c r="EW26" s="198"/>
      <c r="EX26" s="198"/>
      <c r="EY26" s="198"/>
      <c r="EZ26" s="198"/>
      <c r="FA26" s="198"/>
      <c r="FB26" s="198"/>
      <c r="FC26" s="198"/>
      <c r="FD26" s="198"/>
      <c r="FE26" s="198"/>
      <c r="FF26" s="198"/>
      <c r="FG26" s="198"/>
      <c r="FH26" s="198"/>
      <c r="FI26" s="198"/>
      <c r="FJ26" s="198"/>
      <c r="FK26" s="198"/>
      <c r="FL26" s="198"/>
      <c r="FM26" s="198"/>
      <c r="FN26" s="198"/>
      <c r="FO26" s="198"/>
      <c r="FP26" s="201"/>
      <c r="FQ26" s="202" t="s">
        <v>756</v>
      </c>
      <c r="FR26" s="203" t="s">
        <v>389</v>
      </c>
      <c r="FS26" s="203"/>
      <c r="FT26" s="203" t="s">
        <v>413</v>
      </c>
      <c r="FU26" s="204">
        <f t="shared" si="0"/>
        <v>0</v>
      </c>
      <c r="FV26" s="205" t="s">
        <v>414</v>
      </c>
    </row>
    <row r="27" spans="1:178" s="174" customFormat="1" ht="11.4">
      <c r="A27" s="196" t="s">
        <v>393</v>
      </c>
      <c r="B27" s="196" t="s">
        <v>385</v>
      </c>
      <c r="C27" s="196" t="s">
        <v>411</v>
      </c>
      <c r="D27" s="196" t="s">
        <v>1</v>
      </c>
      <c r="E27" s="197" t="s">
        <v>412</v>
      </c>
      <c r="F27" s="196" t="s">
        <v>388</v>
      </c>
      <c r="G27" s="196"/>
      <c r="H27" s="198"/>
      <c r="I27" s="198"/>
      <c r="J27" s="198"/>
      <c r="K27" s="198"/>
      <c r="L27" s="198"/>
      <c r="M27" s="198"/>
      <c r="N27" s="206">
        <f>0+20</f>
        <v>20</v>
      </c>
      <c r="O27" s="200">
        <f>80-80</f>
        <v>0</v>
      </c>
      <c r="P27" s="198"/>
      <c r="Q27" s="198"/>
      <c r="R27" s="198"/>
      <c r="S27" s="198"/>
      <c r="T27" s="198"/>
      <c r="U27" s="200">
        <f>100-100</f>
        <v>0</v>
      </c>
      <c r="V27" s="198"/>
      <c r="W27" s="198"/>
      <c r="X27" s="198"/>
      <c r="Y27" s="200">
        <f>100-100</f>
        <v>0</v>
      </c>
      <c r="Z27" s="198"/>
      <c r="AA27" s="198"/>
      <c r="AB27" s="200">
        <f>200-200</f>
        <v>0</v>
      </c>
      <c r="AC27" s="198"/>
      <c r="AD27" s="198"/>
      <c r="AE27" s="200">
        <f>100-100</f>
        <v>0</v>
      </c>
      <c r="AF27" s="198"/>
      <c r="AG27" s="198"/>
      <c r="AH27" s="198"/>
      <c r="AI27" s="200">
        <f>100-100</f>
        <v>0</v>
      </c>
      <c r="AJ27" s="200">
        <f>60-60</f>
        <v>0</v>
      </c>
      <c r="AK27" s="198"/>
      <c r="AL27" s="198"/>
      <c r="AM27" s="200">
        <f>100-100</f>
        <v>0</v>
      </c>
      <c r="AN27" s="198"/>
      <c r="AO27" s="198"/>
      <c r="AP27" s="198"/>
      <c r="AQ27" s="198"/>
      <c r="AR27" s="198"/>
      <c r="AS27" s="198"/>
      <c r="AT27" s="198"/>
      <c r="AU27" s="199">
        <f>300-300+20</f>
        <v>20</v>
      </c>
      <c r="AV27" s="198"/>
      <c r="AW27" s="198"/>
      <c r="AX27" s="198"/>
      <c r="AY27" s="198"/>
      <c r="AZ27" s="198"/>
      <c r="BA27" s="198"/>
      <c r="BB27" s="198"/>
      <c r="BC27" s="198"/>
      <c r="BD27" s="198"/>
      <c r="BE27" s="198"/>
      <c r="BF27" s="198"/>
      <c r="BG27" s="206">
        <f>0+60</f>
        <v>60</v>
      </c>
      <c r="BH27" s="198"/>
      <c r="BI27" s="198"/>
      <c r="BJ27" s="198"/>
      <c r="BK27" s="198"/>
      <c r="BL27" s="198"/>
      <c r="BM27" s="198"/>
      <c r="BN27" s="198"/>
      <c r="BO27" s="198"/>
      <c r="BP27" s="198"/>
      <c r="BQ27" s="198"/>
      <c r="BR27" s="198"/>
      <c r="BS27" s="198"/>
      <c r="BT27" s="198"/>
      <c r="BU27" s="198"/>
      <c r="BV27" s="198"/>
      <c r="BW27" s="198"/>
      <c r="BX27" s="198"/>
      <c r="BY27" s="198"/>
      <c r="BZ27" s="198"/>
      <c r="CA27" s="198"/>
      <c r="CB27" s="198"/>
      <c r="CC27" s="198"/>
      <c r="CD27" s="198"/>
      <c r="CE27" s="198"/>
      <c r="CF27" s="198"/>
      <c r="CG27" s="198"/>
      <c r="CH27" s="198"/>
      <c r="CI27" s="198"/>
      <c r="CJ27" s="198"/>
      <c r="CK27" s="198"/>
      <c r="CL27" s="198"/>
      <c r="CM27" s="198"/>
      <c r="CN27" s="198"/>
      <c r="CO27" s="198"/>
      <c r="CP27" s="198"/>
      <c r="CQ27" s="198"/>
      <c r="CR27" s="198"/>
      <c r="CS27" s="198"/>
      <c r="CT27" s="198"/>
      <c r="CU27" s="198"/>
      <c r="CV27" s="198"/>
      <c r="CW27" s="198"/>
      <c r="CX27" s="198"/>
      <c r="CY27" s="198"/>
      <c r="CZ27" s="198"/>
      <c r="DA27" s="198"/>
      <c r="DB27" s="198"/>
      <c r="DC27" s="198"/>
      <c r="DD27" s="198"/>
      <c r="DE27" s="198"/>
      <c r="DF27" s="198"/>
      <c r="DG27" s="198"/>
      <c r="DH27" s="198"/>
      <c r="DI27" s="198"/>
      <c r="DJ27" s="198"/>
      <c r="DK27" s="198"/>
      <c r="DL27" s="198"/>
      <c r="DM27" s="198"/>
      <c r="DN27" s="198"/>
      <c r="DO27" s="198"/>
      <c r="DP27" s="198"/>
      <c r="DQ27" s="198"/>
      <c r="DR27" s="198"/>
      <c r="DS27" s="198"/>
      <c r="DT27" s="198"/>
      <c r="DU27" s="198"/>
      <c r="DV27" s="198"/>
      <c r="DW27" s="198"/>
      <c r="DX27" s="198"/>
      <c r="DY27" s="198"/>
      <c r="DZ27" s="198"/>
      <c r="EA27" s="198"/>
      <c r="EB27" s="198"/>
      <c r="EC27" s="198"/>
      <c r="ED27" s="198"/>
      <c r="EE27" s="200">
        <f>80-80</f>
        <v>0</v>
      </c>
      <c r="EF27" s="198"/>
      <c r="EG27" s="198"/>
      <c r="EH27" s="198"/>
      <c r="EI27" s="198"/>
      <c r="EJ27" s="198"/>
      <c r="EK27" s="200">
        <f t="shared" ref="EK27:EM27" si="26">80-80</f>
        <v>0</v>
      </c>
      <c r="EL27" s="200">
        <f t="shared" si="26"/>
        <v>0</v>
      </c>
      <c r="EM27" s="200">
        <f t="shared" si="26"/>
        <v>0</v>
      </c>
      <c r="EN27" s="198"/>
      <c r="EO27" s="198"/>
      <c r="EP27" s="198"/>
      <c r="EQ27" s="198"/>
      <c r="ER27" s="198"/>
      <c r="ES27" s="200">
        <f>100-100</f>
        <v>0</v>
      </c>
      <c r="ET27" s="198"/>
      <c r="EU27" s="198"/>
      <c r="EV27" s="198"/>
      <c r="EW27" s="198"/>
      <c r="EX27" s="198"/>
      <c r="EY27" s="198"/>
      <c r="EZ27" s="198"/>
      <c r="FA27" s="198"/>
      <c r="FB27" s="198"/>
      <c r="FC27" s="198"/>
      <c r="FD27" s="198"/>
      <c r="FE27" s="198"/>
      <c r="FF27" s="198"/>
      <c r="FG27" s="198"/>
      <c r="FH27" s="198"/>
      <c r="FI27" s="198"/>
      <c r="FJ27" s="198"/>
      <c r="FK27" s="198"/>
      <c r="FL27" s="198"/>
      <c r="FM27" s="198"/>
      <c r="FN27" s="198"/>
      <c r="FO27" s="198"/>
      <c r="FP27" s="201"/>
      <c r="FQ27" s="202" t="s">
        <v>756</v>
      </c>
      <c r="FR27" s="203" t="s">
        <v>389</v>
      </c>
      <c r="FS27" s="203"/>
      <c r="FT27" s="203" t="s">
        <v>413</v>
      </c>
      <c r="FU27" s="204">
        <f t="shared" si="0"/>
        <v>100</v>
      </c>
      <c r="FV27" s="205" t="s">
        <v>414</v>
      </c>
    </row>
    <row r="28" spans="1:178" s="174" customFormat="1" ht="11.4">
      <c r="A28" s="196" t="s">
        <v>385</v>
      </c>
      <c r="B28" s="196" t="s">
        <v>385</v>
      </c>
      <c r="C28" s="196" t="s">
        <v>411</v>
      </c>
      <c r="D28" s="196" t="s">
        <v>291</v>
      </c>
      <c r="E28" s="197" t="s">
        <v>415</v>
      </c>
      <c r="F28" s="196" t="s">
        <v>388</v>
      </c>
      <c r="G28" s="196"/>
      <c r="H28" s="198"/>
      <c r="I28" s="198"/>
      <c r="J28" s="198"/>
      <c r="K28" s="198"/>
      <c r="L28" s="198"/>
      <c r="M28" s="198"/>
      <c r="N28" s="198"/>
      <c r="O28" s="198"/>
      <c r="P28" s="198"/>
      <c r="Q28" s="198"/>
      <c r="R28" s="200">
        <f>60-60</f>
        <v>0</v>
      </c>
      <c r="S28" s="198"/>
      <c r="T28" s="198"/>
      <c r="U28" s="198"/>
      <c r="V28" s="198"/>
      <c r="W28" s="198"/>
      <c r="X28" s="198"/>
      <c r="Y28" s="198"/>
      <c r="Z28" s="198"/>
      <c r="AA28" s="198"/>
      <c r="AB28" s="198"/>
      <c r="AC28" s="198"/>
      <c r="AD28" s="198"/>
      <c r="AE28" s="198"/>
      <c r="AF28" s="198"/>
      <c r="AG28" s="200">
        <f>80-80</f>
        <v>0</v>
      </c>
      <c r="AH28" s="206">
        <f>0+30</f>
        <v>30</v>
      </c>
      <c r="AI28" s="198"/>
      <c r="AJ28" s="198"/>
      <c r="AK28" s="198"/>
      <c r="AL28" s="198"/>
      <c r="AM28" s="198"/>
      <c r="AN28" s="198"/>
      <c r="AO28" s="198"/>
      <c r="AP28" s="198"/>
      <c r="AQ28" s="200">
        <f>500-500</f>
        <v>0</v>
      </c>
      <c r="AR28" s="200">
        <f>1100-1100</f>
        <v>0</v>
      </c>
      <c r="AS28" s="198"/>
      <c r="AT28" s="198"/>
      <c r="AU28" s="198"/>
      <c r="AV28" s="198"/>
      <c r="AW28" s="198"/>
      <c r="AX28" s="198"/>
      <c r="AY28" s="198"/>
      <c r="AZ28" s="198"/>
      <c r="BA28" s="198"/>
      <c r="BB28" s="198"/>
      <c r="BC28" s="198"/>
      <c r="BD28" s="198"/>
      <c r="BE28" s="198"/>
      <c r="BF28" s="198"/>
      <c r="BG28" s="198"/>
      <c r="BH28" s="198"/>
      <c r="BI28" s="198"/>
      <c r="BJ28" s="198"/>
      <c r="BK28" s="198"/>
      <c r="BL28" s="198"/>
      <c r="BM28" s="198"/>
      <c r="BN28" s="198"/>
      <c r="BO28" s="198"/>
      <c r="BP28" s="198"/>
      <c r="BQ28" s="198"/>
      <c r="BR28" s="198"/>
      <c r="BS28" s="198"/>
      <c r="BT28" s="198"/>
      <c r="BU28" s="198"/>
      <c r="BV28" s="198"/>
      <c r="BW28" s="198"/>
      <c r="BX28" s="198"/>
      <c r="BY28" s="198"/>
      <c r="BZ28" s="198"/>
      <c r="CA28" s="198"/>
      <c r="CB28" s="198"/>
      <c r="CC28" s="198"/>
      <c r="CD28" s="198"/>
      <c r="CE28" s="198"/>
      <c r="CF28" s="198"/>
      <c r="CG28" s="198"/>
      <c r="CH28" s="198"/>
      <c r="CI28" s="198"/>
      <c r="CJ28" s="198"/>
      <c r="CK28" s="198"/>
      <c r="CL28" s="198"/>
      <c r="CM28" s="198"/>
      <c r="CN28" s="198"/>
      <c r="CO28" s="198"/>
      <c r="CP28" s="198"/>
      <c r="CQ28" s="198"/>
      <c r="CR28" s="198"/>
      <c r="CS28" s="198"/>
      <c r="CT28" s="198"/>
      <c r="CU28" s="198"/>
      <c r="CV28" s="198"/>
      <c r="CW28" s="198"/>
      <c r="CX28" s="198"/>
      <c r="CY28" s="198"/>
      <c r="CZ28" s="198"/>
      <c r="DA28" s="198"/>
      <c r="DB28" s="198"/>
      <c r="DC28" s="198"/>
      <c r="DD28" s="198"/>
      <c r="DE28" s="198"/>
      <c r="DF28" s="198"/>
      <c r="DG28" s="198"/>
      <c r="DH28" s="198"/>
      <c r="DI28" s="198"/>
      <c r="DJ28" s="198"/>
      <c r="DK28" s="198"/>
      <c r="DL28" s="198"/>
      <c r="DM28" s="198"/>
      <c r="DN28" s="198"/>
      <c r="DO28" s="198"/>
      <c r="DP28" s="198"/>
      <c r="DQ28" s="198"/>
      <c r="DR28" s="198"/>
      <c r="DS28" s="198"/>
      <c r="DT28" s="198"/>
      <c r="DU28" s="198"/>
      <c r="DV28" s="198"/>
      <c r="DW28" s="198"/>
      <c r="DX28" s="198"/>
      <c r="DY28" s="198"/>
      <c r="DZ28" s="198"/>
      <c r="EA28" s="198"/>
      <c r="EB28" s="198"/>
      <c r="EC28" s="198"/>
      <c r="ED28" s="198"/>
      <c r="EE28" s="198"/>
      <c r="EF28" s="198"/>
      <c r="EG28" s="198"/>
      <c r="EH28" s="198"/>
      <c r="EI28" s="198"/>
      <c r="EJ28" s="198"/>
      <c r="EK28" s="198"/>
      <c r="EL28" s="198"/>
      <c r="EM28" s="198"/>
      <c r="EN28" s="198"/>
      <c r="EO28" s="198"/>
      <c r="EP28" s="198"/>
      <c r="EQ28" s="198"/>
      <c r="ER28" s="198"/>
      <c r="ES28" s="198"/>
      <c r="ET28" s="198"/>
      <c r="EU28" s="198"/>
      <c r="EV28" s="198"/>
      <c r="EW28" s="198"/>
      <c r="EX28" s="198"/>
      <c r="EY28" s="198"/>
      <c r="EZ28" s="198"/>
      <c r="FA28" s="198"/>
      <c r="FB28" s="198"/>
      <c r="FC28" s="198"/>
      <c r="FD28" s="198"/>
      <c r="FE28" s="198"/>
      <c r="FF28" s="198"/>
      <c r="FG28" s="198"/>
      <c r="FH28" s="198"/>
      <c r="FI28" s="198"/>
      <c r="FJ28" s="198"/>
      <c r="FK28" s="198"/>
      <c r="FL28" s="198"/>
      <c r="FM28" s="198"/>
      <c r="FN28" s="198"/>
      <c r="FO28" s="198"/>
      <c r="FP28" s="201"/>
      <c r="FQ28" s="202" t="s">
        <v>756</v>
      </c>
      <c r="FR28" s="203" t="s">
        <v>389</v>
      </c>
      <c r="FS28" s="203"/>
      <c r="FT28" s="203" t="s">
        <v>416</v>
      </c>
      <c r="FU28" s="204">
        <f t="shared" si="0"/>
        <v>30</v>
      </c>
      <c r="FV28" s="205" t="s">
        <v>414</v>
      </c>
    </row>
    <row r="29" spans="1:178" s="174" customFormat="1" ht="11.4">
      <c r="A29" s="196" t="s">
        <v>385</v>
      </c>
      <c r="B29" s="196" t="s">
        <v>385</v>
      </c>
      <c r="C29" s="196" t="s">
        <v>411</v>
      </c>
      <c r="D29" s="196" t="s">
        <v>1</v>
      </c>
      <c r="E29" s="197" t="s">
        <v>415</v>
      </c>
      <c r="F29" s="196" t="s">
        <v>388</v>
      </c>
      <c r="G29" s="196"/>
      <c r="H29" s="198"/>
      <c r="I29" s="198"/>
      <c r="J29" s="198"/>
      <c r="K29" s="198"/>
      <c r="L29" s="198"/>
      <c r="M29" s="198"/>
      <c r="N29" s="198"/>
      <c r="O29" s="198"/>
      <c r="P29" s="198"/>
      <c r="Q29" s="198"/>
      <c r="R29" s="198"/>
      <c r="S29" s="198"/>
      <c r="T29" s="198"/>
      <c r="U29" s="200">
        <f>60-60</f>
        <v>0</v>
      </c>
      <c r="V29" s="198"/>
      <c r="W29" s="200">
        <f t="shared" ref="W29:X29" si="27">60-60</f>
        <v>0</v>
      </c>
      <c r="X29" s="200">
        <f t="shared" si="27"/>
        <v>0</v>
      </c>
      <c r="Y29" s="200">
        <f>80-80</f>
        <v>0</v>
      </c>
      <c r="Z29" s="200">
        <f>60-60</f>
        <v>0</v>
      </c>
      <c r="AA29" s="200">
        <f>70-70</f>
        <v>0</v>
      </c>
      <c r="AB29" s="200">
        <f>100-100</f>
        <v>0</v>
      </c>
      <c r="AC29" s="200">
        <f>60-60</f>
        <v>0</v>
      </c>
      <c r="AD29" s="200">
        <f t="shared" ref="AD29:AF29" si="28">80-80</f>
        <v>0</v>
      </c>
      <c r="AE29" s="200">
        <f t="shared" si="28"/>
        <v>0</v>
      </c>
      <c r="AF29" s="200">
        <f t="shared" si="28"/>
        <v>0</v>
      </c>
      <c r="AG29" s="198"/>
      <c r="AH29" s="200">
        <f t="shared" ref="AH29:AJ29" si="29">80-80</f>
        <v>0</v>
      </c>
      <c r="AI29" s="200">
        <f t="shared" si="29"/>
        <v>0</v>
      </c>
      <c r="AJ29" s="200">
        <f t="shared" si="29"/>
        <v>0</v>
      </c>
      <c r="AK29" s="198"/>
      <c r="AL29" s="200">
        <f t="shared" ref="AL29:AM29" si="30">80-80</f>
        <v>0</v>
      </c>
      <c r="AM29" s="200">
        <f t="shared" si="30"/>
        <v>0</v>
      </c>
      <c r="AN29" s="198"/>
      <c r="AO29" s="198"/>
      <c r="AP29" s="198"/>
      <c r="AQ29" s="198"/>
      <c r="AR29" s="198"/>
      <c r="AS29" s="200">
        <f>420-420</f>
        <v>0</v>
      </c>
      <c r="AT29" s="198"/>
      <c r="AU29" s="199">
        <f>440-440+30</f>
        <v>30</v>
      </c>
      <c r="AV29" s="198"/>
      <c r="AW29" s="198"/>
      <c r="AX29" s="198"/>
      <c r="AY29" s="198"/>
      <c r="AZ29" s="198"/>
      <c r="BA29" s="198"/>
      <c r="BB29" s="198"/>
      <c r="BC29" s="198"/>
      <c r="BD29" s="198"/>
      <c r="BE29" s="198"/>
      <c r="BF29" s="198"/>
      <c r="BG29" s="198"/>
      <c r="BH29" s="198"/>
      <c r="BI29" s="198"/>
      <c r="BJ29" s="198"/>
      <c r="BK29" s="198"/>
      <c r="BL29" s="198"/>
      <c r="BM29" s="198"/>
      <c r="BN29" s="198"/>
      <c r="BO29" s="198"/>
      <c r="BP29" s="198"/>
      <c r="BQ29" s="198"/>
      <c r="BR29" s="198"/>
      <c r="BS29" s="198"/>
      <c r="BT29" s="198"/>
      <c r="BU29" s="198"/>
      <c r="BV29" s="198"/>
      <c r="BW29" s="198"/>
      <c r="BX29" s="198"/>
      <c r="BY29" s="198"/>
      <c r="BZ29" s="198"/>
      <c r="CA29" s="198"/>
      <c r="CB29" s="198"/>
      <c r="CC29" s="198"/>
      <c r="CD29" s="198"/>
      <c r="CE29" s="198"/>
      <c r="CF29" s="198"/>
      <c r="CG29" s="198"/>
      <c r="CH29" s="198"/>
      <c r="CI29" s="198"/>
      <c r="CJ29" s="198"/>
      <c r="CK29" s="198"/>
      <c r="CL29" s="198"/>
      <c r="CM29" s="198"/>
      <c r="CN29" s="198"/>
      <c r="CO29" s="198"/>
      <c r="CP29" s="198"/>
      <c r="CQ29" s="198"/>
      <c r="CR29" s="198"/>
      <c r="CS29" s="198"/>
      <c r="CT29" s="198"/>
      <c r="CU29" s="198"/>
      <c r="CV29" s="198"/>
      <c r="CW29" s="198"/>
      <c r="CX29" s="198"/>
      <c r="CY29" s="198"/>
      <c r="CZ29" s="198"/>
      <c r="DA29" s="198"/>
      <c r="DB29" s="198"/>
      <c r="DC29" s="198"/>
      <c r="DD29" s="198"/>
      <c r="DE29" s="198"/>
      <c r="DF29" s="198"/>
      <c r="DG29" s="198"/>
      <c r="DH29" s="198"/>
      <c r="DI29" s="198"/>
      <c r="DJ29" s="198"/>
      <c r="DK29" s="198"/>
      <c r="DL29" s="198"/>
      <c r="DM29" s="198"/>
      <c r="DN29" s="198"/>
      <c r="DO29" s="198"/>
      <c r="DP29" s="198"/>
      <c r="DQ29" s="198"/>
      <c r="DR29" s="198"/>
      <c r="DS29" s="198"/>
      <c r="DT29" s="198"/>
      <c r="DU29" s="198"/>
      <c r="DV29" s="198"/>
      <c r="DW29" s="198"/>
      <c r="DX29" s="198"/>
      <c r="DY29" s="198"/>
      <c r="DZ29" s="198"/>
      <c r="EA29" s="198"/>
      <c r="EB29" s="198"/>
      <c r="EC29" s="198"/>
      <c r="ED29" s="198"/>
      <c r="EE29" s="200">
        <f t="shared" ref="EE29:EF29" si="31">100-100</f>
        <v>0</v>
      </c>
      <c r="EF29" s="200">
        <f t="shared" si="31"/>
        <v>0</v>
      </c>
      <c r="EG29" s="200">
        <f>50-50</f>
        <v>0</v>
      </c>
      <c r="EH29" s="200">
        <f>90-90</f>
        <v>0</v>
      </c>
      <c r="EI29" s="200">
        <f>100-100</f>
        <v>0</v>
      </c>
      <c r="EJ29" s="200">
        <f>90-90</f>
        <v>0</v>
      </c>
      <c r="EK29" s="200">
        <f t="shared" ref="EK29:EM29" si="32">120-120</f>
        <v>0</v>
      </c>
      <c r="EL29" s="200">
        <f t="shared" si="32"/>
        <v>0</v>
      </c>
      <c r="EM29" s="200">
        <f t="shared" si="32"/>
        <v>0</v>
      </c>
      <c r="EN29" s="198"/>
      <c r="EO29" s="198"/>
      <c r="EP29" s="198"/>
      <c r="EQ29" s="200">
        <f>80-80</f>
        <v>0</v>
      </c>
      <c r="ER29" s="200">
        <f>250-250</f>
        <v>0</v>
      </c>
      <c r="ES29" s="200">
        <f>300-300</f>
        <v>0</v>
      </c>
      <c r="ET29" s="198"/>
      <c r="EU29" s="198"/>
      <c r="EV29" s="198"/>
      <c r="EW29" s="198"/>
      <c r="EX29" s="198"/>
      <c r="EY29" s="198"/>
      <c r="EZ29" s="198"/>
      <c r="FA29" s="198"/>
      <c r="FB29" s="198"/>
      <c r="FC29" s="198"/>
      <c r="FD29" s="198"/>
      <c r="FE29" s="198"/>
      <c r="FF29" s="198"/>
      <c r="FG29" s="198"/>
      <c r="FH29" s="198"/>
      <c r="FI29" s="198"/>
      <c r="FJ29" s="198"/>
      <c r="FK29" s="200">
        <f>250-250</f>
        <v>0</v>
      </c>
      <c r="FL29" s="200">
        <f>100-100</f>
        <v>0</v>
      </c>
      <c r="FM29" s="199">
        <f>250-250+10</f>
        <v>10</v>
      </c>
      <c r="FN29" s="198"/>
      <c r="FO29" s="198"/>
      <c r="FP29" s="201"/>
      <c r="FQ29" s="202" t="s">
        <v>756</v>
      </c>
      <c r="FR29" s="203" t="s">
        <v>389</v>
      </c>
      <c r="FS29" s="203"/>
      <c r="FT29" s="203" t="s">
        <v>416</v>
      </c>
      <c r="FU29" s="204">
        <f t="shared" si="0"/>
        <v>40</v>
      </c>
      <c r="FV29" s="205" t="s">
        <v>414</v>
      </c>
    </row>
    <row r="30" spans="1:178" s="174" customFormat="1" ht="11.4">
      <c r="A30" s="196" t="s">
        <v>417</v>
      </c>
      <c r="B30" s="196" t="s">
        <v>385</v>
      </c>
      <c r="C30" s="196" t="s">
        <v>411</v>
      </c>
      <c r="D30" s="196" t="s">
        <v>1</v>
      </c>
      <c r="E30" s="197" t="s">
        <v>418</v>
      </c>
      <c r="F30" s="196" t="s">
        <v>388</v>
      </c>
      <c r="G30" s="196"/>
      <c r="H30" s="198"/>
      <c r="I30" s="198"/>
      <c r="J30" s="198"/>
      <c r="K30" s="198"/>
      <c r="L30" s="198"/>
      <c r="M30" s="198"/>
      <c r="N30" s="198"/>
      <c r="O30" s="198"/>
      <c r="P30" s="198"/>
      <c r="Q30" s="198"/>
      <c r="R30" s="198"/>
      <c r="S30" s="198"/>
      <c r="T30" s="198"/>
      <c r="U30" s="198"/>
      <c r="V30" s="198"/>
      <c r="W30" s="198"/>
      <c r="X30" s="198"/>
      <c r="Y30" s="198"/>
      <c r="Z30" s="198"/>
      <c r="AA30" s="198"/>
      <c r="AB30" s="198"/>
      <c r="AC30" s="198"/>
      <c r="AD30" s="198"/>
      <c r="AE30" s="198"/>
      <c r="AF30" s="198"/>
      <c r="AG30" s="198"/>
      <c r="AH30" s="198"/>
      <c r="AI30" s="198"/>
      <c r="AJ30" s="198"/>
      <c r="AK30" s="198"/>
      <c r="AL30" s="198"/>
      <c r="AM30" s="198"/>
      <c r="AN30" s="198"/>
      <c r="AO30" s="198"/>
      <c r="AP30" s="198"/>
      <c r="AQ30" s="198"/>
      <c r="AR30" s="198"/>
      <c r="AS30" s="198"/>
      <c r="AT30" s="198"/>
      <c r="AU30" s="198"/>
      <c r="AV30" s="198"/>
      <c r="AW30" s="198"/>
      <c r="AX30" s="198"/>
      <c r="AY30" s="198"/>
      <c r="AZ30" s="198"/>
      <c r="BA30" s="198"/>
      <c r="BB30" s="198"/>
      <c r="BC30" s="198"/>
      <c r="BD30" s="198"/>
      <c r="BE30" s="198"/>
      <c r="BF30" s="198"/>
      <c r="BG30" s="198"/>
      <c r="BH30" s="198"/>
      <c r="BI30" s="198"/>
      <c r="BJ30" s="198"/>
      <c r="BK30" s="198"/>
      <c r="BL30" s="198"/>
      <c r="BM30" s="198"/>
      <c r="BN30" s="198"/>
      <c r="BO30" s="198"/>
      <c r="BP30" s="198"/>
      <c r="BQ30" s="198"/>
      <c r="BR30" s="198"/>
      <c r="BS30" s="198"/>
      <c r="BT30" s="198"/>
      <c r="BU30" s="198"/>
      <c r="BV30" s="198"/>
      <c r="BW30" s="198"/>
      <c r="BX30" s="198"/>
      <c r="BY30" s="198"/>
      <c r="BZ30" s="198"/>
      <c r="CA30" s="198"/>
      <c r="CB30" s="198"/>
      <c r="CC30" s="198"/>
      <c r="CD30" s="198"/>
      <c r="CE30" s="198"/>
      <c r="CF30" s="198"/>
      <c r="CG30" s="198"/>
      <c r="CH30" s="200">
        <f>5-5</f>
        <v>0</v>
      </c>
      <c r="CI30" s="198"/>
      <c r="CJ30" s="198"/>
      <c r="CK30" s="198"/>
      <c r="CL30" s="200">
        <f>10-10</f>
        <v>0</v>
      </c>
      <c r="CM30" s="198"/>
      <c r="CN30" s="200">
        <f>20-20</f>
        <v>0</v>
      </c>
      <c r="CO30" s="198"/>
      <c r="CP30" s="198"/>
      <c r="CQ30" s="198"/>
      <c r="CR30" s="198"/>
      <c r="CS30" s="198"/>
      <c r="CT30" s="198"/>
      <c r="CU30" s="198"/>
      <c r="CV30" s="198"/>
      <c r="CW30" s="198"/>
      <c r="CX30" s="198"/>
      <c r="CY30" s="198"/>
      <c r="CZ30" s="198"/>
      <c r="DA30" s="198"/>
      <c r="DB30" s="198"/>
      <c r="DC30" s="198"/>
      <c r="DD30" s="198"/>
      <c r="DE30" s="198"/>
      <c r="DF30" s="198"/>
      <c r="DG30" s="198"/>
      <c r="DH30" s="198"/>
      <c r="DI30" s="198"/>
      <c r="DJ30" s="198"/>
      <c r="DK30" s="198"/>
      <c r="DL30" s="200">
        <f>5-5</f>
        <v>0</v>
      </c>
      <c r="DM30" s="198"/>
      <c r="DN30" s="198"/>
      <c r="DO30" s="198"/>
      <c r="DP30" s="198"/>
      <c r="DQ30" s="198"/>
      <c r="DR30" s="198"/>
      <c r="DS30" s="198"/>
      <c r="DT30" s="198"/>
      <c r="DU30" s="198"/>
      <c r="DV30" s="198"/>
      <c r="DW30" s="198"/>
      <c r="DX30" s="198"/>
      <c r="DY30" s="198"/>
      <c r="DZ30" s="198"/>
      <c r="EA30" s="198"/>
      <c r="EB30" s="198"/>
      <c r="EC30" s="198"/>
      <c r="ED30" s="198"/>
      <c r="EE30" s="198"/>
      <c r="EF30" s="198"/>
      <c r="EG30" s="198"/>
      <c r="EH30" s="198"/>
      <c r="EI30" s="198"/>
      <c r="EJ30" s="198"/>
      <c r="EK30" s="198"/>
      <c r="EL30" s="198"/>
      <c r="EM30" s="198"/>
      <c r="EN30" s="198"/>
      <c r="EO30" s="198"/>
      <c r="EP30" s="198"/>
      <c r="EQ30" s="198"/>
      <c r="ER30" s="198"/>
      <c r="ES30" s="198"/>
      <c r="ET30" s="198"/>
      <c r="EU30" s="198"/>
      <c r="EV30" s="198"/>
      <c r="EW30" s="198"/>
      <c r="EX30" s="198"/>
      <c r="EY30" s="198"/>
      <c r="EZ30" s="198"/>
      <c r="FA30" s="198"/>
      <c r="FB30" s="200">
        <f>10-10</f>
        <v>0</v>
      </c>
      <c r="FC30" s="198"/>
      <c r="FD30" s="198"/>
      <c r="FE30" s="198"/>
      <c r="FF30" s="198"/>
      <c r="FG30" s="198"/>
      <c r="FH30" s="198"/>
      <c r="FI30" s="198"/>
      <c r="FJ30" s="198"/>
      <c r="FK30" s="198"/>
      <c r="FL30" s="198"/>
      <c r="FM30" s="198"/>
      <c r="FN30" s="198"/>
      <c r="FO30" s="198"/>
      <c r="FP30" s="201"/>
      <c r="FQ30" s="202" t="s">
        <v>756</v>
      </c>
      <c r="FR30" s="203" t="s">
        <v>389</v>
      </c>
      <c r="FS30" s="203" t="s">
        <v>419</v>
      </c>
      <c r="FT30" s="203" t="s">
        <v>420</v>
      </c>
      <c r="FU30" s="204">
        <f t="shared" si="0"/>
        <v>0</v>
      </c>
      <c r="FV30" s="205" t="s">
        <v>421</v>
      </c>
    </row>
    <row r="31" spans="1:178" s="174" customFormat="1" ht="11.4">
      <c r="A31" s="196" t="s">
        <v>393</v>
      </c>
      <c r="B31" s="196" t="s">
        <v>385</v>
      </c>
      <c r="C31" s="196" t="s">
        <v>411</v>
      </c>
      <c r="D31" s="196" t="s">
        <v>291</v>
      </c>
      <c r="E31" s="197" t="s">
        <v>422</v>
      </c>
      <c r="F31" s="196" t="s">
        <v>388</v>
      </c>
      <c r="G31" s="196"/>
      <c r="H31" s="198"/>
      <c r="I31" s="198"/>
      <c r="J31" s="198"/>
      <c r="K31" s="198"/>
      <c r="L31" s="198"/>
      <c r="M31" s="198"/>
      <c r="N31" s="198"/>
      <c r="O31" s="198"/>
      <c r="P31" s="198"/>
      <c r="Q31" s="198"/>
      <c r="R31" s="198"/>
      <c r="S31" s="198"/>
      <c r="T31" s="198"/>
      <c r="U31" s="198"/>
      <c r="V31" s="198"/>
      <c r="W31" s="198"/>
      <c r="X31" s="198"/>
      <c r="Y31" s="198"/>
      <c r="Z31" s="198"/>
      <c r="AA31" s="198"/>
      <c r="AB31" s="198"/>
      <c r="AC31" s="198"/>
      <c r="AD31" s="198"/>
      <c r="AE31" s="198"/>
      <c r="AF31" s="198"/>
      <c r="AG31" s="200">
        <f>860-860</f>
        <v>0</v>
      </c>
      <c r="AH31" s="206">
        <f>0+100</f>
        <v>100</v>
      </c>
      <c r="AI31" s="198"/>
      <c r="AJ31" s="198"/>
      <c r="AK31" s="198"/>
      <c r="AL31" s="198"/>
      <c r="AM31" s="198"/>
      <c r="AN31" s="198"/>
      <c r="AO31" s="198"/>
      <c r="AP31" s="198"/>
      <c r="AQ31" s="198"/>
      <c r="AR31" s="198"/>
      <c r="AS31" s="198"/>
      <c r="AT31" s="198"/>
      <c r="AU31" s="198"/>
      <c r="AV31" s="198"/>
      <c r="AW31" s="198"/>
      <c r="AX31" s="198"/>
      <c r="AY31" s="198"/>
      <c r="AZ31" s="198"/>
      <c r="BA31" s="198"/>
      <c r="BB31" s="198"/>
      <c r="BC31" s="206">
        <f>0+20</f>
        <v>20</v>
      </c>
      <c r="BD31" s="198"/>
      <c r="BE31" s="198"/>
      <c r="BF31" s="198"/>
      <c r="BG31" s="200">
        <f>600-600</f>
        <v>0</v>
      </c>
      <c r="BH31" s="198"/>
      <c r="BI31" s="198"/>
      <c r="BJ31" s="198"/>
      <c r="BK31" s="198"/>
      <c r="BL31" s="198"/>
      <c r="BM31" s="198"/>
      <c r="BN31" s="198"/>
      <c r="BO31" s="198"/>
      <c r="BP31" s="198"/>
      <c r="BQ31" s="198"/>
      <c r="BR31" s="198"/>
      <c r="BS31" s="198"/>
      <c r="BT31" s="198"/>
      <c r="BU31" s="198"/>
      <c r="BV31" s="198"/>
      <c r="BW31" s="198"/>
      <c r="BX31" s="198"/>
      <c r="BY31" s="198"/>
      <c r="BZ31" s="198"/>
      <c r="CA31" s="198"/>
      <c r="CB31" s="198"/>
      <c r="CC31" s="198"/>
      <c r="CD31" s="198"/>
      <c r="CE31" s="198"/>
      <c r="CF31" s="198"/>
      <c r="CG31" s="198"/>
      <c r="CH31" s="198"/>
      <c r="CI31" s="198"/>
      <c r="CJ31" s="198"/>
      <c r="CK31" s="198"/>
      <c r="CL31" s="198"/>
      <c r="CM31" s="198"/>
      <c r="CN31" s="198"/>
      <c r="CO31" s="198"/>
      <c r="CP31" s="198"/>
      <c r="CQ31" s="198"/>
      <c r="CR31" s="198"/>
      <c r="CS31" s="198"/>
      <c r="CT31" s="198"/>
      <c r="CU31" s="198"/>
      <c r="CV31" s="198"/>
      <c r="CW31" s="198"/>
      <c r="CX31" s="198"/>
      <c r="CY31" s="198"/>
      <c r="CZ31" s="198"/>
      <c r="DA31" s="198"/>
      <c r="DB31" s="198"/>
      <c r="DC31" s="198"/>
      <c r="DD31" s="198"/>
      <c r="DE31" s="198"/>
      <c r="DF31" s="198"/>
      <c r="DG31" s="198"/>
      <c r="DH31" s="198"/>
      <c r="DI31" s="198"/>
      <c r="DJ31" s="198"/>
      <c r="DK31" s="198"/>
      <c r="DL31" s="198"/>
      <c r="DM31" s="198"/>
      <c r="DN31" s="198"/>
      <c r="DO31" s="198"/>
      <c r="DP31" s="198"/>
      <c r="DQ31" s="198"/>
      <c r="DR31" s="198"/>
      <c r="DS31" s="198"/>
      <c r="DT31" s="198"/>
      <c r="DU31" s="198"/>
      <c r="DV31" s="198"/>
      <c r="DW31" s="198"/>
      <c r="DX31" s="198"/>
      <c r="DY31" s="198"/>
      <c r="DZ31" s="198"/>
      <c r="EA31" s="198"/>
      <c r="EB31" s="198"/>
      <c r="EC31" s="198"/>
      <c r="ED31" s="198"/>
      <c r="EE31" s="198"/>
      <c r="EF31" s="198"/>
      <c r="EG31" s="198"/>
      <c r="EH31" s="198"/>
      <c r="EI31" s="198"/>
      <c r="EJ31" s="198"/>
      <c r="EK31" s="198"/>
      <c r="EL31" s="198"/>
      <c r="EM31" s="198"/>
      <c r="EN31" s="198"/>
      <c r="EO31" s="198"/>
      <c r="EP31" s="198"/>
      <c r="EQ31" s="198"/>
      <c r="ER31" s="198"/>
      <c r="ES31" s="198"/>
      <c r="ET31" s="198"/>
      <c r="EU31" s="198"/>
      <c r="EV31" s="198"/>
      <c r="EW31" s="198"/>
      <c r="EX31" s="198"/>
      <c r="EY31" s="198"/>
      <c r="EZ31" s="198"/>
      <c r="FA31" s="198"/>
      <c r="FB31" s="198"/>
      <c r="FC31" s="198"/>
      <c r="FD31" s="198"/>
      <c r="FE31" s="198"/>
      <c r="FF31" s="198"/>
      <c r="FG31" s="198"/>
      <c r="FH31" s="198"/>
      <c r="FI31" s="198"/>
      <c r="FJ31" s="198"/>
      <c r="FK31" s="198"/>
      <c r="FL31" s="198"/>
      <c r="FM31" s="198"/>
      <c r="FN31" s="198"/>
      <c r="FO31" s="198"/>
      <c r="FP31" s="201"/>
      <c r="FQ31" s="202" t="s">
        <v>756</v>
      </c>
      <c r="FR31" s="203" t="s">
        <v>389</v>
      </c>
      <c r="FS31" s="203"/>
      <c r="FT31" s="203" t="s">
        <v>423</v>
      </c>
      <c r="FU31" s="204">
        <f t="shared" si="0"/>
        <v>120</v>
      </c>
      <c r="FV31" s="205" t="s">
        <v>424</v>
      </c>
    </row>
    <row r="32" spans="1:178" s="174" customFormat="1" ht="11.4">
      <c r="A32" s="196" t="s">
        <v>393</v>
      </c>
      <c r="B32" s="196" t="s">
        <v>385</v>
      </c>
      <c r="C32" s="196" t="s">
        <v>411</v>
      </c>
      <c r="D32" s="196" t="s">
        <v>1</v>
      </c>
      <c r="E32" s="197" t="s">
        <v>422</v>
      </c>
      <c r="F32" s="196" t="s">
        <v>388</v>
      </c>
      <c r="G32" s="196"/>
      <c r="H32" s="198"/>
      <c r="I32" s="198"/>
      <c r="J32" s="198"/>
      <c r="K32" s="198"/>
      <c r="L32" s="198"/>
      <c r="M32" s="198"/>
      <c r="N32" s="198"/>
      <c r="O32" s="198"/>
      <c r="P32" s="198"/>
      <c r="Q32" s="198"/>
      <c r="R32" s="198"/>
      <c r="S32" s="198"/>
      <c r="T32" s="198"/>
      <c r="U32" s="198"/>
      <c r="V32" s="198"/>
      <c r="W32" s="198"/>
      <c r="X32" s="198"/>
      <c r="Y32" s="198"/>
      <c r="Z32" s="198"/>
      <c r="AA32" s="198"/>
      <c r="AB32" s="200">
        <f>460-460</f>
        <v>0</v>
      </c>
      <c r="AC32" s="200">
        <f>200-200</f>
        <v>0</v>
      </c>
      <c r="AD32" s="198"/>
      <c r="AE32" s="198"/>
      <c r="AF32" s="200">
        <f>140-140</f>
        <v>0</v>
      </c>
      <c r="AG32" s="198"/>
      <c r="AH32" s="200">
        <f>350-350</f>
        <v>0</v>
      </c>
      <c r="AI32" s="198"/>
      <c r="AJ32" s="198"/>
      <c r="AK32" s="198"/>
      <c r="AL32" s="198"/>
      <c r="AM32" s="200">
        <f>110-110</f>
        <v>0</v>
      </c>
      <c r="AN32" s="198"/>
      <c r="AO32" s="198"/>
      <c r="AP32" s="198"/>
      <c r="AQ32" s="198"/>
      <c r="AR32" s="198"/>
      <c r="AS32" s="198"/>
      <c r="AT32" s="198"/>
      <c r="AU32" s="199">
        <f>1100-1100+160</f>
        <v>160</v>
      </c>
      <c r="AV32" s="198"/>
      <c r="AW32" s="198"/>
      <c r="AX32" s="198"/>
      <c r="AY32" s="198"/>
      <c r="AZ32" s="198"/>
      <c r="BA32" s="198"/>
      <c r="BB32" s="198"/>
      <c r="BC32" s="200">
        <f>550-550</f>
        <v>0</v>
      </c>
      <c r="BD32" s="198"/>
      <c r="BE32" s="198"/>
      <c r="BF32" s="198"/>
      <c r="BG32" s="206">
        <f>0+200</f>
        <v>200</v>
      </c>
      <c r="BH32" s="198"/>
      <c r="BI32" s="198"/>
      <c r="BJ32" s="198"/>
      <c r="BK32" s="198"/>
      <c r="BL32" s="198"/>
      <c r="BM32" s="198"/>
      <c r="BN32" s="198"/>
      <c r="BO32" s="198"/>
      <c r="BP32" s="198"/>
      <c r="BQ32" s="198"/>
      <c r="BR32" s="198"/>
      <c r="BS32" s="198"/>
      <c r="BT32" s="198"/>
      <c r="BU32" s="198"/>
      <c r="BV32" s="198"/>
      <c r="BW32" s="198"/>
      <c r="BX32" s="198"/>
      <c r="BY32" s="198"/>
      <c r="BZ32" s="198"/>
      <c r="CA32" s="198"/>
      <c r="CB32" s="198"/>
      <c r="CC32" s="198"/>
      <c r="CD32" s="198"/>
      <c r="CE32" s="198"/>
      <c r="CF32" s="198"/>
      <c r="CG32" s="198"/>
      <c r="CH32" s="198"/>
      <c r="CI32" s="198"/>
      <c r="CJ32" s="198"/>
      <c r="CK32" s="198"/>
      <c r="CL32" s="198"/>
      <c r="CM32" s="198"/>
      <c r="CN32" s="198"/>
      <c r="CO32" s="198"/>
      <c r="CP32" s="198"/>
      <c r="CQ32" s="198"/>
      <c r="CR32" s="198"/>
      <c r="CS32" s="198"/>
      <c r="CT32" s="198"/>
      <c r="CU32" s="198"/>
      <c r="CV32" s="198"/>
      <c r="CW32" s="198"/>
      <c r="CX32" s="198"/>
      <c r="CY32" s="198"/>
      <c r="CZ32" s="198"/>
      <c r="DA32" s="198"/>
      <c r="DB32" s="198"/>
      <c r="DC32" s="198"/>
      <c r="DD32" s="198"/>
      <c r="DE32" s="198"/>
      <c r="DF32" s="198"/>
      <c r="DG32" s="198"/>
      <c r="DH32" s="198"/>
      <c r="DI32" s="198"/>
      <c r="DJ32" s="198"/>
      <c r="DK32" s="198"/>
      <c r="DL32" s="198"/>
      <c r="DM32" s="198"/>
      <c r="DN32" s="198"/>
      <c r="DO32" s="198"/>
      <c r="DP32" s="198"/>
      <c r="DQ32" s="198"/>
      <c r="DR32" s="198"/>
      <c r="DS32" s="198"/>
      <c r="DT32" s="198"/>
      <c r="DU32" s="198"/>
      <c r="DV32" s="198"/>
      <c r="DW32" s="198"/>
      <c r="DX32" s="198"/>
      <c r="DY32" s="198"/>
      <c r="DZ32" s="198"/>
      <c r="EA32" s="198"/>
      <c r="EB32" s="198"/>
      <c r="EC32" s="198"/>
      <c r="ED32" s="198"/>
      <c r="EE32" s="200">
        <f>90-90</f>
        <v>0</v>
      </c>
      <c r="EF32" s="200">
        <f>80-80</f>
        <v>0</v>
      </c>
      <c r="EG32" s="198"/>
      <c r="EH32" s="198"/>
      <c r="EI32" s="200">
        <f>550-550</f>
        <v>0</v>
      </c>
      <c r="EJ32" s="200">
        <f>500-500</f>
        <v>0</v>
      </c>
      <c r="EK32" s="200">
        <f>600-600</f>
        <v>0</v>
      </c>
      <c r="EL32" s="200">
        <f>100-100</f>
        <v>0</v>
      </c>
      <c r="EM32" s="200">
        <f>150-150</f>
        <v>0</v>
      </c>
      <c r="EN32" s="198"/>
      <c r="EO32" s="198"/>
      <c r="EP32" s="198"/>
      <c r="EQ32" s="198"/>
      <c r="ER32" s="198"/>
      <c r="ES32" s="198"/>
      <c r="ET32" s="198"/>
      <c r="EU32" s="198"/>
      <c r="EV32" s="198"/>
      <c r="EW32" s="198"/>
      <c r="EX32" s="198"/>
      <c r="EY32" s="198"/>
      <c r="EZ32" s="198"/>
      <c r="FA32" s="198"/>
      <c r="FB32" s="198"/>
      <c r="FC32" s="198"/>
      <c r="FD32" s="198"/>
      <c r="FE32" s="198"/>
      <c r="FF32" s="198"/>
      <c r="FG32" s="198"/>
      <c r="FH32" s="198"/>
      <c r="FI32" s="198"/>
      <c r="FJ32" s="198"/>
      <c r="FK32" s="198"/>
      <c r="FL32" s="198"/>
      <c r="FM32" s="198"/>
      <c r="FN32" s="198"/>
      <c r="FO32" s="198"/>
      <c r="FP32" s="201"/>
      <c r="FQ32" s="202" t="s">
        <v>756</v>
      </c>
      <c r="FR32" s="203" t="s">
        <v>389</v>
      </c>
      <c r="FS32" s="203"/>
      <c r="FT32" s="203" t="s">
        <v>423</v>
      </c>
      <c r="FU32" s="204">
        <f t="shared" si="0"/>
        <v>360</v>
      </c>
      <c r="FV32" s="205" t="s">
        <v>424</v>
      </c>
    </row>
    <row r="33" spans="1:178" s="174" customFormat="1" ht="11.4">
      <c r="A33" s="196" t="s">
        <v>393</v>
      </c>
      <c r="B33" s="196" t="s">
        <v>385</v>
      </c>
      <c r="C33" s="196" t="s">
        <v>411</v>
      </c>
      <c r="D33" s="196" t="s">
        <v>291</v>
      </c>
      <c r="E33" s="197" t="s">
        <v>425</v>
      </c>
      <c r="F33" s="196" t="s">
        <v>388</v>
      </c>
      <c r="G33" s="196"/>
      <c r="H33" s="198"/>
      <c r="I33" s="198"/>
      <c r="J33" s="198"/>
      <c r="K33" s="198"/>
      <c r="L33" s="198"/>
      <c r="M33" s="198"/>
      <c r="N33" s="198"/>
      <c r="O33" s="198"/>
      <c r="P33" s="198"/>
      <c r="Q33" s="198"/>
      <c r="R33" s="198"/>
      <c r="S33" s="198"/>
      <c r="T33" s="198"/>
      <c r="U33" s="198"/>
      <c r="V33" s="198"/>
      <c r="W33" s="198"/>
      <c r="X33" s="198"/>
      <c r="Y33" s="198"/>
      <c r="Z33" s="198"/>
      <c r="AA33" s="198"/>
      <c r="AB33" s="198"/>
      <c r="AC33" s="198"/>
      <c r="AD33" s="198"/>
      <c r="AE33" s="198"/>
      <c r="AF33" s="198"/>
      <c r="AG33" s="200">
        <f>100-100</f>
        <v>0</v>
      </c>
      <c r="AH33" s="198"/>
      <c r="AI33" s="198"/>
      <c r="AJ33" s="198"/>
      <c r="AK33" s="198"/>
      <c r="AL33" s="198"/>
      <c r="AM33" s="198"/>
      <c r="AN33" s="198"/>
      <c r="AO33" s="206">
        <f>0+30</f>
        <v>30</v>
      </c>
      <c r="AP33" s="198"/>
      <c r="AQ33" s="200">
        <f t="shared" ref="AQ33:AR33" si="33">200-200</f>
        <v>0</v>
      </c>
      <c r="AR33" s="200">
        <f t="shared" si="33"/>
        <v>0</v>
      </c>
      <c r="AS33" s="198"/>
      <c r="AT33" s="198"/>
      <c r="AU33" s="198"/>
      <c r="AV33" s="198"/>
      <c r="AW33" s="198"/>
      <c r="AX33" s="198"/>
      <c r="AY33" s="198"/>
      <c r="AZ33" s="198"/>
      <c r="BA33" s="198"/>
      <c r="BB33" s="198"/>
      <c r="BC33" s="198"/>
      <c r="BD33" s="198"/>
      <c r="BE33" s="198"/>
      <c r="BF33" s="198"/>
      <c r="BG33" s="198"/>
      <c r="BH33" s="198"/>
      <c r="BI33" s="198"/>
      <c r="BJ33" s="198"/>
      <c r="BK33" s="198"/>
      <c r="BL33" s="198"/>
      <c r="BM33" s="198"/>
      <c r="BN33" s="198"/>
      <c r="BO33" s="198"/>
      <c r="BP33" s="198"/>
      <c r="BQ33" s="198"/>
      <c r="BR33" s="198"/>
      <c r="BS33" s="198"/>
      <c r="BT33" s="198"/>
      <c r="BU33" s="198"/>
      <c r="BV33" s="198"/>
      <c r="BW33" s="198"/>
      <c r="BX33" s="198"/>
      <c r="BY33" s="198"/>
      <c r="BZ33" s="198"/>
      <c r="CA33" s="198"/>
      <c r="CB33" s="198"/>
      <c r="CC33" s="198"/>
      <c r="CD33" s="198"/>
      <c r="CE33" s="198"/>
      <c r="CF33" s="198"/>
      <c r="CG33" s="198"/>
      <c r="CH33" s="198"/>
      <c r="CI33" s="198"/>
      <c r="CJ33" s="198"/>
      <c r="CK33" s="198"/>
      <c r="CL33" s="198"/>
      <c r="CM33" s="198"/>
      <c r="CN33" s="198"/>
      <c r="CO33" s="198"/>
      <c r="CP33" s="198"/>
      <c r="CQ33" s="198"/>
      <c r="CR33" s="198"/>
      <c r="CS33" s="198"/>
      <c r="CT33" s="198"/>
      <c r="CU33" s="198"/>
      <c r="CV33" s="198"/>
      <c r="CW33" s="198"/>
      <c r="CX33" s="198"/>
      <c r="CY33" s="198"/>
      <c r="CZ33" s="198"/>
      <c r="DA33" s="198"/>
      <c r="DB33" s="198"/>
      <c r="DC33" s="198"/>
      <c r="DD33" s="198"/>
      <c r="DE33" s="198"/>
      <c r="DF33" s="198"/>
      <c r="DG33" s="198"/>
      <c r="DH33" s="198"/>
      <c r="DI33" s="198"/>
      <c r="DJ33" s="198"/>
      <c r="DK33" s="198"/>
      <c r="DL33" s="198"/>
      <c r="DM33" s="198"/>
      <c r="DN33" s="198"/>
      <c r="DO33" s="198"/>
      <c r="DP33" s="198"/>
      <c r="DQ33" s="198"/>
      <c r="DR33" s="198"/>
      <c r="DS33" s="198"/>
      <c r="DT33" s="198"/>
      <c r="DU33" s="198"/>
      <c r="DV33" s="198"/>
      <c r="DW33" s="198"/>
      <c r="DX33" s="198"/>
      <c r="DY33" s="198"/>
      <c r="DZ33" s="198"/>
      <c r="EA33" s="198"/>
      <c r="EB33" s="198"/>
      <c r="EC33" s="198"/>
      <c r="ED33" s="198"/>
      <c r="EE33" s="198"/>
      <c r="EF33" s="198"/>
      <c r="EG33" s="198"/>
      <c r="EH33" s="198"/>
      <c r="EI33" s="198"/>
      <c r="EJ33" s="198"/>
      <c r="EK33" s="198"/>
      <c r="EL33" s="198"/>
      <c r="EM33" s="198"/>
      <c r="EN33" s="198"/>
      <c r="EO33" s="198"/>
      <c r="EP33" s="198"/>
      <c r="EQ33" s="198"/>
      <c r="ER33" s="198"/>
      <c r="ES33" s="198"/>
      <c r="ET33" s="198"/>
      <c r="EU33" s="198"/>
      <c r="EV33" s="198"/>
      <c r="EW33" s="198"/>
      <c r="EX33" s="198"/>
      <c r="EY33" s="198"/>
      <c r="EZ33" s="198"/>
      <c r="FA33" s="198"/>
      <c r="FB33" s="198"/>
      <c r="FC33" s="198"/>
      <c r="FD33" s="198"/>
      <c r="FE33" s="198"/>
      <c r="FF33" s="198"/>
      <c r="FG33" s="198"/>
      <c r="FH33" s="198"/>
      <c r="FI33" s="198"/>
      <c r="FJ33" s="198"/>
      <c r="FK33" s="198"/>
      <c r="FL33" s="198"/>
      <c r="FM33" s="198"/>
      <c r="FN33" s="198"/>
      <c r="FO33" s="198"/>
      <c r="FP33" s="201"/>
      <c r="FQ33" s="202" t="s">
        <v>756</v>
      </c>
      <c r="FR33" s="203" t="s">
        <v>389</v>
      </c>
      <c r="FS33" s="203"/>
      <c r="FT33" s="203" t="s">
        <v>413</v>
      </c>
      <c r="FU33" s="204">
        <f t="shared" si="0"/>
        <v>30</v>
      </c>
      <c r="FV33" s="205" t="s">
        <v>414</v>
      </c>
    </row>
    <row r="34" spans="1:178" s="174" customFormat="1" ht="11.4">
      <c r="A34" s="196" t="s">
        <v>393</v>
      </c>
      <c r="B34" s="196" t="s">
        <v>385</v>
      </c>
      <c r="C34" s="196" t="s">
        <v>411</v>
      </c>
      <c r="D34" s="196" t="s">
        <v>1</v>
      </c>
      <c r="E34" s="197" t="s">
        <v>425</v>
      </c>
      <c r="F34" s="196" t="s">
        <v>388</v>
      </c>
      <c r="G34" s="196"/>
      <c r="H34" s="198"/>
      <c r="I34" s="198"/>
      <c r="J34" s="198"/>
      <c r="K34" s="198"/>
      <c r="L34" s="198"/>
      <c r="M34" s="198"/>
      <c r="N34" s="198"/>
      <c r="O34" s="198"/>
      <c r="P34" s="198"/>
      <c r="Q34" s="198"/>
      <c r="R34" s="198"/>
      <c r="S34" s="198"/>
      <c r="T34" s="198"/>
      <c r="U34" s="200">
        <f>100-100</f>
        <v>0</v>
      </c>
      <c r="V34" s="198"/>
      <c r="W34" s="198"/>
      <c r="X34" s="198"/>
      <c r="Y34" s="200">
        <f>100-100</f>
        <v>0</v>
      </c>
      <c r="Z34" s="198"/>
      <c r="AA34" s="198"/>
      <c r="AB34" s="200">
        <f>100-100</f>
        <v>0</v>
      </c>
      <c r="AC34" s="198"/>
      <c r="AD34" s="198"/>
      <c r="AE34" s="200">
        <f>100-100</f>
        <v>0</v>
      </c>
      <c r="AF34" s="198"/>
      <c r="AG34" s="198"/>
      <c r="AH34" s="198"/>
      <c r="AI34" s="200">
        <f t="shared" ref="AI34:AJ34" si="34">100-100</f>
        <v>0</v>
      </c>
      <c r="AJ34" s="200">
        <f t="shared" si="34"/>
        <v>0</v>
      </c>
      <c r="AK34" s="198"/>
      <c r="AL34" s="198"/>
      <c r="AM34" s="200">
        <f>100-100</f>
        <v>0</v>
      </c>
      <c r="AN34" s="198"/>
      <c r="AO34" s="200">
        <f>200-200</f>
        <v>0</v>
      </c>
      <c r="AP34" s="198"/>
      <c r="AQ34" s="198"/>
      <c r="AR34" s="198"/>
      <c r="AS34" s="198"/>
      <c r="AT34" s="198"/>
      <c r="AU34" s="199">
        <f>200-200+20</f>
        <v>20</v>
      </c>
      <c r="AV34" s="198"/>
      <c r="AW34" s="198"/>
      <c r="AX34" s="198"/>
      <c r="AY34" s="198"/>
      <c r="AZ34" s="198"/>
      <c r="BA34" s="198"/>
      <c r="BB34" s="198"/>
      <c r="BC34" s="198"/>
      <c r="BD34" s="198"/>
      <c r="BE34" s="198"/>
      <c r="BF34" s="198"/>
      <c r="BG34" s="198"/>
      <c r="BH34" s="198"/>
      <c r="BI34" s="198"/>
      <c r="BJ34" s="198"/>
      <c r="BK34" s="198"/>
      <c r="BL34" s="198"/>
      <c r="BM34" s="198"/>
      <c r="BN34" s="198"/>
      <c r="BO34" s="198"/>
      <c r="BP34" s="198"/>
      <c r="BQ34" s="198"/>
      <c r="BR34" s="198"/>
      <c r="BS34" s="198"/>
      <c r="BT34" s="198"/>
      <c r="BU34" s="198"/>
      <c r="BV34" s="198"/>
      <c r="BW34" s="198"/>
      <c r="BX34" s="198"/>
      <c r="BY34" s="198"/>
      <c r="BZ34" s="198"/>
      <c r="CA34" s="198"/>
      <c r="CB34" s="198"/>
      <c r="CC34" s="198"/>
      <c r="CD34" s="198"/>
      <c r="CE34" s="198"/>
      <c r="CF34" s="198"/>
      <c r="CG34" s="198"/>
      <c r="CH34" s="198"/>
      <c r="CI34" s="198"/>
      <c r="CJ34" s="198"/>
      <c r="CK34" s="198"/>
      <c r="CL34" s="198"/>
      <c r="CM34" s="198"/>
      <c r="CN34" s="198"/>
      <c r="CO34" s="198"/>
      <c r="CP34" s="198"/>
      <c r="CQ34" s="198"/>
      <c r="CR34" s="198"/>
      <c r="CS34" s="198"/>
      <c r="CT34" s="198"/>
      <c r="CU34" s="198"/>
      <c r="CV34" s="198"/>
      <c r="CW34" s="198"/>
      <c r="CX34" s="198"/>
      <c r="CY34" s="198"/>
      <c r="CZ34" s="198"/>
      <c r="DA34" s="198"/>
      <c r="DB34" s="198"/>
      <c r="DC34" s="198"/>
      <c r="DD34" s="198"/>
      <c r="DE34" s="198"/>
      <c r="DF34" s="198"/>
      <c r="DG34" s="198"/>
      <c r="DH34" s="198"/>
      <c r="DI34" s="198"/>
      <c r="DJ34" s="198"/>
      <c r="DK34" s="198"/>
      <c r="DL34" s="198"/>
      <c r="DM34" s="198"/>
      <c r="DN34" s="198"/>
      <c r="DO34" s="198"/>
      <c r="DP34" s="198"/>
      <c r="DQ34" s="198"/>
      <c r="DR34" s="198"/>
      <c r="DS34" s="198"/>
      <c r="DT34" s="198"/>
      <c r="DU34" s="198"/>
      <c r="DV34" s="198"/>
      <c r="DW34" s="198"/>
      <c r="DX34" s="198"/>
      <c r="DY34" s="198"/>
      <c r="DZ34" s="198"/>
      <c r="EA34" s="198"/>
      <c r="EB34" s="198"/>
      <c r="EC34" s="198"/>
      <c r="ED34" s="198"/>
      <c r="EE34" s="198"/>
      <c r="EF34" s="198"/>
      <c r="EG34" s="198"/>
      <c r="EH34" s="198"/>
      <c r="EI34" s="198"/>
      <c r="EJ34" s="198"/>
      <c r="EK34" s="198"/>
      <c r="EL34" s="198"/>
      <c r="EM34" s="198"/>
      <c r="EN34" s="198"/>
      <c r="EO34" s="198"/>
      <c r="EP34" s="198"/>
      <c r="EQ34" s="198"/>
      <c r="ER34" s="198"/>
      <c r="ES34" s="198"/>
      <c r="ET34" s="198"/>
      <c r="EU34" s="198"/>
      <c r="EV34" s="198"/>
      <c r="EW34" s="198"/>
      <c r="EX34" s="198"/>
      <c r="EY34" s="198"/>
      <c r="EZ34" s="198"/>
      <c r="FA34" s="198"/>
      <c r="FB34" s="198"/>
      <c r="FC34" s="198"/>
      <c r="FD34" s="198"/>
      <c r="FE34" s="198"/>
      <c r="FF34" s="198"/>
      <c r="FG34" s="198"/>
      <c r="FH34" s="198"/>
      <c r="FI34" s="198"/>
      <c r="FJ34" s="198"/>
      <c r="FK34" s="198"/>
      <c r="FL34" s="198"/>
      <c r="FM34" s="198"/>
      <c r="FN34" s="198"/>
      <c r="FO34" s="198"/>
      <c r="FP34" s="201"/>
      <c r="FQ34" s="202" t="s">
        <v>756</v>
      </c>
      <c r="FR34" s="203" t="s">
        <v>389</v>
      </c>
      <c r="FS34" s="203"/>
      <c r="FT34" s="203" t="s">
        <v>413</v>
      </c>
      <c r="FU34" s="204">
        <f t="shared" si="0"/>
        <v>20</v>
      </c>
      <c r="FV34" s="205" t="s">
        <v>414</v>
      </c>
    </row>
    <row r="35" spans="1:178" s="174" customFormat="1" ht="11.4">
      <c r="A35" s="196" t="s">
        <v>385</v>
      </c>
      <c r="B35" s="196" t="s">
        <v>385</v>
      </c>
      <c r="C35" s="196" t="s">
        <v>411</v>
      </c>
      <c r="D35" s="196" t="s">
        <v>291</v>
      </c>
      <c r="E35" s="197" t="s">
        <v>203</v>
      </c>
      <c r="F35" s="196" t="s">
        <v>388</v>
      </c>
      <c r="G35" s="196"/>
      <c r="H35" s="198"/>
      <c r="I35" s="200">
        <f>300-300</f>
        <v>0</v>
      </c>
      <c r="J35" s="198"/>
      <c r="K35" s="200">
        <f>60-60</f>
        <v>0</v>
      </c>
      <c r="L35" s="198"/>
      <c r="M35" s="198"/>
      <c r="N35" s="200">
        <f>200-200</f>
        <v>0</v>
      </c>
      <c r="O35" s="198"/>
      <c r="P35" s="198"/>
      <c r="Q35" s="198"/>
      <c r="R35" s="198"/>
      <c r="S35" s="198"/>
      <c r="T35" s="198"/>
      <c r="U35" s="198"/>
      <c r="V35" s="198"/>
      <c r="W35" s="198"/>
      <c r="X35" s="198"/>
      <c r="Y35" s="198"/>
      <c r="Z35" s="198"/>
      <c r="AA35" s="198"/>
      <c r="AB35" s="198"/>
      <c r="AC35" s="198"/>
      <c r="AD35" s="198"/>
      <c r="AE35" s="198"/>
      <c r="AF35" s="198"/>
      <c r="AG35" s="200">
        <f>200-200</f>
        <v>0</v>
      </c>
      <c r="AH35" s="206">
        <f>0+40</f>
        <v>40</v>
      </c>
      <c r="AI35" s="198"/>
      <c r="AJ35" s="198"/>
      <c r="AK35" s="198"/>
      <c r="AL35" s="198"/>
      <c r="AM35" s="198"/>
      <c r="AN35" s="198"/>
      <c r="AO35" s="198"/>
      <c r="AP35" s="198"/>
      <c r="AQ35" s="198"/>
      <c r="AR35" s="198"/>
      <c r="AS35" s="198"/>
      <c r="AT35" s="198"/>
      <c r="AU35" s="198"/>
      <c r="AV35" s="198"/>
      <c r="AW35" s="198"/>
      <c r="AX35" s="198"/>
      <c r="AY35" s="198"/>
      <c r="AZ35" s="198"/>
      <c r="BA35" s="200">
        <f>200-200</f>
        <v>0</v>
      </c>
      <c r="BB35" s="198"/>
      <c r="BC35" s="206">
        <f>0+10</f>
        <v>10</v>
      </c>
      <c r="BD35" s="198"/>
      <c r="BE35" s="198"/>
      <c r="BF35" s="198"/>
      <c r="BG35" s="200">
        <f>200-200</f>
        <v>0</v>
      </c>
      <c r="BH35" s="198"/>
      <c r="BI35" s="198"/>
      <c r="BJ35" s="198"/>
      <c r="BK35" s="198"/>
      <c r="BL35" s="198"/>
      <c r="BM35" s="198"/>
      <c r="BN35" s="198"/>
      <c r="BO35" s="198"/>
      <c r="BP35" s="198"/>
      <c r="BQ35" s="198"/>
      <c r="BR35" s="198"/>
      <c r="BS35" s="198"/>
      <c r="BT35" s="198"/>
      <c r="BU35" s="198"/>
      <c r="BV35" s="198"/>
      <c r="BW35" s="198"/>
      <c r="BX35" s="198"/>
      <c r="BY35" s="198"/>
      <c r="BZ35" s="198"/>
      <c r="CA35" s="198"/>
      <c r="CB35" s="198"/>
      <c r="CC35" s="198"/>
      <c r="CD35" s="198"/>
      <c r="CE35" s="198"/>
      <c r="CF35" s="198"/>
      <c r="CG35" s="198"/>
      <c r="CH35" s="198"/>
      <c r="CI35" s="198"/>
      <c r="CJ35" s="198"/>
      <c r="CK35" s="198"/>
      <c r="CL35" s="198"/>
      <c r="CM35" s="198"/>
      <c r="CN35" s="198"/>
      <c r="CO35" s="198"/>
      <c r="CP35" s="198"/>
      <c r="CQ35" s="198"/>
      <c r="CR35" s="198"/>
      <c r="CS35" s="198"/>
      <c r="CT35" s="198"/>
      <c r="CU35" s="198"/>
      <c r="CV35" s="198"/>
      <c r="CW35" s="198"/>
      <c r="CX35" s="198"/>
      <c r="CY35" s="198"/>
      <c r="CZ35" s="198"/>
      <c r="DA35" s="198"/>
      <c r="DB35" s="198"/>
      <c r="DC35" s="198"/>
      <c r="DD35" s="198"/>
      <c r="DE35" s="198"/>
      <c r="DF35" s="198"/>
      <c r="DG35" s="198"/>
      <c r="DH35" s="198"/>
      <c r="DI35" s="198"/>
      <c r="DJ35" s="198"/>
      <c r="DK35" s="198"/>
      <c r="DL35" s="198"/>
      <c r="DM35" s="198"/>
      <c r="DN35" s="198"/>
      <c r="DO35" s="198"/>
      <c r="DP35" s="198"/>
      <c r="DQ35" s="198"/>
      <c r="DR35" s="198"/>
      <c r="DS35" s="198"/>
      <c r="DT35" s="198"/>
      <c r="DU35" s="198"/>
      <c r="DV35" s="198"/>
      <c r="DW35" s="198"/>
      <c r="DX35" s="198"/>
      <c r="DY35" s="198"/>
      <c r="DZ35" s="198"/>
      <c r="EA35" s="198"/>
      <c r="EB35" s="198"/>
      <c r="EC35" s="198"/>
      <c r="ED35" s="198"/>
      <c r="EE35" s="198"/>
      <c r="EF35" s="198"/>
      <c r="EG35" s="198"/>
      <c r="EH35" s="198"/>
      <c r="EI35" s="198"/>
      <c r="EJ35" s="198"/>
      <c r="EK35" s="198"/>
      <c r="EL35" s="198"/>
      <c r="EM35" s="198"/>
      <c r="EN35" s="198"/>
      <c r="EO35" s="198"/>
      <c r="EP35" s="198"/>
      <c r="EQ35" s="198"/>
      <c r="ER35" s="198"/>
      <c r="ES35" s="198"/>
      <c r="ET35" s="198"/>
      <c r="EU35" s="198"/>
      <c r="EV35" s="198"/>
      <c r="EW35" s="198"/>
      <c r="EX35" s="198"/>
      <c r="EY35" s="198"/>
      <c r="EZ35" s="198"/>
      <c r="FA35" s="198"/>
      <c r="FB35" s="198"/>
      <c r="FC35" s="198"/>
      <c r="FD35" s="198"/>
      <c r="FE35" s="198"/>
      <c r="FF35" s="198"/>
      <c r="FG35" s="198"/>
      <c r="FH35" s="198"/>
      <c r="FI35" s="198"/>
      <c r="FJ35" s="198"/>
      <c r="FK35" s="198"/>
      <c r="FL35" s="198"/>
      <c r="FM35" s="198"/>
      <c r="FN35" s="198"/>
      <c r="FO35" s="198"/>
      <c r="FP35" s="201"/>
      <c r="FQ35" s="202" t="s">
        <v>756</v>
      </c>
      <c r="FR35" s="203" t="s">
        <v>389</v>
      </c>
      <c r="FS35" s="203"/>
      <c r="FT35" s="203" t="s">
        <v>426</v>
      </c>
      <c r="FU35" s="204">
        <f t="shared" si="0"/>
        <v>50</v>
      </c>
      <c r="FV35" s="205" t="s">
        <v>414</v>
      </c>
    </row>
    <row r="36" spans="1:178" s="174" customFormat="1" ht="11.4">
      <c r="A36" s="196" t="s">
        <v>385</v>
      </c>
      <c r="B36" s="196" t="s">
        <v>385</v>
      </c>
      <c r="C36" s="196" t="s">
        <v>411</v>
      </c>
      <c r="D36" s="196" t="s">
        <v>1</v>
      </c>
      <c r="E36" s="197" t="s">
        <v>203</v>
      </c>
      <c r="F36" s="196" t="s">
        <v>388</v>
      </c>
      <c r="G36" s="196"/>
      <c r="H36" s="198"/>
      <c r="I36" s="198"/>
      <c r="J36" s="198"/>
      <c r="K36" s="198"/>
      <c r="L36" s="198"/>
      <c r="M36" s="198"/>
      <c r="N36" s="206">
        <f>0+20</f>
        <v>20</v>
      </c>
      <c r="O36" s="200">
        <f>200-200</f>
        <v>0</v>
      </c>
      <c r="P36" s="200">
        <f>300-300</f>
        <v>0</v>
      </c>
      <c r="Q36" s="198"/>
      <c r="R36" s="198"/>
      <c r="S36" s="198"/>
      <c r="T36" s="198"/>
      <c r="U36" s="198"/>
      <c r="V36" s="198"/>
      <c r="W36" s="198"/>
      <c r="X36" s="198"/>
      <c r="Y36" s="198"/>
      <c r="Z36" s="198"/>
      <c r="AA36" s="198"/>
      <c r="AB36" s="200">
        <f t="shared" ref="AB36:AC36" si="35">200-200</f>
        <v>0</v>
      </c>
      <c r="AC36" s="200">
        <f t="shared" si="35"/>
        <v>0</v>
      </c>
      <c r="AD36" s="198"/>
      <c r="AE36" s="200">
        <f>200-200</f>
        <v>0</v>
      </c>
      <c r="AF36" s="198"/>
      <c r="AG36" s="198"/>
      <c r="AH36" s="200">
        <f>200-200</f>
        <v>0</v>
      </c>
      <c r="AI36" s="198"/>
      <c r="AJ36" s="198"/>
      <c r="AK36" s="198"/>
      <c r="AL36" s="198"/>
      <c r="AM36" s="200">
        <f>200-200</f>
        <v>0</v>
      </c>
      <c r="AN36" s="198"/>
      <c r="AO36" s="198"/>
      <c r="AP36" s="198"/>
      <c r="AQ36" s="198"/>
      <c r="AR36" s="198"/>
      <c r="AS36" s="198"/>
      <c r="AT36" s="198"/>
      <c r="AU36" s="199">
        <f>300-300+60</f>
        <v>60</v>
      </c>
      <c r="AV36" s="198"/>
      <c r="AW36" s="198"/>
      <c r="AX36" s="198"/>
      <c r="AY36" s="198"/>
      <c r="AZ36" s="198"/>
      <c r="BA36" s="198"/>
      <c r="BB36" s="198"/>
      <c r="BC36" s="200">
        <f>200-200</f>
        <v>0</v>
      </c>
      <c r="BD36" s="198"/>
      <c r="BE36" s="198"/>
      <c r="BF36" s="198"/>
      <c r="BG36" s="206">
        <f>0+70</f>
        <v>70</v>
      </c>
      <c r="BH36" s="200">
        <f t="shared" ref="BH36:BI36" si="36">200-200</f>
        <v>0</v>
      </c>
      <c r="BI36" s="200">
        <f t="shared" si="36"/>
        <v>0</v>
      </c>
      <c r="BJ36" s="198"/>
      <c r="BK36" s="198"/>
      <c r="BL36" s="198"/>
      <c r="BM36" s="198"/>
      <c r="BN36" s="198"/>
      <c r="BO36" s="198"/>
      <c r="BP36" s="198"/>
      <c r="BQ36" s="198"/>
      <c r="BR36" s="198"/>
      <c r="BS36" s="198"/>
      <c r="BT36" s="198"/>
      <c r="BU36" s="198"/>
      <c r="BV36" s="198"/>
      <c r="BW36" s="198"/>
      <c r="BX36" s="198"/>
      <c r="BY36" s="198"/>
      <c r="BZ36" s="198"/>
      <c r="CA36" s="198"/>
      <c r="CB36" s="198"/>
      <c r="CC36" s="198"/>
      <c r="CD36" s="198"/>
      <c r="CE36" s="198"/>
      <c r="CF36" s="198"/>
      <c r="CG36" s="198"/>
      <c r="CH36" s="198"/>
      <c r="CI36" s="198"/>
      <c r="CJ36" s="198"/>
      <c r="CK36" s="198"/>
      <c r="CL36" s="198"/>
      <c r="CM36" s="198"/>
      <c r="CN36" s="198"/>
      <c r="CO36" s="198"/>
      <c r="CP36" s="198"/>
      <c r="CQ36" s="198"/>
      <c r="CR36" s="198"/>
      <c r="CS36" s="198"/>
      <c r="CT36" s="198"/>
      <c r="CU36" s="198"/>
      <c r="CV36" s="198"/>
      <c r="CW36" s="198"/>
      <c r="CX36" s="198"/>
      <c r="CY36" s="198"/>
      <c r="CZ36" s="198"/>
      <c r="DA36" s="198"/>
      <c r="DB36" s="198"/>
      <c r="DC36" s="198"/>
      <c r="DD36" s="198"/>
      <c r="DE36" s="198"/>
      <c r="DF36" s="198"/>
      <c r="DG36" s="198"/>
      <c r="DH36" s="198"/>
      <c r="DI36" s="198"/>
      <c r="DJ36" s="198"/>
      <c r="DK36" s="198"/>
      <c r="DL36" s="198"/>
      <c r="DM36" s="198"/>
      <c r="DN36" s="198"/>
      <c r="DO36" s="198"/>
      <c r="DP36" s="198"/>
      <c r="DQ36" s="198"/>
      <c r="DR36" s="198"/>
      <c r="DS36" s="198"/>
      <c r="DT36" s="198"/>
      <c r="DU36" s="198"/>
      <c r="DV36" s="198"/>
      <c r="DW36" s="198"/>
      <c r="DX36" s="198"/>
      <c r="DY36" s="198"/>
      <c r="DZ36" s="198"/>
      <c r="EA36" s="198"/>
      <c r="EB36" s="198"/>
      <c r="EC36" s="198"/>
      <c r="ED36" s="198"/>
      <c r="EE36" s="198"/>
      <c r="EF36" s="198"/>
      <c r="EG36" s="198"/>
      <c r="EH36" s="198"/>
      <c r="EI36" s="200">
        <f t="shared" ref="EI36:EJ36" si="37">100-100</f>
        <v>0</v>
      </c>
      <c r="EJ36" s="200">
        <f t="shared" si="37"/>
        <v>0</v>
      </c>
      <c r="EK36" s="198"/>
      <c r="EL36" s="198"/>
      <c r="EM36" s="198"/>
      <c r="EN36" s="198"/>
      <c r="EO36" s="198"/>
      <c r="EP36" s="198"/>
      <c r="EQ36" s="200">
        <f>100-100</f>
        <v>0</v>
      </c>
      <c r="ER36" s="198"/>
      <c r="ES36" s="200">
        <f>200-200</f>
        <v>0</v>
      </c>
      <c r="ET36" s="198"/>
      <c r="EU36" s="198"/>
      <c r="EV36" s="198"/>
      <c r="EW36" s="198"/>
      <c r="EX36" s="198"/>
      <c r="EY36" s="198"/>
      <c r="EZ36" s="198"/>
      <c r="FA36" s="198"/>
      <c r="FB36" s="198"/>
      <c r="FC36" s="198"/>
      <c r="FD36" s="198"/>
      <c r="FE36" s="198"/>
      <c r="FF36" s="198"/>
      <c r="FG36" s="198"/>
      <c r="FH36" s="198"/>
      <c r="FI36" s="198"/>
      <c r="FJ36" s="198"/>
      <c r="FK36" s="198"/>
      <c r="FL36" s="198"/>
      <c r="FM36" s="198"/>
      <c r="FN36" s="198"/>
      <c r="FO36" s="198"/>
      <c r="FP36" s="201"/>
      <c r="FQ36" s="202" t="s">
        <v>756</v>
      </c>
      <c r="FR36" s="203" t="s">
        <v>389</v>
      </c>
      <c r="FS36" s="203"/>
      <c r="FT36" s="203" t="s">
        <v>426</v>
      </c>
      <c r="FU36" s="204">
        <f t="shared" si="0"/>
        <v>150</v>
      </c>
      <c r="FV36" s="205" t="s">
        <v>414</v>
      </c>
    </row>
    <row r="37" spans="1:178" s="174" customFormat="1" ht="11.4">
      <c r="A37" s="196" t="s">
        <v>393</v>
      </c>
      <c r="B37" s="196" t="s">
        <v>385</v>
      </c>
      <c r="C37" s="196" t="s">
        <v>411</v>
      </c>
      <c r="D37" s="196" t="s">
        <v>291</v>
      </c>
      <c r="E37" s="197" t="s">
        <v>427</v>
      </c>
      <c r="F37" s="196" t="s">
        <v>388</v>
      </c>
      <c r="G37" s="196"/>
      <c r="H37" s="198"/>
      <c r="I37" s="198"/>
      <c r="J37" s="198"/>
      <c r="K37" s="198"/>
      <c r="L37" s="198"/>
      <c r="M37" s="198"/>
      <c r="N37" s="200">
        <f>100-100</f>
        <v>0</v>
      </c>
      <c r="O37" s="198"/>
      <c r="P37" s="198"/>
      <c r="Q37" s="198"/>
      <c r="R37" s="198"/>
      <c r="S37" s="198"/>
      <c r="T37" s="198"/>
      <c r="U37" s="198"/>
      <c r="V37" s="198"/>
      <c r="W37" s="198"/>
      <c r="X37" s="198"/>
      <c r="Y37" s="198"/>
      <c r="Z37" s="198"/>
      <c r="AA37" s="198"/>
      <c r="AB37" s="198"/>
      <c r="AC37" s="198"/>
      <c r="AD37" s="198"/>
      <c r="AE37" s="198"/>
      <c r="AF37" s="198"/>
      <c r="AG37" s="200">
        <f>200-200</f>
        <v>0</v>
      </c>
      <c r="AH37" s="206">
        <f>0+80</f>
        <v>80</v>
      </c>
      <c r="AI37" s="198"/>
      <c r="AJ37" s="198"/>
      <c r="AK37" s="198"/>
      <c r="AL37" s="198"/>
      <c r="AM37" s="198"/>
      <c r="AN37" s="198"/>
      <c r="AO37" s="198"/>
      <c r="AP37" s="198"/>
      <c r="AQ37" s="200">
        <f t="shared" ref="AQ37:AR37" si="38">200-200</f>
        <v>0</v>
      </c>
      <c r="AR37" s="200">
        <f t="shared" si="38"/>
        <v>0</v>
      </c>
      <c r="AS37" s="198"/>
      <c r="AT37" s="198"/>
      <c r="AU37" s="198"/>
      <c r="AV37" s="198"/>
      <c r="AW37" s="198"/>
      <c r="AX37" s="198"/>
      <c r="AY37" s="198"/>
      <c r="AZ37" s="198"/>
      <c r="BA37" s="198"/>
      <c r="BB37" s="198"/>
      <c r="BC37" s="198"/>
      <c r="BD37" s="198"/>
      <c r="BE37" s="198"/>
      <c r="BF37" s="198"/>
      <c r="BG37" s="200">
        <f>100-100</f>
        <v>0</v>
      </c>
      <c r="BH37" s="198"/>
      <c r="BI37" s="198"/>
      <c r="BJ37" s="198"/>
      <c r="BK37" s="198"/>
      <c r="BL37" s="198"/>
      <c r="BM37" s="198"/>
      <c r="BN37" s="198"/>
      <c r="BO37" s="198"/>
      <c r="BP37" s="198"/>
      <c r="BQ37" s="198"/>
      <c r="BR37" s="198"/>
      <c r="BS37" s="198"/>
      <c r="BT37" s="198"/>
      <c r="BU37" s="198"/>
      <c r="BV37" s="198"/>
      <c r="BW37" s="198"/>
      <c r="BX37" s="198"/>
      <c r="BY37" s="198"/>
      <c r="BZ37" s="198"/>
      <c r="CA37" s="198"/>
      <c r="CB37" s="198"/>
      <c r="CC37" s="198"/>
      <c r="CD37" s="198"/>
      <c r="CE37" s="198"/>
      <c r="CF37" s="198"/>
      <c r="CG37" s="198"/>
      <c r="CH37" s="198"/>
      <c r="CI37" s="198"/>
      <c r="CJ37" s="198"/>
      <c r="CK37" s="198"/>
      <c r="CL37" s="198"/>
      <c r="CM37" s="198"/>
      <c r="CN37" s="198"/>
      <c r="CO37" s="198"/>
      <c r="CP37" s="198"/>
      <c r="CQ37" s="198"/>
      <c r="CR37" s="198"/>
      <c r="CS37" s="198"/>
      <c r="CT37" s="198"/>
      <c r="CU37" s="198"/>
      <c r="CV37" s="198"/>
      <c r="CW37" s="198"/>
      <c r="CX37" s="198"/>
      <c r="CY37" s="198"/>
      <c r="CZ37" s="198"/>
      <c r="DA37" s="198"/>
      <c r="DB37" s="198"/>
      <c r="DC37" s="198"/>
      <c r="DD37" s="198"/>
      <c r="DE37" s="198"/>
      <c r="DF37" s="198"/>
      <c r="DG37" s="198"/>
      <c r="DH37" s="198"/>
      <c r="DI37" s="198"/>
      <c r="DJ37" s="198"/>
      <c r="DK37" s="198"/>
      <c r="DL37" s="198"/>
      <c r="DM37" s="198"/>
      <c r="DN37" s="198"/>
      <c r="DO37" s="198"/>
      <c r="DP37" s="198"/>
      <c r="DQ37" s="198"/>
      <c r="DR37" s="198"/>
      <c r="DS37" s="198"/>
      <c r="DT37" s="198"/>
      <c r="DU37" s="198"/>
      <c r="DV37" s="198"/>
      <c r="DW37" s="198"/>
      <c r="DX37" s="198"/>
      <c r="DY37" s="198"/>
      <c r="DZ37" s="198"/>
      <c r="EA37" s="198"/>
      <c r="EB37" s="198"/>
      <c r="EC37" s="198"/>
      <c r="ED37" s="198"/>
      <c r="EE37" s="198"/>
      <c r="EF37" s="198"/>
      <c r="EG37" s="198"/>
      <c r="EH37" s="198"/>
      <c r="EI37" s="198"/>
      <c r="EJ37" s="198"/>
      <c r="EK37" s="198"/>
      <c r="EL37" s="198"/>
      <c r="EM37" s="198"/>
      <c r="EN37" s="198"/>
      <c r="EO37" s="198"/>
      <c r="EP37" s="198"/>
      <c r="EQ37" s="198"/>
      <c r="ER37" s="198"/>
      <c r="ES37" s="198"/>
      <c r="ET37" s="198"/>
      <c r="EU37" s="198"/>
      <c r="EV37" s="198"/>
      <c r="EW37" s="198"/>
      <c r="EX37" s="198"/>
      <c r="EY37" s="198"/>
      <c r="EZ37" s="198"/>
      <c r="FA37" s="198"/>
      <c r="FB37" s="198"/>
      <c r="FC37" s="198"/>
      <c r="FD37" s="198"/>
      <c r="FE37" s="198"/>
      <c r="FF37" s="198"/>
      <c r="FG37" s="198"/>
      <c r="FH37" s="198"/>
      <c r="FI37" s="198"/>
      <c r="FJ37" s="198"/>
      <c r="FK37" s="198"/>
      <c r="FL37" s="198"/>
      <c r="FM37" s="198"/>
      <c r="FN37" s="198"/>
      <c r="FO37" s="198"/>
      <c r="FP37" s="201"/>
      <c r="FQ37" s="202" t="s">
        <v>756</v>
      </c>
      <c r="FR37" s="203" t="s">
        <v>389</v>
      </c>
      <c r="FS37" s="203"/>
      <c r="FT37" s="203" t="s">
        <v>423</v>
      </c>
      <c r="FU37" s="204">
        <f t="shared" si="0"/>
        <v>80</v>
      </c>
      <c r="FV37" s="205" t="s">
        <v>424</v>
      </c>
    </row>
    <row r="38" spans="1:178" s="174" customFormat="1" ht="11.4">
      <c r="A38" s="196" t="s">
        <v>393</v>
      </c>
      <c r="B38" s="196" t="s">
        <v>385</v>
      </c>
      <c r="C38" s="196" t="s">
        <v>411</v>
      </c>
      <c r="D38" s="196" t="s">
        <v>1</v>
      </c>
      <c r="E38" s="197" t="s">
        <v>427</v>
      </c>
      <c r="F38" s="196" t="s">
        <v>388</v>
      </c>
      <c r="G38" s="196"/>
      <c r="H38" s="198"/>
      <c r="I38" s="198"/>
      <c r="J38" s="198"/>
      <c r="K38" s="198"/>
      <c r="L38" s="198"/>
      <c r="M38" s="198"/>
      <c r="N38" s="206">
        <f>0+20</f>
        <v>20</v>
      </c>
      <c r="O38" s="200">
        <f t="shared" ref="O38:P38" si="39">100-100</f>
        <v>0</v>
      </c>
      <c r="P38" s="200">
        <f t="shared" si="39"/>
        <v>0</v>
      </c>
      <c r="Q38" s="198"/>
      <c r="R38" s="198"/>
      <c r="S38" s="200">
        <f>100-100</f>
        <v>0</v>
      </c>
      <c r="T38" s="198"/>
      <c r="U38" s="200">
        <f>100-100</f>
        <v>0</v>
      </c>
      <c r="V38" s="198"/>
      <c r="W38" s="198"/>
      <c r="X38" s="198"/>
      <c r="Y38" s="198"/>
      <c r="Z38" s="198"/>
      <c r="AA38" s="200">
        <f t="shared" ref="AA38:AC38" si="40">100-100</f>
        <v>0</v>
      </c>
      <c r="AB38" s="200">
        <f t="shared" si="40"/>
        <v>0</v>
      </c>
      <c r="AC38" s="200">
        <f t="shared" si="40"/>
        <v>0</v>
      </c>
      <c r="AD38" s="198"/>
      <c r="AE38" s="200">
        <f>100-100</f>
        <v>0</v>
      </c>
      <c r="AF38" s="198"/>
      <c r="AG38" s="198"/>
      <c r="AH38" s="200">
        <f>200-200</f>
        <v>0</v>
      </c>
      <c r="AI38" s="198"/>
      <c r="AJ38" s="198"/>
      <c r="AK38" s="198"/>
      <c r="AL38" s="198"/>
      <c r="AM38" s="198"/>
      <c r="AN38" s="198"/>
      <c r="AO38" s="198"/>
      <c r="AP38" s="198"/>
      <c r="AQ38" s="198"/>
      <c r="AR38" s="198"/>
      <c r="AS38" s="198"/>
      <c r="AT38" s="198"/>
      <c r="AU38" s="199">
        <f>200-200+160</f>
        <v>160</v>
      </c>
      <c r="AV38" s="198"/>
      <c r="AW38" s="198"/>
      <c r="AX38" s="198"/>
      <c r="AY38" s="198"/>
      <c r="AZ38" s="198"/>
      <c r="BA38" s="198"/>
      <c r="BB38" s="198"/>
      <c r="BC38" s="198"/>
      <c r="BD38" s="198"/>
      <c r="BE38" s="198"/>
      <c r="BF38" s="198"/>
      <c r="BG38" s="206">
        <f>0+100</f>
        <v>100</v>
      </c>
      <c r="BH38" s="198"/>
      <c r="BI38" s="200">
        <f>100-100</f>
        <v>0</v>
      </c>
      <c r="BJ38" s="198"/>
      <c r="BK38" s="198"/>
      <c r="BL38" s="198"/>
      <c r="BM38" s="198"/>
      <c r="BN38" s="198"/>
      <c r="BO38" s="198"/>
      <c r="BP38" s="198"/>
      <c r="BQ38" s="198"/>
      <c r="BR38" s="198"/>
      <c r="BS38" s="198"/>
      <c r="BT38" s="198"/>
      <c r="BU38" s="198"/>
      <c r="BV38" s="198"/>
      <c r="BW38" s="198"/>
      <c r="BX38" s="198"/>
      <c r="BY38" s="198"/>
      <c r="BZ38" s="198"/>
      <c r="CA38" s="198"/>
      <c r="CB38" s="198"/>
      <c r="CC38" s="198"/>
      <c r="CD38" s="198"/>
      <c r="CE38" s="198"/>
      <c r="CF38" s="198"/>
      <c r="CG38" s="198"/>
      <c r="CH38" s="198"/>
      <c r="CI38" s="198"/>
      <c r="CJ38" s="198"/>
      <c r="CK38" s="198"/>
      <c r="CL38" s="198"/>
      <c r="CM38" s="198"/>
      <c r="CN38" s="198"/>
      <c r="CO38" s="198"/>
      <c r="CP38" s="198"/>
      <c r="CQ38" s="198"/>
      <c r="CR38" s="198"/>
      <c r="CS38" s="198"/>
      <c r="CT38" s="198"/>
      <c r="CU38" s="198"/>
      <c r="CV38" s="198"/>
      <c r="CW38" s="198"/>
      <c r="CX38" s="198"/>
      <c r="CY38" s="198"/>
      <c r="CZ38" s="198"/>
      <c r="DA38" s="198"/>
      <c r="DB38" s="198"/>
      <c r="DC38" s="198"/>
      <c r="DD38" s="198"/>
      <c r="DE38" s="198"/>
      <c r="DF38" s="198"/>
      <c r="DG38" s="198"/>
      <c r="DH38" s="198"/>
      <c r="DI38" s="198"/>
      <c r="DJ38" s="198"/>
      <c r="DK38" s="198"/>
      <c r="DL38" s="198"/>
      <c r="DM38" s="198"/>
      <c r="DN38" s="198"/>
      <c r="DO38" s="198"/>
      <c r="DP38" s="198"/>
      <c r="DQ38" s="198"/>
      <c r="DR38" s="198"/>
      <c r="DS38" s="198"/>
      <c r="DT38" s="198"/>
      <c r="DU38" s="198"/>
      <c r="DV38" s="198"/>
      <c r="DW38" s="198"/>
      <c r="DX38" s="198"/>
      <c r="DY38" s="198"/>
      <c r="DZ38" s="198"/>
      <c r="EA38" s="198"/>
      <c r="EB38" s="198"/>
      <c r="EC38" s="198"/>
      <c r="ED38" s="198"/>
      <c r="EE38" s="198"/>
      <c r="EF38" s="198"/>
      <c r="EG38" s="198"/>
      <c r="EH38" s="198"/>
      <c r="EI38" s="200">
        <f>200-200</f>
        <v>0</v>
      </c>
      <c r="EJ38" s="200">
        <f>20-20</f>
        <v>0</v>
      </c>
      <c r="EK38" s="200">
        <f>200-200</f>
        <v>0</v>
      </c>
      <c r="EL38" s="198"/>
      <c r="EM38" s="200">
        <f>200-200</f>
        <v>0</v>
      </c>
      <c r="EN38" s="198"/>
      <c r="EO38" s="198"/>
      <c r="EP38" s="200">
        <f t="shared" ref="EP38:EQ38" si="41">200-200</f>
        <v>0</v>
      </c>
      <c r="EQ38" s="200">
        <f t="shared" si="41"/>
        <v>0</v>
      </c>
      <c r="ER38" s="198"/>
      <c r="ES38" s="200">
        <f>200-200</f>
        <v>0</v>
      </c>
      <c r="ET38" s="198"/>
      <c r="EU38" s="198"/>
      <c r="EV38" s="198"/>
      <c r="EW38" s="198"/>
      <c r="EX38" s="198"/>
      <c r="EY38" s="198"/>
      <c r="EZ38" s="198"/>
      <c r="FA38" s="198"/>
      <c r="FB38" s="198"/>
      <c r="FC38" s="198"/>
      <c r="FD38" s="198"/>
      <c r="FE38" s="198"/>
      <c r="FF38" s="198"/>
      <c r="FG38" s="198"/>
      <c r="FH38" s="198"/>
      <c r="FI38" s="198"/>
      <c r="FJ38" s="198"/>
      <c r="FK38" s="200">
        <f>200-200</f>
        <v>0</v>
      </c>
      <c r="FL38" s="198"/>
      <c r="FM38" s="199">
        <f>200-200+10</f>
        <v>10</v>
      </c>
      <c r="FN38" s="198"/>
      <c r="FO38" s="198"/>
      <c r="FP38" s="201"/>
      <c r="FQ38" s="202" t="s">
        <v>756</v>
      </c>
      <c r="FR38" s="203" t="s">
        <v>389</v>
      </c>
      <c r="FS38" s="203"/>
      <c r="FT38" s="203" t="s">
        <v>423</v>
      </c>
      <c r="FU38" s="204">
        <f t="shared" si="0"/>
        <v>290</v>
      </c>
      <c r="FV38" s="205" t="s">
        <v>424</v>
      </c>
    </row>
    <row r="39" spans="1:178" s="174" customFormat="1" ht="11.4">
      <c r="A39" s="196" t="s">
        <v>393</v>
      </c>
      <c r="B39" s="196" t="s">
        <v>385</v>
      </c>
      <c r="C39" s="196" t="s">
        <v>411</v>
      </c>
      <c r="D39" s="196" t="s">
        <v>291</v>
      </c>
      <c r="E39" s="197" t="s">
        <v>428</v>
      </c>
      <c r="F39" s="196" t="s">
        <v>388</v>
      </c>
      <c r="G39" s="196"/>
      <c r="H39" s="198"/>
      <c r="I39" s="198"/>
      <c r="J39" s="198"/>
      <c r="K39" s="198"/>
      <c r="L39" s="198"/>
      <c r="M39" s="198"/>
      <c r="N39" s="200">
        <f>100-100</f>
        <v>0</v>
      </c>
      <c r="O39" s="198"/>
      <c r="P39" s="198"/>
      <c r="Q39" s="200">
        <f>40-40</f>
        <v>0</v>
      </c>
      <c r="R39" s="198"/>
      <c r="S39" s="198"/>
      <c r="T39" s="200">
        <f>40-40</f>
        <v>0</v>
      </c>
      <c r="U39" s="198"/>
      <c r="V39" s="198"/>
      <c r="W39" s="198"/>
      <c r="X39" s="198"/>
      <c r="Y39" s="198"/>
      <c r="Z39" s="198"/>
      <c r="AA39" s="198"/>
      <c r="AB39" s="198"/>
      <c r="AC39" s="198"/>
      <c r="AD39" s="198"/>
      <c r="AE39" s="198"/>
      <c r="AF39" s="198"/>
      <c r="AG39" s="200">
        <f>40-40</f>
        <v>0</v>
      </c>
      <c r="AH39" s="206">
        <f>0+30</f>
        <v>30</v>
      </c>
      <c r="AI39" s="198"/>
      <c r="AJ39" s="198"/>
      <c r="AK39" s="198"/>
      <c r="AL39" s="198"/>
      <c r="AM39" s="198"/>
      <c r="AN39" s="198"/>
      <c r="AO39" s="198"/>
      <c r="AP39" s="198"/>
      <c r="AQ39" s="200">
        <f t="shared" ref="AQ39:AR39" si="42">100-100</f>
        <v>0</v>
      </c>
      <c r="AR39" s="200">
        <f t="shared" si="42"/>
        <v>0</v>
      </c>
      <c r="AS39" s="198"/>
      <c r="AT39" s="198"/>
      <c r="AU39" s="198"/>
      <c r="AV39" s="198"/>
      <c r="AW39" s="198"/>
      <c r="AX39" s="198"/>
      <c r="AY39" s="198"/>
      <c r="AZ39" s="198"/>
      <c r="BA39" s="198"/>
      <c r="BB39" s="198"/>
      <c r="BC39" s="198"/>
      <c r="BD39" s="198"/>
      <c r="BE39" s="198"/>
      <c r="BF39" s="198"/>
      <c r="BG39" s="198"/>
      <c r="BH39" s="198"/>
      <c r="BI39" s="198"/>
      <c r="BJ39" s="198"/>
      <c r="BK39" s="198"/>
      <c r="BL39" s="198"/>
      <c r="BM39" s="198"/>
      <c r="BN39" s="198"/>
      <c r="BO39" s="198"/>
      <c r="BP39" s="198"/>
      <c r="BQ39" s="198"/>
      <c r="BR39" s="198"/>
      <c r="BS39" s="198"/>
      <c r="BT39" s="198"/>
      <c r="BU39" s="198"/>
      <c r="BV39" s="198"/>
      <c r="BW39" s="198"/>
      <c r="BX39" s="198"/>
      <c r="BY39" s="198"/>
      <c r="BZ39" s="198"/>
      <c r="CA39" s="198"/>
      <c r="CB39" s="198"/>
      <c r="CC39" s="198"/>
      <c r="CD39" s="198"/>
      <c r="CE39" s="198"/>
      <c r="CF39" s="198"/>
      <c r="CG39" s="198"/>
      <c r="CH39" s="198"/>
      <c r="CI39" s="198"/>
      <c r="CJ39" s="198"/>
      <c r="CK39" s="198"/>
      <c r="CL39" s="198"/>
      <c r="CM39" s="198"/>
      <c r="CN39" s="198"/>
      <c r="CO39" s="198"/>
      <c r="CP39" s="198"/>
      <c r="CQ39" s="198"/>
      <c r="CR39" s="198"/>
      <c r="CS39" s="198"/>
      <c r="CT39" s="198"/>
      <c r="CU39" s="198"/>
      <c r="CV39" s="198"/>
      <c r="CW39" s="198"/>
      <c r="CX39" s="198"/>
      <c r="CY39" s="198"/>
      <c r="CZ39" s="198"/>
      <c r="DA39" s="198"/>
      <c r="DB39" s="198"/>
      <c r="DC39" s="198"/>
      <c r="DD39" s="198"/>
      <c r="DE39" s="198"/>
      <c r="DF39" s="198"/>
      <c r="DG39" s="198"/>
      <c r="DH39" s="198"/>
      <c r="DI39" s="198"/>
      <c r="DJ39" s="198"/>
      <c r="DK39" s="198"/>
      <c r="DL39" s="198"/>
      <c r="DM39" s="198"/>
      <c r="DN39" s="198"/>
      <c r="DO39" s="198"/>
      <c r="DP39" s="198"/>
      <c r="DQ39" s="198"/>
      <c r="DR39" s="198"/>
      <c r="DS39" s="198"/>
      <c r="DT39" s="198"/>
      <c r="DU39" s="198"/>
      <c r="DV39" s="198"/>
      <c r="DW39" s="198"/>
      <c r="DX39" s="198"/>
      <c r="DY39" s="198"/>
      <c r="DZ39" s="198"/>
      <c r="EA39" s="198"/>
      <c r="EB39" s="198"/>
      <c r="EC39" s="198"/>
      <c r="ED39" s="198"/>
      <c r="EE39" s="198"/>
      <c r="EF39" s="198"/>
      <c r="EG39" s="198"/>
      <c r="EH39" s="198"/>
      <c r="EI39" s="198"/>
      <c r="EJ39" s="198"/>
      <c r="EK39" s="198"/>
      <c r="EL39" s="198"/>
      <c r="EM39" s="198"/>
      <c r="EN39" s="198"/>
      <c r="EO39" s="198"/>
      <c r="EP39" s="198"/>
      <c r="EQ39" s="198"/>
      <c r="ER39" s="198"/>
      <c r="ES39" s="198"/>
      <c r="ET39" s="198"/>
      <c r="EU39" s="198"/>
      <c r="EV39" s="198"/>
      <c r="EW39" s="198"/>
      <c r="EX39" s="198"/>
      <c r="EY39" s="198"/>
      <c r="EZ39" s="198"/>
      <c r="FA39" s="198"/>
      <c r="FB39" s="198"/>
      <c r="FC39" s="198"/>
      <c r="FD39" s="198"/>
      <c r="FE39" s="198"/>
      <c r="FF39" s="198"/>
      <c r="FG39" s="198"/>
      <c r="FH39" s="198"/>
      <c r="FI39" s="198"/>
      <c r="FJ39" s="198"/>
      <c r="FK39" s="198"/>
      <c r="FL39" s="198"/>
      <c r="FM39" s="198"/>
      <c r="FN39" s="198"/>
      <c r="FO39" s="198"/>
      <c r="FP39" s="201"/>
      <c r="FQ39" s="202" t="s">
        <v>756</v>
      </c>
      <c r="FR39" s="203" t="s">
        <v>389</v>
      </c>
      <c r="FS39" s="203"/>
      <c r="FT39" s="203" t="s">
        <v>429</v>
      </c>
      <c r="FU39" s="204">
        <f t="shared" si="0"/>
        <v>30</v>
      </c>
      <c r="FV39" s="205" t="s">
        <v>414</v>
      </c>
    </row>
    <row r="40" spans="1:178" s="174" customFormat="1" ht="11.4">
      <c r="A40" s="196" t="s">
        <v>393</v>
      </c>
      <c r="B40" s="196" t="s">
        <v>385</v>
      </c>
      <c r="C40" s="196" t="s">
        <v>411</v>
      </c>
      <c r="D40" s="196" t="s">
        <v>1</v>
      </c>
      <c r="E40" s="197" t="s">
        <v>428</v>
      </c>
      <c r="F40" s="196" t="s">
        <v>388</v>
      </c>
      <c r="G40" s="196"/>
      <c r="H40" s="198"/>
      <c r="I40" s="198"/>
      <c r="J40" s="198"/>
      <c r="K40" s="198"/>
      <c r="L40" s="198"/>
      <c r="M40" s="200">
        <f>100-100</f>
        <v>0</v>
      </c>
      <c r="N40" s="206">
        <f>0+20</f>
        <v>20</v>
      </c>
      <c r="O40" s="200">
        <f t="shared" ref="O40:P40" si="43">100-100</f>
        <v>0</v>
      </c>
      <c r="P40" s="200">
        <f t="shared" si="43"/>
        <v>0</v>
      </c>
      <c r="Q40" s="198"/>
      <c r="R40" s="198"/>
      <c r="S40" s="200">
        <f>40-40</f>
        <v>0</v>
      </c>
      <c r="T40" s="198"/>
      <c r="U40" s="200">
        <f t="shared" ref="U40:V40" si="44">40-40</f>
        <v>0</v>
      </c>
      <c r="V40" s="200">
        <f t="shared" si="44"/>
        <v>0</v>
      </c>
      <c r="W40" s="198"/>
      <c r="X40" s="198"/>
      <c r="Y40" s="200">
        <f t="shared" ref="Y40:Z40" si="45">40-40</f>
        <v>0</v>
      </c>
      <c r="Z40" s="200">
        <f t="shared" si="45"/>
        <v>0</v>
      </c>
      <c r="AA40" s="200">
        <f>20-20</f>
        <v>0</v>
      </c>
      <c r="AB40" s="200">
        <f t="shared" ref="AB40:AD40" si="46">40-40</f>
        <v>0</v>
      </c>
      <c r="AC40" s="200">
        <f t="shared" si="46"/>
        <v>0</v>
      </c>
      <c r="AD40" s="200">
        <f t="shared" si="46"/>
        <v>0</v>
      </c>
      <c r="AE40" s="200">
        <f>20-20</f>
        <v>0</v>
      </c>
      <c r="AF40" s="200">
        <f>40-40</f>
        <v>0</v>
      </c>
      <c r="AG40" s="198"/>
      <c r="AH40" s="200">
        <f t="shared" ref="AH40:AJ40" si="47">20-20</f>
        <v>0</v>
      </c>
      <c r="AI40" s="200">
        <f t="shared" si="47"/>
        <v>0</v>
      </c>
      <c r="AJ40" s="200">
        <f t="shared" si="47"/>
        <v>0</v>
      </c>
      <c r="AK40" s="198"/>
      <c r="AL40" s="198"/>
      <c r="AM40" s="200">
        <f>20-20</f>
        <v>0</v>
      </c>
      <c r="AN40" s="198"/>
      <c r="AO40" s="198"/>
      <c r="AP40" s="198"/>
      <c r="AQ40" s="198"/>
      <c r="AR40" s="198"/>
      <c r="AS40" s="198"/>
      <c r="AT40" s="198"/>
      <c r="AU40" s="199">
        <f>100-100+30</f>
        <v>30</v>
      </c>
      <c r="AV40" s="198"/>
      <c r="AW40" s="198"/>
      <c r="AX40" s="198"/>
      <c r="AY40" s="198"/>
      <c r="AZ40" s="198"/>
      <c r="BA40" s="198"/>
      <c r="BB40" s="198"/>
      <c r="BC40" s="198"/>
      <c r="BD40" s="198"/>
      <c r="BE40" s="198"/>
      <c r="BF40" s="198"/>
      <c r="BG40" s="198"/>
      <c r="BH40" s="198"/>
      <c r="BI40" s="198"/>
      <c r="BJ40" s="198"/>
      <c r="BK40" s="198"/>
      <c r="BL40" s="198"/>
      <c r="BM40" s="198"/>
      <c r="BN40" s="198"/>
      <c r="BO40" s="198"/>
      <c r="BP40" s="198"/>
      <c r="BQ40" s="198"/>
      <c r="BR40" s="198"/>
      <c r="BS40" s="198"/>
      <c r="BT40" s="198"/>
      <c r="BU40" s="198"/>
      <c r="BV40" s="198"/>
      <c r="BW40" s="198"/>
      <c r="BX40" s="198"/>
      <c r="BY40" s="198"/>
      <c r="BZ40" s="198"/>
      <c r="CA40" s="198"/>
      <c r="CB40" s="198"/>
      <c r="CC40" s="198"/>
      <c r="CD40" s="198"/>
      <c r="CE40" s="198"/>
      <c r="CF40" s="198"/>
      <c r="CG40" s="198"/>
      <c r="CH40" s="198"/>
      <c r="CI40" s="198"/>
      <c r="CJ40" s="198"/>
      <c r="CK40" s="198"/>
      <c r="CL40" s="198"/>
      <c r="CM40" s="198"/>
      <c r="CN40" s="198"/>
      <c r="CO40" s="198"/>
      <c r="CP40" s="198"/>
      <c r="CQ40" s="198"/>
      <c r="CR40" s="198"/>
      <c r="CS40" s="198"/>
      <c r="CT40" s="198"/>
      <c r="CU40" s="198"/>
      <c r="CV40" s="198"/>
      <c r="CW40" s="198"/>
      <c r="CX40" s="198"/>
      <c r="CY40" s="198"/>
      <c r="CZ40" s="198"/>
      <c r="DA40" s="198"/>
      <c r="DB40" s="198"/>
      <c r="DC40" s="198"/>
      <c r="DD40" s="198"/>
      <c r="DE40" s="198"/>
      <c r="DF40" s="198"/>
      <c r="DG40" s="198"/>
      <c r="DH40" s="198"/>
      <c r="DI40" s="198"/>
      <c r="DJ40" s="198"/>
      <c r="DK40" s="198"/>
      <c r="DL40" s="198"/>
      <c r="DM40" s="198"/>
      <c r="DN40" s="198"/>
      <c r="DO40" s="198"/>
      <c r="DP40" s="198"/>
      <c r="DQ40" s="198"/>
      <c r="DR40" s="198"/>
      <c r="DS40" s="198"/>
      <c r="DT40" s="198"/>
      <c r="DU40" s="198"/>
      <c r="DV40" s="198"/>
      <c r="DW40" s="198"/>
      <c r="DX40" s="198"/>
      <c r="DY40" s="198"/>
      <c r="DZ40" s="198"/>
      <c r="EA40" s="198"/>
      <c r="EB40" s="198"/>
      <c r="EC40" s="198"/>
      <c r="ED40" s="198"/>
      <c r="EE40" s="200">
        <f t="shared" ref="EE40:EF40" si="48">30-30</f>
        <v>0</v>
      </c>
      <c r="EF40" s="200">
        <f t="shared" si="48"/>
        <v>0</v>
      </c>
      <c r="EG40" s="198"/>
      <c r="EH40" s="198"/>
      <c r="EI40" s="200">
        <f t="shared" ref="EI40:EJ40" si="49">30-30</f>
        <v>0</v>
      </c>
      <c r="EJ40" s="200">
        <f t="shared" si="49"/>
        <v>0</v>
      </c>
      <c r="EK40" s="200">
        <f t="shared" ref="EK40:EM40" si="50">50-50</f>
        <v>0</v>
      </c>
      <c r="EL40" s="200">
        <f t="shared" si="50"/>
        <v>0</v>
      </c>
      <c r="EM40" s="200">
        <f t="shared" si="50"/>
        <v>0</v>
      </c>
      <c r="EN40" s="198"/>
      <c r="EO40" s="198"/>
      <c r="EP40" s="198"/>
      <c r="EQ40" s="200">
        <f>100-100</f>
        <v>0</v>
      </c>
      <c r="ER40" s="198"/>
      <c r="ES40" s="198"/>
      <c r="ET40" s="198"/>
      <c r="EU40" s="198"/>
      <c r="EV40" s="198"/>
      <c r="EW40" s="198"/>
      <c r="EX40" s="198"/>
      <c r="EY40" s="198"/>
      <c r="EZ40" s="198"/>
      <c r="FA40" s="198"/>
      <c r="FB40" s="198"/>
      <c r="FC40" s="198"/>
      <c r="FD40" s="198"/>
      <c r="FE40" s="198"/>
      <c r="FF40" s="198"/>
      <c r="FG40" s="198"/>
      <c r="FH40" s="198"/>
      <c r="FI40" s="198"/>
      <c r="FJ40" s="198"/>
      <c r="FK40" s="200">
        <f t="shared" ref="FK40:FL40" si="51">100-100</f>
        <v>0</v>
      </c>
      <c r="FL40" s="200">
        <f t="shared" si="51"/>
        <v>0</v>
      </c>
      <c r="FM40" s="199">
        <f>100-100+10</f>
        <v>10</v>
      </c>
      <c r="FN40" s="198"/>
      <c r="FO40" s="198"/>
      <c r="FP40" s="201"/>
      <c r="FQ40" s="202" t="s">
        <v>756</v>
      </c>
      <c r="FR40" s="203" t="s">
        <v>389</v>
      </c>
      <c r="FS40" s="203"/>
      <c r="FT40" s="203" t="s">
        <v>429</v>
      </c>
      <c r="FU40" s="204">
        <f t="shared" si="0"/>
        <v>60</v>
      </c>
      <c r="FV40" s="205" t="s">
        <v>414</v>
      </c>
    </row>
    <row r="41" spans="1:178" s="174" customFormat="1" ht="11.4">
      <c r="A41" s="196" t="s">
        <v>393</v>
      </c>
      <c r="B41" s="196" t="s">
        <v>385</v>
      </c>
      <c r="C41" s="196" t="s">
        <v>411</v>
      </c>
      <c r="D41" s="196" t="s">
        <v>291</v>
      </c>
      <c r="E41" s="197" t="s">
        <v>430</v>
      </c>
      <c r="F41" s="196" t="s">
        <v>388</v>
      </c>
      <c r="G41" s="196"/>
      <c r="H41" s="198"/>
      <c r="I41" s="198"/>
      <c r="J41" s="198"/>
      <c r="K41" s="198"/>
      <c r="L41" s="198"/>
      <c r="M41" s="198"/>
      <c r="N41" s="198"/>
      <c r="O41" s="198"/>
      <c r="P41" s="198"/>
      <c r="Q41" s="198"/>
      <c r="R41" s="198"/>
      <c r="S41" s="198"/>
      <c r="T41" s="198"/>
      <c r="U41" s="198"/>
      <c r="V41" s="198"/>
      <c r="W41" s="198"/>
      <c r="X41" s="198"/>
      <c r="Y41" s="198"/>
      <c r="Z41" s="198"/>
      <c r="AA41" s="198"/>
      <c r="AB41" s="198"/>
      <c r="AC41" s="198"/>
      <c r="AD41" s="198"/>
      <c r="AE41" s="198"/>
      <c r="AF41" s="198"/>
      <c r="AG41" s="200">
        <f>20-20</f>
        <v>0</v>
      </c>
      <c r="AH41" s="198"/>
      <c r="AI41" s="198"/>
      <c r="AJ41" s="198"/>
      <c r="AK41" s="198"/>
      <c r="AL41" s="198"/>
      <c r="AM41" s="198"/>
      <c r="AN41" s="198"/>
      <c r="AO41" s="198"/>
      <c r="AP41" s="198"/>
      <c r="AQ41" s="198"/>
      <c r="AR41" s="198"/>
      <c r="AS41" s="198"/>
      <c r="AT41" s="198"/>
      <c r="AU41" s="198"/>
      <c r="AV41" s="198"/>
      <c r="AW41" s="198"/>
      <c r="AX41" s="198"/>
      <c r="AY41" s="198"/>
      <c r="AZ41" s="198"/>
      <c r="BA41" s="198"/>
      <c r="BB41" s="198"/>
      <c r="BC41" s="198"/>
      <c r="BD41" s="198"/>
      <c r="BE41" s="198"/>
      <c r="BF41" s="198"/>
      <c r="BG41" s="198"/>
      <c r="BH41" s="198"/>
      <c r="BI41" s="198"/>
      <c r="BJ41" s="198"/>
      <c r="BK41" s="198"/>
      <c r="BL41" s="198"/>
      <c r="BM41" s="198"/>
      <c r="BN41" s="198"/>
      <c r="BO41" s="198"/>
      <c r="BP41" s="198"/>
      <c r="BQ41" s="198"/>
      <c r="BR41" s="198"/>
      <c r="BS41" s="198"/>
      <c r="BT41" s="198"/>
      <c r="BU41" s="198"/>
      <c r="BV41" s="198"/>
      <c r="BW41" s="198"/>
      <c r="BX41" s="198"/>
      <c r="BY41" s="198"/>
      <c r="BZ41" s="198"/>
      <c r="CA41" s="198"/>
      <c r="CB41" s="198"/>
      <c r="CC41" s="198"/>
      <c r="CD41" s="198"/>
      <c r="CE41" s="198"/>
      <c r="CF41" s="198"/>
      <c r="CG41" s="198"/>
      <c r="CH41" s="198"/>
      <c r="CI41" s="198"/>
      <c r="CJ41" s="198"/>
      <c r="CK41" s="198"/>
      <c r="CL41" s="198"/>
      <c r="CM41" s="198"/>
      <c r="CN41" s="198"/>
      <c r="CO41" s="198"/>
      <c r="CP41" s="198"/>
      <c r="CQ41" s="198"/>
      <c r="CR41" s="198"/>
      <c r="CS41" s="198"/>
      <c r="CT41" s="198"/>
      <c r="CU41" s="198"/>
      <c r="CV41" s="198"/>
      <c r="CW41" s="198"/>
      <c r="CX41" s="198"/>
      <c r="CY41" s="198"/>
      <c r="CZ41" s="198"/>
      <c r="DA41" s="198"/>
      <c r="DB41" s="198"/>
      <c r="DC41" s="198"/>
      <c r="DD41" s="198"/>
      <c r="DE41" s="198"/>
      <c r="DF41" s="198"/>
      <c r="DG41" s="198"/>
      <c r="DH41" s="198"/>
      <c r="DI41" s="198"/>
      <c r="DJ41" s="198"/>
      <c r="DK41" s="198"/>
      <c r="DL41" s="198"/>
      <c r="DM41" s="198"/>
      <c r="DN41" s="198"/>
      <c r="DO41" s="198"/>
      <c r="DP41" s="198"/>
      <c r="DQ41" s="198"/>
      <c r="DR41" s="198"/>
      <c r="DS41" s="198"/>
      <c r="DT41" s="198"/>
      <c r="DU41" s="198"/>
      <c r="DV41" s="198"/>
      <c r="DW41" s="198"/>
      <c r="DX41" s="198"/>
      <c r="DY41" s="198"/>
      <c r="DZ41" s="198"/>
      <c r="EA41" s="198"/>
      <c r="EB41" s="198"/>
      <c r="EC41" s="198"/>
      <c r="ED41" s="198"/>
      <c r="EE41" s="198"/>
      <c r="EF41" s="198"/>
      <c r="EG41" s="198"/>
      <c r="EH41" s="198"/>
      <c r="EI41" s="198"/>
      <c r="EJ41" s="198"/>
      <c r="EK41" s="198"/>
      <c r="EL41" s="198"/>
      <c r="EM41" s="198"/>
      <c r="EN41" s="198"/>
      <c r="EO41" s="198"/>
      <c r="EP41" s="198"/>
      <c r="EQ41" s="198"/>
      <c r="ER41" s="198"/>
      <c r="ES41" s="198"/>
      <c r="ET41" s="198"/>
      <c r="EU41" s="198"/>
      <c r="EV41" s="198"/>
      <c r="EW41" s="198"/>
      <c r="EX41" s="198"/>
      <c r="EY41" s="198"/>
      <c r="EZ41" s="198"/>
      <c r="FA41" s="198"/>
      <c r="FB41" s="198"/>
      <c r="FC41" s="198"/>
      <c r="FD41" s="198"/>
      <c r="FE41" s="198"/>
      <c r="FF41" s="198"/>
      <c r="FG41" s="198"/>
      <c r="FH41" s="198"/>
      <c r="FI41" s="198"/>
      <c r="FJ41" s="198"/>
      <c r="FK41" s="198"/>
      <c r="FL41" s="198"/>
      <c r="FM41" s="198"/>
      <c r="FN41" s="198"/>
      <c r="FO41" s="198"/>
      <c r="FP41" s="201">
        <v>81742</v>
      </c>
      <c r="FQ41" s="202" t="s">
        <v>756</v>
      </c>
      <c r="FR41" s="203" t="s">
        <v>389</v>
      </c>
      <c r="FS41" s="203" t="s">
        <v>431</v>
      </c>
      <c r="FT41" s="203" t="s">
        <v>432</v>
      </c>
      <c r="FU41" s="204">
        <f t="shared" si="0"/>
        <v>0</v>
      </c>
      <c r="FV41" s="205" t="s">
        <v>433</v>
      </c>
    </row>
    <row r="42" spans="1:178" s="174" customFormat="1" ht="11.4">
      <c r="A42" s="196" t="s">
        <v>393</v>
      </c>
      <c r="B42" s="196" t="s">
        <v>385</v>
      </c>
      <c r="C42" s="196" t="s">
        <v>411</v>
      </c>
      <c r="D42" s="196" t="s">
        <v>1</v>
      </c>
      <c r="E42" s="197" t="s">
        <v>430</v>
      </c>
      <c r="F42" s="196" t="s">
        <v>388</v>
      </c>
      <c r="G42" s="196"/>
      <c r="H42" s="198"/>
      <c r="I42" s="198"/>
      <c r="J42" s="198"/>
      <c r="K42" s="198"/>
      <c r="L42" s="198"/>
      <c r="M42" s="198"/>
      <c r="N42" s="198"/>
      <c r="O42" s="198"/>
      <c r="P42" s="198"/>
      <c r="Q42" s="198"/>
      <c r="R42" s="198"/>
      <c r="S42" s="198"/>
      <c r="T42" s="198"/>
      <c r="U42" s="198"/>
      <c r="V42" s="198"/>
      <c r="W42" s="198"/>
      <c r="X42" s="198"/>
      <c r="Y42" s="198"/>
      <c r="Z42" s="198"/>
      <c r="AA42" s="198"/>
      <c r="AB42" s="198"/>
      <c r="AC42" s="198"/>
      <c r="AD42" s="198"/>
      <c r="AE42" s="198"/>
      <c r="AF42" s="198"/>
      <c r="AG42" s="198"/>
      <c r="AH42" s="198"/>
      <c r="AI42" s="198"/>
      <c r="AJ42" s="198"/>
      <c r="AK42" s="198"/>
      <c r="AL42" s="198"/>
      <c r="AM42" s="198"/>
      <c r="AN42" s="198"/>
      <c r="AO42" s="198"/>
      <c r="AP42" s="198"/>
      <c r="AQ42" s="198"/>
      <c r="AR42" s="198"/>
      <c r="AS42" s="198"/>
      <c r="AT42" s="198"/>
      <c r="AU42" s="198"/>
      <c r="AV42" s="198"/>
      <c r="AW42" s="198"/>
      <c r="AX42" s="198"/>
      <c r="AY42" s="198"/>
      <c r="AZ42" s="198"/>
      <c r="BA42" s="198"/>
      <c r="BB42" s="198"/>
      <c r="BC42" s="198"/>
      <c r="BD42" s="198"/>
      <c r="BE42" s="198"/>
      <c r="BF42" s="198"/>
      <c r="BG42" s="198"/>
      <c r="BH42" s="198"/>
      <c r="BI42" s="198"/>
      <c r="BJ42" s="198"/>
      <c r="BK42" s="198"/>
      <c r="BL42" s="198"/>
      <c r="BM42" s="198"/>
      <c r="BN42" s="198"/>
      <c r="BO42" s="198"/>
      <c r="BP42" s="198"/>
      <c r="BQ42" s="198"/>
      <c r="BR42" s="198"/>
      <c r="BS42" s="198"/>
      <c r="BT42" s="198"/>
      <c r="BU42" s="198"/>
      <c r="BV42" s="198"/>
      <c r="BW42" s="198"/>
      <c r="BX42" s="198"/>
      <c r="BY42" s="198"/>
      <c r="BZ42" s="198"/>
      <c r="CA42" s="198"/>
      <c r="CB42" s="198"/>
      <c r="CC42" s="198"/>
      <c r="CD42" s="198"/>
      <c r="CE42" s="198"/>
      <c r="CF42" s="198"/>
      <c r="CG42" s="198"/>
      <c r="CH42" s="198"/>
      <c r="CI42" s="198"/>
      <c r="CJ42" s="198"/>
      <c r="CK42" s="198"/>
      <c r="CL42" s="198"/>
      <c r="CM42" s="198"/>
      <c r="CN42" s="198"/>
      <c r="CO42" s="198"/>
      <c r="CP42" s="198"/>
      <c r="CQ42" s="198"/>
      <c r="CR42" s="198"/>
      <c r="CS42" s="198"/>
      <c r="CT42" s="198"/>
      <c r="CU42" s="198"/>
      <c r="CV42" s="198"/>
      <c r="CW42" s="198"/>
      <c r="CX42" s="198"/>
      <c r="CY42" s="198"/>
      <c r="CZ42" s="198"/>
      <c r="DA42" s="198"/>
      <c r="DB42" s="198"/>
      <c r="DC42" s="198"/>
      <c r="DD42" s="198"/>
      <c r="DE42" s="198"/>
      <c r="DF42" s="198"/>
      <c r="DG42" s="198"/>
      <c r="DH42" s="198"/>
      <c r="DI42" s="198"/>
      <c r="DJ42" s="198"/>
      <c r="DK42" s="198"/>
      <c r="DL42" s="198"/>
      <c r="DM42" s="198"/>
      <c r="DN42" s="198"/>
      <c r="DO42" s="198"/>
      <c r="DP42" s="198"/>
      <c r="DQ42" s="198"/>
      <c r="DR42" s="198"/>
      <c r="DS42" s="198"/>
      <c r="DT42" s="198"/>
      <c r="DU42" s="198"/>
      <c r="DV42" s="198"/>
      <c r="DW42" s="198"/>
      <c r="DX42" s="198"/>
      <c r="DY42" s="198"/>
      <c r="DZ42" s="198"/>
      <c r="EA42" s="198"/>
      <c r="EB42" s="198"/>
      <c r="EC42" s="198"/>
      <c r="ED42" s="198"/>
      <c r="EE42" s="198"/>
      <c r="EF42" s="198"/>
      <c r="EG42" s="198"/>
      <c r="EH42" s="198"/>
      <c r="EI42" s="198"/>
      <c r="EJ42" s="198"/>
      <c r="EK42" s="200">
        <f>10-10</f>
        <v>0</v>
      </c>
      <c r="EL42" s="198"/>
      <c r="EM42" s="198"/>
      <c r="EN42" s="198"/>
      <c r="EO42" s="198"/>
      <c r="EP42" s="198"/>
      <c r="EQ42" s="198"/>
      <c r="ER42" s="198"/>
      <c r="ES42" s="200">
        <f>10-10</f>
        <v>0</v>
      </c>
      <c r="ET42" s="198"/>
      <c r="EU42" s="198"/>
      <c r="EV42" s="198"/>
      <c r="EW42" s="198"/>
      <c r="EX42" s="198"/>
      <c r="EY42" s="198"/>
      <c r="EZ42" s="198"/>
      <c r="FA42" s="198"/>
      <c r="FB42" s="198"/>
      <c r="FC42" s="198"/>
      <c r="FD42" s="198"/>
      <c r="FE42" s="198"/>
      <c r="FF42" s="198"/>
      <c r="FG42" s="198"/>
      <c r="FH42" s="198"/>
      <c r="FI42" s="198"/>
      <c r="FJ42" s="198"/>
      <c r="FK42" s="198"/>
      <c r="FL42" s="198"/>
      <c r="FM42" s="198"/>
      <c r="FN42" s="198"/>
      <c r="FO42" s="198"/>
      <c r="FP42" s="201">
        <v>81742</v>
      </c>
      <c r="FQ42" s="202" t="s">
        <v>756</v>
      </c>
      <c r="FR42" s="203" t="s">
        <v>389</v>
      </c>
      <c r="FS42" s="203" t="s">
        <v>431</v>
      </c>
      <c r="FT42" s="203" t="s">
        <v>432</v>
      </c>
      <c r="FU42" s="204">
        <f t="shared" si="0"/>
        <v>0</v>
      </c>
      <c r="FV42" s="205" t="s">
        <v>433</v>
      </c>
    </row>
    <row r="43" spans="1:178" s="174" customFormat="1" ht="11.4">
      <c r="A43" s="196" t="s">
        <v>393</v>
      </c>
      <c r="B43" s="196" t="s">
        <v>385</v>
      </c>
      <c r="C43" s="196" t="s">
        <v>411</v>
      </c>
      <c r="D43" s="196" t="s">
        <v>1</v>
      </c>
      <c r="E43" s="209" t="s">
        <v>430</v>
      </c>
      <c r="F43" s="196" t="s">
        <v>388</v>
      </c>
      <c r="G43" s="196"/>
      <c r="H43" s="198"/>
      <c r="I43" s="198"/>
      <c r="J43" s="198"/>
      <c r="K43" s="198"/>
      <c r="L43" s="198"/>
      <c r="M43" s="198"/>
      <c r="N43" s="198"/>
      <c r="O43" s="198"/>
      <c r="P43" s="198"/>
      <c r="Q43" s="198"/>
      <c r="R43" s="198"/>
      <c r="S43" s="198"/>
      <c r="T43" s="198"/>
      <c r="U43" s="198"/>
      <c r="V43" s="198"/>
      <c r="W43" s="198"/>
      <c r="X43" s="198"/>
      <c r="Y43" s="198"/>
      <c r="Z43" s="198"/>
      <c r="AA43" s="198"/>
      <c r="AB43" s="198"/>
      <c r="AC43" s="198"/>
      <c r="AD43" s="198"/>
      <c r="AE43" s="198"/>
      <c r="AF43" s="198"/>
      <c r="AG43" s="198"/>
      <c r="AH43" s="198"/>
      <c r="AI43" s="198"/>
      <c r="AJ43" s="198"/>
      <c r="AK43" s="198"/>
      <c r="AL43" s="198"/>
      <c r="AM43" s="198"/>
      <c r="AN43" s="198"/>
      <c r="AO43" s="198"/>
      <c r="AP43" s="198"/>
      <c r="AQ43" s="198"/>
      <c r="AR43" s="198"/>
      <c r="AS43" s="198"/>
      <c r="AT43" s="198"/>
      <c r="AU43" s="198"/>
      <c r="AV43" s="198"/>
      <c r="AW43" s="198"/>
      <c r="AX43" s="198"/>
      <c r="AY43" s="198"/>
      <c r="AZ43" s="198"/>
      <c r="BA43" s="198"/>
      <c r="BB43" s="198"/>
      <c r="BC43" s="198"/>
      <c r="BD43" s="198"/>
      <c r="BE43" s="198"/>
      <c r="BF43" s="198"/>
      <c r="BG43" s="198"/>
      <c r="BH43" s="198"/>
      <c r="BI43" s="198"/>
      <c r="BJ43" s="198"/>
      <c r="BK43" s="198"/>
      <c r="BL43" s="198"/>
      <c r="BM43" s="198"/>
      <c r="BN43" s="198"/>
      <c r="BO43" s="198"/>
      <c r="BP43" s="198"/>
      <c r="BQ43" s="198"/>
      <c r="BR43" s="198"/>
      <c r="BS43" s="198"/>
      <c r="BT43" s="198"/>
      <c r="BU43" s="198"/>
      <c r="BV43" s="198"/>
      <c r="BW43" s="198"/>
      <c r="BX43" s="198"/>
      <c r="BY43" s="198"/>
      <c r="BZ43" s="198"/>
      <c r="CA43" s="198"/>
      <c r="CB43" s="198"/>
      <c r="CC43" s="198"/>
      <c r="CD43" s="198"/>
      <c r="CE43" s="198"/>
      <c r="CF43" s="198"/>
      <c r="CG43" s="198"/>
      <c r="CH43" s="198"/>
      <c r="CI43" s="198"/>
      <c r="CJ43" s="198"/>
      <c r="CK43" s="198"/>
      <c r="CL43" s="198"/>
      <c r="CM43" s="198"/>
      <c r="CN43" s="198"/>
      <c r="CO43" s="198"/>
      <c r="CP43" s="198"/>
      <c r="CQ43" s="198"/>
      <c r="CR43" s="198"/>
      <c r="CS43" s="198"/>
      <c r="CT43" s="198"/>
      <c r="CU43" s="198"/>
      <c r="CV43" s="198"/>
      <c r="CW43" s="198"/>
      <c r="CX43" s="198"/>
      <c r="CY43" s="198"/>
      <c r="CZ43" s="198"/>
      <c r="DA43" s="198"/>
      <c r="DB43" s="198"/>
      <c r="DC43" s="198"/>
      <c r="DD43" s="198"/>
      <c r="DE43" s="198"/>
      <c r="DF43" s="198"/>
      <c r="DG43" s="198"/>
      <c r="DH43" s="198"/>
      <c r="DI43" s="198"/>
      <c r="DJ43" s="198"/>
      <c r="DK43" s="198"/>
      <c r="DL43" s="198"/>
      <c r="DM43" s="198"/>
      <c r="DN43" s="198"/>
      <c r="DO43" s="198"/>
      <c r="DP43" s="198"/>
      <c r="DQ43" s="198"/>
      <c r="DR43" s="198"/>
      <c r="DS43" s="198"/>
      <c r="DT43" s="198"/>
      <c r="DU43" s="198"/>
      <c r="DV43" s="198"/>
      <c r="DW43" s="198"/>
      <c r="DX43" s="198"/>
      <c r="DY43" s="198"/>
      <c r="DZ43" s="198"/>
      <c r="EA43" s="198"/>
      <c r="EB43" s="198"/>
      <c r="EC43" s="198"/>
      <c r="ED43" s="198"/>
      <c r="EE43" s="198"/>
      <c r="EF43" s="198"/>
      <c r="EG43" s="198"/>
      <c r="EH43" s="198"/>
      <c r="EI43" s="198"/>
      <c r="EJ43" s="198"/>
      <c r="EK43" s="198"/>
      <c r="EL43" s="198"/>
      <c r="EM43" s="200">
        <f>10-10</f>
        <v>0</v>
      </c>
      <c r="EN43" s="198"/>
      <c r="EO43" s="198"/>
      <c r="EP43" s="200">
        <f>10-10</f>
        <v>0</v>
      </c>
      <c r="EQ43" s="198"/>
      <c r="ER43" s="198"/>
      <c r="ES43" s="200">
        <f>20-20</f>
        <v>0</v>
      </c>
      <c r="ET43" s="198"/>
      <c r="EU43" s="198"/>
      <c r="EV43" s="198"/>
      <c r="EW43" s="198"/>
      <c r="EX43" s="198"/>
      <c r="EY43" s="198"/>
      <c r="EZ43" s="198"/>
      <c r="FA43" s="198"/>
      <c r="FB43" s="198"/>
      <c r="FC43" s="198"/>
      <c r="FD43" s="198"/>
      <c r="FE43" s="198"/>
      <c r="FF43" s="198"/>
      <c r="FG43" s="198"/>
      <c r="FH43" s="198"/>
      <c r="FI43" s="198"/>
      <c r="FJ43" s="198"/>
      <c r="FK43" s="198"/>
      <c r="FL43" s="198"/>
      <c r="FM43" s="198"/>
      <c r="FN43" s="198"/>
      <c r="FO43" s="198"/>
      <c r="FP43" s="201">
        <v>81907</v>
      </c>
      <c r="FQ43" s="202" t="s">
        <v>756</v>
      </c>
      <c r="FR43" s="203" t="s">
        <v>389</v>
      </c>
      <c r="FS43" s="203" t="s">
        <v>431</v>
      </c>
      <c r="FT43" s="203" t="s">
        <v>432</v>
      </c>
      <c r="FU43" s="204">
        <f t="shared" si="0"/>
        <v>0</v>
      </c>
      <c r="FV43" s="205" t="s">
        <v>433</v>
      </c>
    </row>
    <row r="44" spans="1:178" s="174" customFormat="1" ht="11.4">
      <c r="A44" s="196" t="s">
        <v>393</v>
      </c>
      <c r="B44" s="196" t="s">
        <v>385</v>
      </c>
      <c r="C44" s="196" t="s">
        <v>411</v>
      </c>
      <c r="D44" s="196" t="s">
        <v>291</v>
      </c>
      <c r="E44" s="197" t="s">
        <v>430</v>
      </c>
      <c r="F44" s="196" t="s">
        <v>388</v>
      </c>
      <c r="G44" s="196"/>
      <c r="H44" s="198"/>
      <c r="I44" s="198"/>
      <c r="J44" s="198"/>
      <c r="K44" s="200">
        <f>10-10</f>
        <v>0</v>
      </c>
      <c r="L44" s="198"/>
      <c r="M44" s="198"/>
      <c r="N44" s="198"/>
      <c r="O44" s="198"/>
      <c r="P44" s="198"/>
      <c r="Q44" s="198"/>
      <c r="R44" s="198"/>
      <c r="S44" s="198"/>
      <c r="T44" s="198"/>
      <c r="U44" s="198"/>
      <c r="V44" s="198"/>
      <c r="W44" s="198"/>
      <c r="X44" s="198"/>
      <c r="Y44" s="198"/>
      <c r="Z44" s="198"/>
      <c r="AA44" s="198"/>
      <c r="AB44" s="198"/>
      <c r="AC44" s="198"/>
      <c r="AD44" s="198"/>
      <c r="AE44" s="198"/>
      <c r="AF44" s="198"/>
      <c r="AG44" s="198"/>
      <c r="AH44" s="198"/>
      <c r="AI44" s="198"/>
      <c r="AJ44" s="198"/>
      <c r="AK44" s="198"/>
      <c r="AL44" s="198"/>
      <c r="AM44" s="198"/>
      <c r="AN44" s="198"/>
      <c r="AO44" s="198"/>
      <c r="AP44" s="198"/>
      <c r="AQ44" s="198"/>
      <c r="AR44" s="198"/>
      <c r="AS44" s="198"/>
      <c r="AT44" s="198"/>
      <c r="AU44" s="198"/>
      <c r="AV44" s="198"/>
      <c r="AW44" s="198"/>
      <c r="AX44" s="198"/>
      <c r="AY44" s="198"/>
      <c r="AZ44" s="198"/>
      <c r="BA44" s="198"/>
      <c r="BB44" s="198"/>
      <c r="BC44" s="198"/>
      <c r="BD44" s="198"/>
      <c r="BE44" s="198"/>
      <c r="BF44" s="198"/>
      <c r="BG44" s="198"/>
      <c r="BH44" s="198"/>
      <c r="BI44" s="198"/>
      <c r="BJ44" s="198"/>
      <c r="BK44" s="198"/>
      <c r="BL44" s="198"/>
      <c r="BM44" s="198"/>
      <c r="BN44" s="198"/>
      <c r="BO44" s="198"/>
      <c r="BP44" s="198"/>
      <c r="BQ44" s="198"/>
      <c r="BR44" s="198"/>
      <c r="BS44" s="198"/>
      <c r="BT44" s="198"/>
      <c r="BU44" s="198"/>
      <c r="BV44" s="198"/>
      <c r="BW44" s="198"/>
      <c r="BX44" s="198"/>
      <c r="BY44" s="198"/>
      <c r="BZ44" s="198"/>
      <c r="CA44" s="198"/>
      <c r="CB44" s="198"/>
      <c r="CC44" s="198"/>
      <c r="CD44" s="198"/>
      <c r="CE44" s="198"/>
      <c r="CF44" s="198"/>
      <c r="CG44" s="198"/>
      <c r="CH44" s="198"/>
      <c r="CI44" s="198"/>
      <c r="CJ44" s="198"/>
      <c r="CK44" s="198"/>
      <c r="CL44" s="198"/>
      <c r="CM44" s="198"/>
      <c r="CN44" s="198"/>
      <c r="CO44" s="198"/>
      <c r="CP44" s="198"/>
      <c r="CQ44" s="198"/>
      <c r="CR44" s="198"/>
      <c r="CS44" s="198"/>
      <c r="CT44" s="198"/>
      <c r="CU44" s="198"/>
      <c r="CV44" s="198"/>
      <c r="CW44" s="198"/>
      <c r="CX44" s="198"/>
      <c r="CY44" s="198"/>
      <c r="CZ44" s="198"/>
      <c r="DA44" s="198"/>
      <c r="DB44" s="198"/>
      <c r="DC44" s="198"/>
      <c r="DD44" s="198"/>
      <c r="DE44" s="198"/>
      <c r="DF44" s="198"/>
      <c r="DG44" s="198"/>
      <c r="DH44" s="198"/>
      <c r="DI44" s="198"/>
      <c r="DJ44" s="198"/>
      <c r="DK44" s="198"/>
      <c r="DL44" s="198"/>
      <c r="DM44" s="198"/>
      <c r="DN44" s="198"/>
      <c r="DO44" s="198"/>
      <c r="DP44" s="198"/>
      <c r="DQ44" s="198"/>
      <c r="DR44" s="198"/>
      <c r="DS44" s="198"/>
      <c r="DT44" s="198"/>
      <c r="DU44" s="198"/>
      <c r="DV44" s="198"/>
      <c r="DW44" s="198"/>
      <c r="DX44" s="198"/>
      <c r="DY44" s="198"/>
      <c r="DZ44" s="198"/>
      <c r="EA44" s="198"/>
      <c r="EB44" s="198"/>
      <c r="EC44" s="198"/>
      <c r="ED44" s="198"/>
      <c r="EE44" s="198"/>
      <c r="EF44" s="198"/>
      <c r="EG44" s="198"/>
      <c r="EH44" s="198"/>
      <c r="EI44" s="198"/>
      <c r="EJ44" s="198"/>
      <c r="EK44" s="198"/>
      <c r="EL44" s="198"/>
      <c r="EM44" s="198"/>
      <c r="EN44" s="198"/>
      <c r="EO44" s="198"/>
      <c r="EP44" s="198"/>
      <c r="EQ44" s="198"/>
      <c r="ER44" s="198"/>
      <c r="ES44" s="198"/>
      <c r="ET44" s="198"/>
      <c r="EU44" s="198"/>
      <c r="EV44" s="198"/>
      <c r="EW44" s="198"/>
      <c r="EX44" s="198"/>
      <c r="EY44" s="198"/>
      <c r="EZ44" s="198"/>
      <c r="FA44" s="198"/>
      <c r="FB44" s="198"/>
      <c r="FC44" s="198"/>
      <c r="FD44" s="198"/>
      <c r="FE44" s="198"/>
      <c r="FF44" s="198"/>
      <c r="FG44" s="198"/>
      <c r="FH44" s="198"/>
      <c r="FI44" s="198"/>
      <c r="FJ44" s="198"/>
      <c r="FK44" s="198"/>
      <c r="FL44" s="198"/>
      <c r="FM44" s="198"/>
      <c r="FN44" s="198"/>
      <c r="FO44" s="198"/>
      <c r="FP44" s="201">
        <v>81981</v>
      </c>
      <c r="FQ44" s="202" t="s">
        <v>756</v>
      </c>
      <c r="FR44" s="203" t="s">
        <v>389</v>
      </c>
      <c r="FS44" s="203" t="s">
        <v>431</v>
      </c>
      <c r="FT44" s="203" t="s">
        <v>432</v>
      </c>
      <c r="FU44" s="204">
        <f t="shared" si="0"/>
        <v>0</v>
      </c>
      <c r="FV44" s="205" t="s">
        <v>433</v>
      </c>
    </row>
    <row r="45" spans="1:178" s="174" customFormat="1" ht="11.4">
      <c r="A45" s="196" t="s">
        <v>393</v>
      </c>
      <c r="B45" s="196" t="s">
        <v>385</v>
      </c>
      <c r="C45" s="196" t="s">
        <v>411</v>
      </c>
      <c r="D45" s="196" t="s">
        <v>1</v>
      </c>
      <c r="E45" s="197" t="s">
        <v>430</v>
      </c>
      <c r="F45" s="196" t="s">
        <v>388</v>
      </c>
      <c r="G45" s="196"/>
      <c r="H45" s="198"/>
      <c r="I45" s="198"/>
      <c r="J45" s="198"/>
      <c r="K45" s="198"/>
      <c r="L45" s="198"/>
      <c r="M45" s="198"/>
      <c r="N45" s="198"/>
      <c r="O45" s="198"/>
      <c r="P45" s="198"/>
      <c r="Q45" s="198"/>
      <c r="R45" s="198"/>
      <c r="S45" s="198"/>
      <c r="T45" s="198"/>
      <c r="U45" s="198"/>
      <c r="V45" s="198"/>
      <c r="W45" s="198"/>
      <c r="X45" s="198"/>
      <c r="Y45" s="198"/>
      <c r="Z45" s="198"/>
      <c r="AA45" s="200">
        <f>10-10</f>
        <v>0</v>
      </c>
      <c r="AB45" s="198"/>
      <c r="AC45" s="198"/>
      <c r="AD45" s="198"/>
      <c r="AE45" s="198"/>
      <c r="AF45" s="198"/>
      <c r="AG45" s="198"/>
      <c r="AH45" s="198"/>
      <c r="AI45" s="198"/>
      <c r="AJ45" s="198"/>
      <c r="AK45" s="198"/>
      <c r="AL45" s="198"/>
      <c r="AM45" s="198"/>
      <c r="AN45" s="198"/>
      <c r="AO45" s="198"/>
      <c r="AP45" s="198"/>
      <c r="AQ45" s="198"/>
      <c r="AR45" s="198"/>
      <c r="AS45" s="198"/>
      <c r="AT45" s="198"/>
      <c r="AU45" s="198"/>
      <c r="AV45" s="198"/>
      <c r="AW45" s="198"/>
      <c r="AX45" s="198"/>
      <c r="AY45" s="198"/>
      <c r="AZ45" s="198"/>
      <c r="BA45" s="198"/>
      <c r="BB45" s="198"/>
      <c r="BC45" s="198"/>
      <c r="BD45" s="198"/>
      <c r="BE45" s="198"/>
      <c r="BF45" s="198"/>
      <c r="BG45" s="198"/>
      <c r="BH45" s="198"/>
      <c r="BI45" s="198"/>
      <c r="BJ45" s="198"/>
      <c r="BK45" s="198"/>
      <c r="BL45" s="198"/>
      <c r="BM45" s="198"/>
      <c r="BN45" s="198"/>
      <c r="BO45" s="198"/>
      <c r="BP45" s="198"/>
      <c r="BQ45" s="198"/>
      <c r="BR45" s="198"/>
      <c r="BS45" s="198"/>
      <c r="BT45" s="198"/>
      <c r="BU45" s="198"/>
      <c r="BV45" s="198"/>
      <c r="BW45" s="198"/>
      <c r="BX45" s="198"/>
      <c r="BY45" s="198"/>
      <c r="BZ45" s="198"/>
      <c r="CA45" s="198"/>
      <c r="CB45" s="198"/>
      <c r="CC45" s="198"/>
      <c r="CD45" s="198"/>
      <c r="CE45" s="198"/>
      <c r="CF45" s="198"/>
      <c r="CG45" s="198"/>
      <c r="CH45" s="198"/>
      <c r="CI45" s="198"/>
      <c r="CJ45" s="198"/>
      <c r="CK45" s="198"/>
      <c r="CL45" s="198"/>
      <c r="CM45" s="198"/>
      <c r="CN45" s="198"/>
      <c r="CO45" s="198"/>
      <c r="CP45" s="198"/>
      <c r="CQ45" s="198"/>
      <c r="CR45" s="198"/>
      <c r="CS45" s="198"/>
      <c r="CT45" s="198"/>
      <c r="CU45" s="198"/>
      <c r="CV45" s="198"/>
      <c r="CW45" s="198"/>
      <c r="CX45" s="198"/>
      <c r="CY45" s="198"/>
      <c r="CZ45" s="198"/>
      <c r="DA45" s="198"/>
      <c r="DB45" s="198"/>
      <c r="DC45" s="198"/>
      <c r="DD45" s="198"/>
      <c r="DE45" s="198"/>
      <c r="DF45" s="198"/>
      <c r="DG45" s="198"/>
      <c r="DH45" s="198"/>
      <c r="DI45" s="198"/>
      <c r="DJ45" s="198"/>
      <c r="DK45" s="198"/>
      <c r="DL45" s="198"/>
      <c r="DM45" s="198"/>
      <c r="DN45" s="198"/>
      <c r="DO45" s="198"/>
      <c r="DP45" s="198"/>
      <c r="DQ45" s="198"/>
      <c r="DR45" s="198"/>
      <c r="DS45" s="198"/>
      <c r="DT45" s="198"/>
      <c r="DU45" s="198"/>
      <c r="DV45" s="198"/>
      <c r="DW45" s="198"/>
      <c r="DX45" s="198"/>
      <c r="DY45" s="198"/>
      <c r="DZ45" s="198"/>
      <c r="EA45" s="198"/>
      <c r="EB45" s="198"/>
      <c r="EC45" s="198"/>
      <c r="ED45" s="198"/>
      <c r="EE45" s="198"/>
      <c r="EF45" s="198"/>
      <c r="EG45" s="198"/>
      <c r="EH45" s="198"/>
      <c r="EI45" s="198"/>
      <c r="EJ45" s="198"/>
      <c r="EK45" s="198"/>
      <c r="EL45" s="198"/>
      <c r="EM45" s="200">
        <f>10-10</f>
        <v>0</v>
      </c>
      <c r="EN45" s="198"/>
      <c r="EO45" s="198"/>
      <c r="EP45" s="198"/>
      <c r="EQ45" s="198"/>
      <c r="ER45" s="198"/>
      <c r="ES45" s="200">
        <f>10-10</f>
        <v>0</v>
      </c>
      <c r="ET45" s="198"/>
      <c r="EU45" s="198"/>
      <c r="EV45" s="198"/>
      <c r="EW45" s="198"/>
      <c r="EX45" s="198"/>
      <c r="EY45" s="198"/>
      <c r="EZ45" s="198"/>
      <c r="FA45" s="198"/>
      <c r="FB45" s="198"/>
      <c r="FC45" s="198"/>
      <c r="FD45" s="198"/>
      <c r="FE45" s="198"/>
      <c r="FF45" s="198"/>
      <c r="FG45" s="198"/>
      <c r="FH45" s="198"/>
      <c r="FI45" s="198"/>
      <c r="FJ45" s="198"/>
      <c r="FK45" s="198"/>
      <c r="FL45" s="198"/>
      <c r="FM45" s="198"/>
      <c r="FN45" s="198"/>
      <c r="FO45" s="198"/>
      <c r="FP45" s="201">
        <v>81981</v>
      </c>
      <c r="FQ45" s="202" t="s">
        <v>756</v>
      </c>
      <c r="FR45" s="203" t="s">
        <v>389</v>
      </c>
      <c r="FS45" s="203" t="s">
        <v>431</v>
      </c>
      <c r="FT45" s="203" t="s">
        <v>432</v>
      </c>
      <c r="FU45" s="204">
        <f t="shared" si="0"/>
        <v>0</v>
      </c>
      <c r="FV45" s="205" t="s">
        <v>433</v>
      </c>
    </row>
    <row r="46" spans="1:178" s="174" customFormat="1" ht="11.4">
      <c r="A46" s="196" t="s">
        <v>393</v>
      </c>
      <c r="B46" s="196" t="s">
        <v>385</v>
      </c>
      <c r="C46" s="196" t="s">
        <v>411</v>
      </c>
      <c r="D46" s="196" t="s">
        <v>291</v>
      </c>
      <c r="E46" s="209" t="s">
        <v>430</v>
      </c>
      <c r="F46" s="196" t="s">
        <v>388</v>
      </c>
      <c r="G46" s="196"/>
      <c r="H46" s="198"/>
      <c r="I46" s="198"/>
      <c r="J46" s="198"/>
      <c r="K46" s="198"/>
      <c r="L46" s="198"/>
      <c r="M46" s="198"/>
      <c r="N46" s="198"/>
      <c r="O46" s="198"/>
      <c r="P46" s="198"/>
      <c r="Q46" s="198"/>
      <c r="R46" s="198"/>
      <c r="S46" s="198"/>
      <c r="T46" s="198"/>
      <c r="U46" s="198"/>
      <c r="V46" s="198"/>
      <c r="W46" s="198"/>
      <c r="X46" s="198"/>
      <c r="Y46" s="198"/>
      <c r="Z46" s="198"/>
      <c r="AA46" s="198"/>
      <c r="AB46" s="198"/>
      <c r="AC46" s="198"/>
      <c r="AD46" s="198"/>
      <c r="AE46" s="198"/>
      <c r="AF46" s="198"/>
      <c r="AG46" s="198"/>
      <c r="AH46" s="198"/>
      <c r="AI46" s="198"/>
      <c r="AJ46" s="198"/>
      <c r="AK46" s="198"/>
      <c r="AL46" s="198"/>
      <c r="AM46" s="198"/>
      <c r="AN46" s="198"/>
      <c r="AO46" s="198"/>
      <c r="AP46" s="198"/>
      <c r="AQ46" s="198"/>
      <c r="AR46" s="200">
        <f>10-10</f>
        <v>0</v>
      </c>
      <c r="AS46" s="198"/>
      <c r="AT46" s="198"/>
      <c r="AU46" s="198"/>
      <c r="AV46" s="198"/>
      <c r="AW46" s="198"/>
      <c r="AX46" s="198"/>
      <c r="AY46" s="198"/>
      <c r="AZ46" s="198"/>
      <c r="BA46" s="198"/>
      <c r="BB46" s="198"/>
      <c r="BC46" s="198"/>
      <c r="BD46" s="198"/>
      <c r="BE46" s="198"/>
      <c r="BF46" s="198"/>
      <c r="BG46" s="198"/>
      <c r="BH46" s="198"/>
      <c r="BI46" s="198"/>
      <c r="BJ46" s="198"/>
      <c r="BK46" s="198"/>
      <c r="BL46" s="198"/>
      <c r="BM46" s="198"/>
      <c r="BN46" s="198"/>
      <c r="BO46" s="198"/>
      <c r="BP46" s="198"/>
      <c r="BQ46" s="198"/>
      <c r="BR46" s="198"/>
      <c r="BS46" s="198"/>
      <c r="BT46" s="198"/>
      <c r="BU46" s="198"/>
      <c r="BV46" s="198"/>
      <c r="BW46" s="198"/>
      <c r="BX46" s="198"/>
      <c r="BY46" s="198"/>
      <c r="BZ46" s="198"/>
      <c r="CA46" s="198"/>
      <c r="CB46" s="198"/>
      <c r="CC46" s="198"/>
      <c r="CD46" s="198"/>
      <c r="CE46" s="198"/>
      <c r="CF46" s="198"/>
      <c r="CG46" s="198"/>
      <c r="CH46" s="198"/>
      <c r="CI46" s="198"/>
      <c r="CJ46" s="198"/>
      <c r="CK46" s="198"/>
      <c r="CL46" s="198"/>
      <c r="CM46" s="198"/>
      <c r="CN46" s="198"/>
      <c r="CO46" s="198"/>
      <c r="CP46" s="198"/>
      <c r="CQ46" s="198"/>
      <c r="CR46" s="198"/>
      <c r="CS46" s="198"/>
      <c r="CT46" s="198"/>
      <c r="CU46" s="198"/>
      <c r="CV46" s="198"/>
      <c r="CW46" s="198"/>
      <c r="CX46" s="198"/>
      <c r="CY46" s="198"/>
      <c r="CZ46" s="198"/>
      <c r="DA46" s="198"/>
      <c r="DB46" s="198"/>
      <c r="DC46" s="198"/>
      <c r="DD46" s="198"/>
      <c r="DE46" s="198"/>
      <c r="DF46" s="198"/>
      <c r="DG46" s="198"/>
      <c r="DH46" s="198"/>
      <c r="DI46" s="198"/>
      <c r="DJ46" s="198"/>
      <c r="DK46" s="198"/>
      <c r="DL46" s="198"/>
      <c r="DM46" s="198"/>
      <c r="DN46" s="198"/>
      <c r="DO46" s="198"/>
      <c r="DP46" s="198"/>
      <c r="DQ46" s="198"/>
      <c r="DR46" s="198"/>
      <c r="DS46" s="198"/>
      <c r="DT46" s="198"/>
      <c r="DU46" s="198"/>
      <c r="DV46" s="198"/>
      <c r="DW46" s="198"/>
      <c r="DX46" s="198"/>
      <c r="DY46" s="198"/>
      <c r="DZ46" s="198"/>
      <c r="EA46" s="198"/>
      <c r="EB46" s="198"/>
      <c r="EC46" s="198"/>
      <c r="ED46" s="198"/>
      <c r="EE46" s="198"/>
      <c r="EF46" s="198"/>
      <c r="EG46" s="198"/>
      <c r="EH46" s="198"/>
      <c r="EI46" s="198"/>
      <c r="EJ46" s="198"/>
      <c r="EK46" s="198"/>
      <c r="EL46" s="198"/>
      <c r="EM46" s="198"/>
      <c r="EN46" s="198"/>
      <c r="EO46" s="198"/>
      <c r="EP46" s="198"/>
      <c r="EQ46" s="198"/>
      <c r="ER46" s="198"/>
      <c r="ES46" s="198"/>
      <c r="ET46" s="198"/>
      <c r="EU46" s="198"/>
      <c r="EV46" s="198"/>
      <c r="EW46" s="198"/>
      <c r="EX46" s="198"/>
      <c r="EY46" s="198"/>
      <c r="EZ46" s="198"/>
      <c r="FA46" s="198"/>
      <c r="FB46" s="198"/>
      <c r="FC46" s="198"/>
      <c r="FD46" s="198"/>
      <c r="FE46" s="198"/>
      <c r="FF46" s="198"/>
      <c r="FG46" s="198"/>
      <c r="FH46" s="198"/>
      <c r="FI46" s="198"/>
      <c r="FJ46" s="198"/>
      <c r="FK46" s="198"/>
      <c r="FL46" s="198"/>
      <c r="FM46" s="198"/>
      <c r="FN46" s="198"/>
      <c r="FO46" s="198"/>
      <c r="FP46" s="201">
        <v>82056</v>
      </c>
      <c r="FQ46" s="202" t="s">
        <v>756</v>
      </c>
      <c r="FR46" s="203" t="s">
        <v>389</v>
      </c>
      <c r="FS46" s="203" t="s">
        <v>431</v>
      </c>
      <c r="FT46" s="203" t="s">
        <v>432</v>
      </c>
      <c r="FU46" s="204">
        <f t="shared" si="0"/>
        <v>0</v>
      </c>
      <c r="FV46" s="205" t="s">
        <v>433</v>
      </c>
    </row>
    <row r="47" spans="1:178" s="174" customFormat="1" ht="11.4">
      <c r="A47" s="196" t="s">
        <v>393</v>
      </c>
      <c r="B47" s="196" t="s">
        <v>385</v>
      </c>
      <c r="C47" s="196" t="s">
        <v>411</v>
      </c>
      <c r="D47" s="196" t="s">
        <v>1</v>
      </c>
      <c r="E47" s="209" t="s">
        <v>430</v>
      </c>
      <c r="F47" s="196" t="s">
        <v>388</v>
      </c>
      <c r="G47" s="196"/>
      <c r="H47" s="198"/>
      <c r="I47" s="198"/>
      <c r="J47" s="198"/>
      <c r="K47" s="198"/>
      <c r="L47" s="198"/>
      <c r="M47" s="198"/>
      <c r="N47" s="198"/>
      <c r="O47" s="198"/>
      <c r="P47" s="198"/>
      <c r="Q47" s="198"/>
      <c r="R47" s="198"/>
      <c r="S47" s="198"/>
      <c r="T47" s="198"/>
      <c r="U47" s="198"/>
      <c r="V47" s="198"/>
      <c r="W47" s="198"/>
      <c r="X47" s="198"/>
      <c r="Y47" s="198"/>
      <c r="Z47" s="198"/>
      <c r="AA47" s="198"/>
      <c r="AB47" s="199">
        <f>20-20+20</f>
        <v>20</v>
      </c>
      <c r="AC47" s="198"/>
      <c r="AD47" s="198"/>
      <c r="AE47" s="198"/>
      <c r="AF47" s="198"/>
      <c r="AG47" s="198"/>
      <c r="AH47" s="198"/>
      <c r="AI47" s="198"/>
      <c r="AJ47" s="198"/>
      <c r="AK47" s="198"/>
      <c r="AL47" s="198"/>
      <c r="AM47" s="198"/>
      <c r="AN47" s="198"/>
      <c r="AO47" s="198"/>
      <c r="AP47" s="198"/>
      <c r="AQ47" s="198"/>
      <c r="AR47" s="198"/>
      <c r="AS47" s="198"/>
      <c r="AT47" s="198"/>
      <c r="AU47" s="198"/>
      <c r="AV47" s="198"/>
      <c r="AW47" s="198"/>
      <c r="AX47" s="198"/>
      <c r="AY47" s="198"/>
      <c r="AZ47" s="198"/>
      <c r="BA47" s="198"/>
      <c r="BB47" s="198"/>
      <c r="BC47" s="198"/>
      <c r="BD47" s="198"/>
      <c r="BE47" s="198"/>
      <c r="BF47" s="198"/>
      <c r="BG47" s="198"/>
      <c r="BH47" s="198"/>
      <c r="BI47" s="198"/>
      <c r="BJ47" s="198"/>
      <c r="BK47" s="198"/>
      <c r="BL47" s="198"/>
      <c r="BM47" s="198"/>
      <c r="BN47" s="198"/>
      <c r="BO47" s="198"/>
      <c r="BP47" s="198"/>
      <c r="BQ47" s="198"/>
      <c r="BR47" s="198"/>
      <c r="BS47" s="198"/>
      <c r="BT47" s="198"/>
      <c r="BU47" s="198"/>
      <c r="BV47" s="198"/>
      <c r="BW47" s="198"/>
      <c r="BX47" s="198"/>
      <c r="BY47" s="198"/>
      <c r="BZ47" s="198"/>
      <c r="CA47" s="198"/>
      <c r="CB47" s="198"/>
      <c r="CC47" s="198"/>
      <c r="CD47" s="198"/>
      <c r="CE47" s="198"/>
      <c r="CF47" s="198"/>
      <c r="CG47" s="198"/>
      <c r="CH47" s="198"/>
      <c r="CI47" s="198"/>
      <c r="CJ47" s="198"/>
      <c r="CK47" s="198"/>
      <c r="CL47" s="198"/>
      <c r="CM47" s="198"/>
      <c r="CN47" s="198"/>
      <c r="CO47" s="198"/>
      <c r="CP47" s="198"/>
      <c r="CQ47" s="198"/>
      <c r="CR47" s="198"/>
      <c r="CS47" s="198"/>
      <c r="CT47" s="198"/>
      <c r="CU47" s="198"/>
      <c r="CV47" s="198"/>
      <c r="CW47" s="198"/>
      <c r="CX47" s="198"/>
      <c r="CY47" s="198"/>
      <c r="CZ47" s="198"/>
      <c r="DA47" s="198"/>
      <c r="DB47" s="198"/>
      <c r="DC47" s="198"/>
      <c r="DD47" s="198"/>
      <c r="DE47" s="198"/>
      <c r="DF47" s="198"/>
      <c r="DG47" s="198"/>
      <c r="DH47" s="198"/>
      <c r="DI47" s="198"/>
      <c r="DJ47" s="198"/>
      <c r="DK47" s="198"/>
      <c r="DL47" s="198"/>
      <c r="DM47" s="198"/>
      <c r="DN47" s="198"/>
      <c r="DO47" s="198"/>
      <c r="DP47" s="198"/>
      <c r="DQ47" s="198"/>
      <c r="DR47" s="198"/>
      <c r="DS47" s="198"/>
      <c r="DT47" s="198"/>
      <c r="DU47" s="198"/>
      <c r="DV47" s="198"/>
      <c r="DW47" s="198"/>
      <c r="DX47" s="198"/>
      <c r="DY47" s="198"/>
      <c r="DZ47" s="198"/>
      <c r="EA47" s="200">
        <f>30-30</f>
        <v>0</v>
      </c>
      <c r="EB47" s="198"/>
      <c r="EC47" s="198"/>
      <c r="ED47" s="198"/>
      <c r="EE47" s="198"/>
      <c r="EF47" s="198"/>
      <c r="EG47" s="198"/>
      <c r="EH47" s="198"/>
      <c r="EI47" s="198"/>
      <c r="EJ47" s="198"/>
      <c r="EK47" s="198"/>
      <c r="EL47" s="198"/>
      <c r="EM47" s="198"/>
      <c r="EN47" s="198"/>
      <c r="EO47" s="198"/>
      <c r="EP47" s="200">
        <f>20-20</f>
        <v>0</v>
      </c>
      <c r="EQ47" s="198"/>
      <c r="ER47" s="198"/>
      <c r="ES47" s="200">
        <f>10-10</f>
        <v>0</v>
      </c>
      <c r="ET47" s="198"/>
      <c r="EU47" s="198"/>
      <c r="EV47" s="198"/>
      <c r="EW47" s="198"/>
      <c r="EX47" s="198"/>
      <c r="EY47" s="198"/>
      <c r="EZ47" s="198"/>
      <c r="FA47" s="198"/>
      <c r="FB47" s="198"/>
      <c r="FC47" s="198"/>
      <c r="FD47" s="198"/>
      <c r="FE47" s="198"/>
      <c r="FF47" s="198"/>
      <c r="FG47" s="198"/>
      <c r="FH47" s="198"/>
      <c r="FI47" s="198"/>
      <c r="FJ47" s="198"/>
      <c r="FK47" s="198"/>
      <c r="FL47" s="198"/>
      <c r="FM47" s="198"/>
      <c r="FN47" s="198"/>
      <c r="FO47" s="198"/>
      <c r="FP47" s="201">
        <v>82056</v>
      </c>
      <c r="FQ47" s="202" t="s">
        <v>756</v>
      </c>
      <c r="FR47" s="203" t="s">
        <v>389</v>
      </c>
      <c r="FS47" s="203" t="s">
        <v>431</v>
      </c>
      <c r="FT47" s="203" t="s">
        <v>432</v>
      </c>
      <c r="FU47" s="204">
        <f t="shared" si="0"/>
        <v>20</v>
      </c>
      <c r="FV47" s="205" t="s">
        <v>433</v>
      </c>
    </row>
    <row r="48" spans="1:178" s="174" customFormat="1" ht="11.4">
      <c r="A48" s="196" t="s">
        <v>393</v>
      </c>
      <c r="B48" s="196" t="s">
        <v>385</v>
      </c>
      <c r="C48" s="196" t="s">
        <v>411</v>
      </c>
      <c r="D48" s="196" t="s">
        <v>293</v>
      </c>
      <c r="E48" s="209" t="s">
        <v>430</v>
      </c>
      <c r="F48" s="196" t="s">
        <v>388</v>
      </c>
      <c r="G48" s="196"/>
      <c r="H48" s="198"/>
      <c r="I48" s="198"/>
      <c r="J48" s="200">
        <f>20-20</f>
        <v>0</v>
      </c>
      <c r="K48" s="198"/>
      <c r="L48" s="198"/>
      <c r="M48" s="198"/>
      <c r="N48" s="198"/>
      <c r="O48" s="198"/>
      <c r="P48" s="198"/>
      <c r="Q48" s="198"/>
      <c r="R48" s="198"/>
      <c r="S48" s="198"/>
      <c r="T48" s="198"/>
      <c r="U48" s="198"/>
      <c r="V48" s="198"/>
      <c r="W48" s="198"/>
      <c r="X48" s="198"/>
      <c r="Y48" s="198"/>
      <c r="Z48" s="198"/>
      <c r="AA48" s="198"/>
      <c r="AB48" s="198"/>
      <c r="AC48" s="198"/>
      <c r="AD48" s="198"/>
      <c r="AE48" s="198"/>
      <c r="AF48" s="198"/>
      <c r="AG48" s="198"/>
      <c r="AH48" s="198"/>
      <c r="AI48" s="198"/>
      <c r="AJ48" s="198"/>
      <c r="AK48" s="198"/>
      <c r="AL48" s="198"/>
      <c r="AM48" s="198"/>
      <c r="AN48" s="198"/>
      <c r="AO48" s="198"/>
      <c r="AP48" s="198"/>
      <c r="AQ48" s="198"/>
      <c r="AR48" s="198"/>
      <c r="AS48" s="198"/>
      <c r="AT48" s="198"/>
      <c r="AU48" s="198"/>
      <c r="AV48" s="198"/>
      <c r="AW48" s="198"/>
      <c r="AX48" s="198"/>
      <c r="AY48" s="198"/>
      <c r="AZ48" s="198"/>
      <c r="BA48" s="198"/>
      <c r="BB48" s="198"/>
      <c r="BC48" s="198"/>
      <c r="BD48" s="198"/>
      <c r="BE48" s="198"/>
      <c r="BF48" s="198"/>
      <c r="BG48" s="198"/>
      <c r="BH48" s="198"/>
      <c r="BI48" s="198"/>
      <c r="BJ48" s="198"/>
      <c r="BK48" s="198"/>
      <c r="BL48" s="198"/>
      <c r="BM48" s="198"/>
      <c r="BN48" s="198"/>
      <c r="BO48" s="198"/>
      <c r="BP48" s="198"/>
      <c r="BQ48" s="198"/>
      <c r="BR48" s="198"/>
      <c r="BS48" s="198"/>
      <c r="BT48" s="198"/>
      <c r="BU48" s="198"/>
      <c r="BV48" s="198"/>
      <c r="BW48" s="198"/>
      <c r="BX48" s="198"/>
      <c r="BY48" s="198"/>
      <c r="BZ48" s="198"/>
      <c r="CA48" s="198"/>
      <c r="CB48" s="198"/>
      <c r="CC48" s="198"/>
      <c r="CD48" s="198"/>
      <c r="CE48" s="198"/>
      <c r="CF48" s="198"/>
      <c r="CG48" s="198"/>
      <c r="CH48" s="198"/>
      <c r="CI48" s="198"/>
      <c r="CJ48" s="198"/>
      <c r="CK48" s="198"/>
      <c r="CL48" s="198"/>
      <c r="CM48" s="198"/>
      <c r="CN48" s="198"/>
      <c r="CO48" s="198"/>
      <c r="CP48" s="198"/>
      <c r="CQ48" s="198"/>
      <c r="CR48" s="198"/>
      <c r="CS48" s="198"/>
      <c r="CT48" s="198"/>
      <c r="CU48" s="198"/>
      <c r="CV48" s="198"/>
      <c r="CW48" s="198"/>
      <c r="CX48" s="198"/>
      <c r="CY48" s="198"/>
      <c r="CZ48" s="198"/>
      <c r="DA48" s="198"/>
      <c r="DB48" s="198"/>
      <c r="DC48" s="198"/>
      <c r="DD48" s="198"/>
      <c r="DE48" s="198"/>
      <c r="DF48" s="198"/>
      <c r="DG48" s="198"/>
      <c r="DH48" s="198"/>
      <c r="DI48" s="198"/>
      <c r="DJ48" s="198"/>
      <c r="DK48" s="198"/>
      <c r="DL48" s="198"/>
      <c r="DM48" s="198"/>
      <c r="DN48" s="198"/>
      <c r="DO48" s="198"/>
      <c r="DP48" s="198"/>
      <c r="DQ48" s="198"/>
      <c r="DR48" s="198"/>
      <c r="DS48" s="198"/>
      <c r="DT48" s="198"/>
      <c r="DU48" s="198"/>
      <c r="DV48" s="198"/>
      <c r="DW48" s="198"/>
      <c r="DX48" s="198"/>
      <c r="DY48" s="198"/>
      <c r="DZ48" s="198"/>
      <c r="EA48" s="198"/>
      <c r="EB48" s="198"/>
      <c r="EC48" s="198"/>
      <c r="ED48" s="198"/>
      <c r="EE48" s="198"/>
      <c r="EF48" s="198"/>
      <c r="EG48" s="198"/>
      <c r="EH48" s="198"/>
      <c r="EI48" s="198"/>
      <c r="EJ48" s="198"/>
      <c r="EK48" s="198"/>
      <c r="EL48" s="198"/>
      <c r="EM48" s="198"/>
      <c r="EN48" s="198"/>
      <c r="EO48" s="198"/>
      <c r="EP48" s="198"/>
      <c r="EQ48" s="198"/>
      <c r="ER48" s="198"/>
      <c r="ES48" s="198"/>
      <c r="ET48" s="198"/>
      <c r="EU48" s="198"/>
      <c r="EV48" s="198"/>
      <c r="EW48" s="198"/>
      <c r="EX48" s="198"/>
      <c r="EY48" s="198"/>
      <c r="EZ48" s="198"/>
      <c r="FA48" s="198"/>
      <c r="FB48" s="198"/>
      <c r="FC48" s="198"/>
      <c r="FD48" s="198"/>
      <c r="FE48" s="198"/>
      <c r="FF48" s="198"/>
      <c r="FG48" s="198"/>
      <c r="FH48" s="198"/>
      <c r="FI48" s="198"/>
      <c r="FJ48" s="198"/>
      <c r="FK48" s="198"/>
      <c r="FL48" s="198"/>
      <c r="FM48" s="198"/>
      <c r="FN48" s="198"/>
      <c r="FO48" s="198"/>
      <c r="FP48" s="201">
        <v>82056</v>
      </c>
      <c r="FQ48" s="202" t="s">
        <v>756</v>
      </c>
      <c r="FR48" s="203" t="s">
        <v>389</v>
      </c>
      <c r="FS48" s="203" t="s">
        <v>431</v>
      </c>
      <c r="FT48" s="203" t="s">
        <v>432</v>
      </c>
      <c r="FU48" s="204">
        <f t="shared" si="0"/>
        <v>0</v>
      </c>
      <c r="FV48" s="205" t="s">
        <v>433</v>
      </c>
    </row>
    <row r="49" spans="1:178" s="174" customFormat="1" ht="11.4">
      <c r="A49" s="196" t="s">
        <v>393</v>
      </c>
      <c r="B49" s="196" t="s">
        <v>385</v>
      </c>
      <c r="C49" s="196" t="s">
        <v>411</v>
      </c>
      <c r="D49" s="196" t="s">
        <v>291</v>
      </c>
      <c r="E49" s="197" t="s">
        <v>430</v>
      </c>
      <c r="F49" s="196" t="s">
        <v>388</v>
      </c>
      <c r="G49" s="196"/>
      <c r="H49" s="198"/>
      <c r="I49" s="200">
        <f>20-20</f>
        <v>0</v>
      </c>
      <c r="J49" s="198"/>
      <c r="K49" s="198"/>
      <c r="L49" s="198"/>
      <c r="M49" s="198"/>
      <c r="N49" s="198"/>
      <c r="O49" s="198"/>
      <c r="P49" s="198"/>
      <c r="Q49" s="198"/>
      <c r="R49" s="198"/>
      <c r="S49" s="198"/>
      <c r="T49" s="198"/>
      <c r="U49" s="198"/>
      <c r="V49" s="198"/>
      <c r="W49" s="198"/>
      <c r="X49" s="198"/>
      <c r="Y49" s="198"/>
      <c r="Z49" s="198"/>
      <c r="AA49" s="198"/>
      <c r="AB49" s="198"/>
      <c r="AC49" s="198"/>
      <c r="AD49" s="198"/>
      <c r="AE49" s="198"/>
      <c r="AF49" s="198"/>
      <c r="AG49" s="198"/>
      <c r="AH49" s="198"/>
      <c r="AI49" s="198"/>
      <c r="AJ49" s="198"/>
      <c r="AK49" s="198"/>
      <c r="AL49" s="198"/>
      <c r="AM49" s="198"/>
      <c r="AN49" s="198"/>
      <c r="AO49" s="198"/>
      <c r="AP49" s="198"/>
      <c r="AQ49" s="198"/>
      <c r="AR49" s="200">
        <f>30-30</f>
        <v>0</v>
      </c>
      <c r="AS49" s="198"/>
      <c r="AT49" s="198"/>
      <c r="AU49" s="198"/>
      <c r="AV49" s="198"/>
      <c r="AW49" s="198"/>
      <c r="AX49" s="198"/>
      <c r="AY49" s="198"/>
      <c r="AZ49" s="198"/>
      <c r="BA49" s="198"/>
      <c r="BB49" s="198"/>
      <c r="BC49" s="198"/>
      <c r="BD49" s="198"/>
      <c r="BE49" s="198"/>
      <c r="BF49" s="198"/>
      <c r="BG49" s="198"/>
      <c r="BH49" s="198"/>
      <c r="BI49" s="198"/>
      <c r="BJ49" s="198"/>
      <c r="BK49" s="198"/>
      <c r="BL49" s="198"/>
      <c r="BM49" s="198"/>
      <c r="BN49" s="198"/>
      <c r="BO49" s="198"/>
      <c r="BP49" s="198"/>
      <c r="BQ49" s="198"/>
      <c r="BR49" s="198"/>
      <c r="BS49" s="198"/>
      <c r="BT49" s="198"/>
      <c r="BU49" s="198"/>
      <c r="BV49" s="198"/>
      <c r="BW49" s="198"/>
      <c r="BX49" s="198"/>
      <c r="BY49" s="198"/>
      <c r="BZ49" s="198"/>
      <c r="CA49" s="198"/>
      <c r="CB49" s="198"/>
      <c r="CC49" s="198"/>
      <c r="CD49" s="198"/>
      <c r="CE49" s="198"/>
      <c r="CF49" s="198"/>
      <c r="CG49" s="198"/>
      <c r="CH49" s="198"/>
      <c r="CI49" s="198"/>
      <c r="CJ49" s="198"/>
      <c r="CK49" s="198"/>
      <c r="CL49" s="198"/>
      <c r="CM49" s="198"/>
      <c r="CN49" s="198"/>
      <c r="CO49" s="198"/>
      <c r="CP49" s="198"/>
      <c r="CQ49" s="198"/>
      <c r="CR49" s="198"/>
      <c r="CS49" s="198"/>
      <c r="CT49" s="198"/>
      <c r="CU49" s="198"/>
      <c r="CV49" s="198"/>
      <c r="CW49" s="198"/>
      <c r="CX49" s="198"/>
      <c r="CY49" s="198"/>
      <c r="CZ49" s="198"/>
      <c r="DA49" s="198"/>
      <c r="DB49" s="198"/>
      <c r="DC49" s="198"/>
      <c r="DD49" s="198"/>
      <c r="DE49" s="198"/>
      <c r="DF49" s="198"/>
      <c r="DG49" s="198"/>
      <c r="DH49" s="198"/>
      <c r="DI49" s="198"/>
      <c r="DJ49" s="198"/>
      <c r="DK49" s="198"/>
      <c r="DL49" s="198"/>
      <c r="DM49" s="198"/>
      <c r="DN49" s="198"/>
      <c r="DO49" s="198"/>
      <c r="DP49" s="198"/>
      <c r="DQ49" s="198"/>
      <c r="DR49" s="198"/>
      <c r="DS49" s="198"/>
      <c r="DT49" s="198"/>
      <c r="DU49" s="198"/>
      <c r="DV49" s="198"/>
      <c r="DW49" s="198"/>
      <c r="DX49" s="198"/>
      <c r="DY49" s="198"/>
      <c r="DZ49" s="198"/>
      <c r="EA49" s="198"/>
      <c r="EB49" s="198"/>
      <c r="EC49" s="198"/>
      <c r="ED49" s="198"/>
      <c r="EE49" s="198"/>
      <c r="EF49" s="198"/>
      <c r="EG49" s="198"/>
      <c r="EH49" s="198"/>
      <c r="EI49" s="198"/>
      <c r="EJ49" s="198"/>
      <c r="EK49" s="198"/>
      <c r="EL49" s="198"/>
      <c r="EM49" s="198"/>
      <c r="EN49" s="198"/>
      <c r="EO49" s="198"/>
      <c r="EP49" s="198"/>
      <c r="EQ49" s="198"/>
      <c r="ER49" s="198"/>
      <c r="ES49" s="198"/>
      <c r="ET49" s="198"/>
      <c r="EU49" s="198"/>
      <c r="EV49" s="198"/>
      <c r="EW49" s="198"/>
      <c r="EX49" s="198"/>
      <c r="EY49" s="198"/>
      <c r="EZ49" s="198"/>
      <c r="FA49" s="198"/>
      <c r="FB49" s="198"/>
      <c r="FC49" s="198"/>
      <c r="FD49" s="198"/>
      <c r="FE49" s="198"/>
      <c r="FF49" s="198"/>
      <c r="FG49" s="198"/>
      <c r="FH49" s="198"/>
      <c r="FI49" s="198"/>
      <c r="FJ49" s="198"/>
      <c r="FK49" s="198"/>
      <c r="FL49" s="198"/>
      <c r="FM49" s="198"/>
      <c r="FN49" s="198"/>
      <c r="FO49" s="198"/>
      <c r="FP49" s="201">
        <v>82212</v>
      </c>
      <c r="FQ49" s="202" t="s">
        <v>756</v>
      </c>
      <c r="FR49" s="203" t="s">
        <v>389</v>
      </c>
      <c r="FS49" s="203" t="s">
        <v>431</v>
      </c>
      <c r="FT49" s="203" t="s">
        <v>432</v>
      </c>
      <c r="FU49" s="204">
        <f t="shared" si="0"/>
        <v>0</v>
      </c>
      <c r="FV49" s="205" t="s">
        <v>433</v>
      </c>
    </row>
    <row r="50" spans="1:178" s="174" customFormat="1" ht="11.4">
      <c r="A50" s="196" t="s">
        <v>393</v>
      </c>
      <c r="B50" s="196" t="s">
        <v>385</v>
      </c>
      <c r="C50" s="196" t="s">
        <v>411</v>
      </c>
      <c r="D50" s="196" t="s">
        <v>1</v>
      </c>
      <c r="E50" s="197" t="s">
        <v>430</v>
      </c>
      <c r="F50" s="196" t="s">
        <v>388</v>
      </c>
      <c r="G50" s="196"/>
      <c r="H50" s="198"/>
      <c r="I50" s="198"/>
      <c r="J50" s="198"/>
      <c r="K50" s="198"/>
      <c r="L50" s="198"/>
      <c r="M50" s="198"/>
      <c r="N50" s="198"/>
      <c r="O50" s="198"/>
      <c r="P50" s="198"/>
      <c r="Q50" s="198"/>
      <c r="R50" s="198"/>
      <c r="S50" s="200">
        <f>20-20</f>
        <v>0</v>
      </c>
      <c r="T50" s="198"/>
      <c r="U50" s="200">
        <f>40-40</f>
        <v>0</v>
      </c>
      <c r="V50" s="198"/>
      <c r="W50" s="198"/>
      <c r="X50" s="198"/>
      <c r="Y50" s="198"/>
      <c r="Z50" s="198"/>
      <c r="AA50" s="198"/>
      <c r="AB50" s="198"/>
      <c r="AC50" s="198"/>
      <c r="AD50" s="198"/>
      <c r="AE50" s="200">
        <f>20-20</f>
        <v>0</v>
      </c>
      <c r="AF50" s="198"/>
      <c r="AG50" s="198"/>
      <c r="AH50" s="198"/>
      <c r="AI50" s="198"/>
      <c r="AJ50" s="198"/>
      <c r="AK50" s="198"/>
      <c r="AL50" s="198"/>
      <c r="AM50" s="198"/>
      <c r="AN50" s="198"/>
      <c r="AO50" s="198"/>
      <c r="AP50" s="198"/>
      <c r="AQ50" s="198"/>
      <c r="AR50" s="198"/>
      <c r="AS50" s="198"/>
      <c r="AT50" s="198"/>
      <c r="AU50" s="198"/>
      <c r="AV50" s="198"/>
      <c r="AW50" s="198"/>
      <c r="AX50" s="198"/>
      <c r="AY50" s="198"/>
      <c r="AZ50" s="198"/>
      <c r="BA50" s="198"/>
      <c r="BB50" s="198"/>
      <c r="BC50" s="198"/>
      <c r="BD50" s="198"/>
      <c r="BE50" s="198"/>
      <c r="BF50" s="198"/>
      <c r="BG50" s="198"/>
      <c r="BH50" s="198"/>
      <c r="BI50" s="200">
        <f>30-30</f>
        <v>0</v>
      </c>
      <c r="BJ50" s="198"/>
      <c r="BK50" s="198"/>
      <c r="BL50" s="198"/>
      <c r="BM50" s="198"/>
      <c r="BN50" s="198"/>
      <c r="BO50" s="198"/>
      <c r="BP50" s="198"/>
      <c r="BQ50" s="198"/>
      <c r="BR50" s="198"/>
      <c r="BS50" s="198"/>
      <c r="BT50" s="198"/>
      <c r="BU50" s="198"/>
      <c r="BV50" s="198"/>
      <c r="BW50" s="198"/>
      <c r="BX50" s="198"/>
      <c r="BY50" s="198"/>
      <c r="BZ50" s="198"/>
      <c r="CA50" s="198"/>
      <c r="CB50" s="198"/>
      <c r="CC50" s="198"/>
      <c r="CD50" s="198"/>
      <c r="CE50" s="198"/>
      <c r="CF50" s="198"/>
      <c r="CG50" s="198"/>
      <c r="CH50" s="198"/>
      <c r="CI50" s="198"/>
      <c r="CJ50" s="198"/>
      <c r="CK50" s="198"/>
      <c r="CL50" s="198"/>
      <c r="CM50" s="198"/>
      <c r="CN50" s="198"/>
      <c r="CO50" s="198"/>
      <c r="CP50" s="198"/>
      <c r="CQ50" s="198"/>
      <c r="CR50" s="198"/>
      <c r="CS50" s="198"/>
      <c r="CT50" s="198"/>
      <c r="CU50" s="198"/>
      <c r="CV50" s="198"/>
      <c r="CW50" s="198"/>
      <c r="CX50" s="198"/>
      <c r="CY50" s="198"/>
      <c r="CZ50" s="198"/>
      <c r="DA50" s="198"/>
      <c r="DB50" s="198"/>
      <c r="DC50" s="198"/>
      <c r="DD50" s="198"/>
      <c r="DE50" s="198"/>
      <c r="DF50" s="198"/>
      <c r="DG50" s="198"/>
      <c r="DH50" s="198"/>
      <c r="DI50" s="198"/>
      <c r="DJ50" s="198"/>
      <c r="DK50" s="198"/>
      <c r="DL50" s="198"/>
      <c r="DM50" s="198"/>
      <c r="DN50" s="198"/>
      <c r="DO50" s="198"/>
      <c r="DP50" s="198"/>
      <c r="DQ50" s="198"/>
      <c r="DR50" s="198"/>
      <c r="DS50" s="198"/>
      <c r="DT50" s="198"/>
      <c r="DU50" s="198"/>
      <c r="DV50" s="198"/>
      <c r="DW50" s="198"/>
      <c r="DX50" s="198"/>
      <c r="DY50" s="198"/>
      <c r="DZ50" s="198"/>
      <c r="EA50" s="198"/>
      <c r="EB50" s="198"/>
      <c r="EC50" s="198"/>
      <c r="ED50" s="198"/>
      <c r="EE50" s="198"/>
      <c r="EF50" s="198"/>
      <c r="EG50" s="198"/>
      <c r="EH50" s="198"/>
      <c r="EI50" s="200">
        <f>30-30</f>
        <v>0</v>
      </c>
      <c r="EJ50" s="200">
        <f>10-10</f>
        <v>0</v>
      </c>
      <c r="EK50" s="198"/>
      <c r="EL50" s="198"/>
      <c r="EM50" s="198"/>
      <c r="EN50" s="198"/>
      <c r="EO50" s="198"/>
      <c r="EP50" s="200">
        <f>40-40</f>
        <v>0</v>
      </c>
      <c r="EQ50" s="200">
        <f>25-25</f>
        <v>0</v>
      </c>
      <c r="ER50" s="198"/>
      <c r="ES50" s="200">
        <f>15-15</f>
        <v>0</v>
      </c>
      <c r="ET50" s="198"/>
      <c r="EU50" s="198"/>
      <c r="EV50" s="198"/>
      <c r="EW50" s="198"/>
      <c r="EX50" s="198"/>
      <c r="EY50" s="198"/>
      <c r="EZ50" s="198"/>
      <c r="FA50" s="198"/>
      <c r="FB50" s="198"/>
      <c r="FC50" s="198"/>
      <c r="FD50" s="198"/>
      <c r="FE50" s="198"/>
      <c r="FF50" s="198"/>
      <c r="FG50" s="198"/>
      <c r="FH50" s="198"/>
      <c r="FI50" s="198"/>
      <c r="FJ50" s="198"/>
      <c r="FK50" s="198"/>
      <c r="FL50" s="198"/>
      <c r="FM50" s="198"/>
      <c r="FN50" s="198"/>
      <c r="FO50" s="198"/>
      <c r="FP50" s="201">
        <v>82212</v>
      </c>
      <c r="FQ50" s="202" t="s">
        <v>756</v>
      </c>
      <c r="FR50" s="203" t="s">
        <v>389</v>
      </c>
      <c r="FS50" s="203" t="s">
        <v>431</v>
      </c>
      <c r="FT50" s="203" t="s">
        <v>432</v>
      </c>
      <c r="FU50" s="204">
        <f t="shared" si="0"/>
        <v>0</v>
      </c>
      <c r="FV50" s="205" t="s">
        <v>433</v>
      </c>
    </row>
    <row r="51" spans="1:178" s="174" customFormat="1" ht="11.4">
      <c r="A51" s="196" t="s">
        <v>393</v>
      </c>
      <c r="B51" s="196" t="s">
        <v>392</v>
      </c>
      <c r="C51" s="196" t="s">
        <v>411</v>
      </c>
      <c r="D51" s="196" t="s">
        <v>291</v>
      </c>
      <c r="E51" s="197" t="s">
        <v>430</v>
      </c>
      <c r="F51" s="196" t="s">
        <v>388</v>
      </c>
      <c r="G51" s="196"/>
      <c r="H51" s="198"/>
      <c r="I51" s="198"/>
      <c r="J51" s="198"/>
      <c r="K51" s="198"/>
      <c r="L51" s="198"/>
      <c r="M51" s="198"/>
      <c r="N51" s="198"/>
      <c r="O51" s="198"/>
      <c r="P51" s="198"/>
      <c r="Q51" s="198"/>
      <c r="R51" s="198"/>
      <c r="S51" s="198"/>
      <c r="T51" s="198"/>
      <c r="U51" s="198"/>
      <c r="V51" s="198"/>
      <c r="W51" s="198"/>
      <c r="X51" s="198"/>
      <c r="Y51" s="198"/>
      <c r="Z51" s="198"/>
      <c r="AA51" s="198"/>
      <c r="AB51" s="198"/>
      <c r="AC51" s="198"/>
      <c r="AD51" s="198"/>
      <c r="AE51" s="198"/>
      <c r="AF51" s="198"/>
      <c r="AG51" s="200">
        <f t="shared" ref="AG51:AG52" si="52">20-20</f>
        <v>0</v>
      </c>
      <c r="AH51" s="198"/>
      <c r="AI51" s="198"/>
      <c r="AJ51" s="198"/>
      <c r="AK51" s="198"/>
      <c r="AL51" s="198"/>
      <c r="AM51" s="198"/>
      <c r="AN51" s="198"/>
      <c r="AO51" s="198"/>
      <c r="AP51" s="198"/>
      <c r="AQ51" s="198"/>
      <c r="AR51" s="198"/>
      <c r="AS51" s="198"/>
      <c r="AT51" s="198"/>
      <c r="AU51" s="198"/>
      <c r="AV51" s="198"/>
      <c r="AW51" s="198"/>
      <c r="AX51" s="198"/>
      <c r="AY51" s="198"/>
      <c r="AZ51" s="198"/>
      <c r="BA51" s="198"/>
      <c r="BB51" s="198"/>
      <c r="BC51" s="198"/>
      <c r="BD51" s="198"/>
      <c r="BE51" s="198"/>
      <c r="BF51" s="198"/>
      <c r="BG51" s="198"/>
      <c r="BH51" s="198"/>
      <c r="BI51" s="198"/>
      <c r="BJ51" s="198"/>
      <c r="BK51" s="198"/>
      <c r="BL51" s="198"/>
      <c r="BM51" s="198"/>
      <c r="BN51" s="198"/>
      <c r="BO51" s="198"/>
      <c r="BP51" s="198"/>
      <c r="BQ51" s="198"/>
      <c r="BR51" s="198"/>
      <c r="BS51" s="198"/>
      <c r="BT51" s="198"/>
      <c r="BU51" s="198"/>
      <c r="BV51" s="198"/>
      <c r="BW51" s="198"/>
      <c r="BX51" s="198"/>
      <c r="BY51" s="198"/>
      <c r="BZ51" s="198"/>
      <c r="CA51" s="198"/>
      <c r="CB51" s="198"/>
      <c r="CC51" s="198"/>
      <c r="CD51" s="198"/>
      <c r="CE51" s="198"/>
      <c r="CF51" s="198"/>
      <c r="CG51" s="198"/>
      <c r="CH51" s="198"/>
      <c r="CI51" s="198"/>
      <c r="CJ51" s="198"/>
      <c r="CK51" s="198"/>
      <c r="CL51" s="198"/>
      <c r="CM51" s="198"/>
      <c r="CN51" s="198"/>
      <c r="CO51" s="198"/>
      <c r="CP51" s="198"/>
      <c r="CQ51" s="198"/>
      <c r="CR51" s="198"/>
      <c r="CS51" s="198"/>
      <c r="CT51" s="198"/>
      <c r="CU51" s="198"/>
      <c r="CV51" s="198"/>
      <c r="CW51" s="198"/>
      <c r="CX51" s="198"/>
      <c r="CY51" s="198"/>
      <c r="CZ51" s="198"/>
      <c r="DA51" s="198"/>
      <c r="DB51" s="198"/>
      <c r="DC51" s="198"/>
      <c r="DD51" s="198"/>
      <c r="DE51" s="198"/>
      <c r="DF51" s="198"/>
      <c r="DG51" s="198"/>
      <c r="DH51" s="198"/>
      <c r="DI51" s="198"/>
      <c r="DJ51" s="198"/>
      <c r="DK51" s="198"/>
      <c r="DL51" s="198"/>
      <c r="DM51" s="198"/>
      <c r="DN51" s="198"/>
      <c r="DO51" s="198"/>
      <c r="DP51" s="198"/>
      <c r="DQ51" s="198"/>
      <c r="DR51" s="198"/>
      <c r="DS51" s="198"/>
      <c r="DT51" s="198"/>
      <c r="DU51" s="198"/>
      <c r="DV51" s="198"/>
      <c r="DW51" s="198"/>
      <c r="DX51" s="198"/>
      <c r="DY51" s="198"/>
      <c r="DZ51" s="198"/>
      <c r="EA51" s="198"/>
      <c r="EB51" s="198"/>
      <c r="EC51" s="198"/>
      <c r="ED51" s="198"/>
      <c r="EE51" s="198"/>
      <c r="EF51" s="198"/>
      <c r="EG51" s="198"/>
      <c r="EH51" s="198"/>
      <c r="EI51" s="198"/>
      <c r="EJ51" s="198"/>
      <c r="EK51" s="198"/>
      <c r="EL51" s="198"/>
      <c r="EM51" s="198"/>
      <c r="EN51" s="198"/>
      <c r="EO51" s="198"/>
      <c r="EP51" s="198"/>
      <c r="EQ51" s="198"/>
      <c r="ER51" s="198"/>
      <c r="ES51" s="198"/>
      <c r="ET51" s="198"/>
      <c r="EU51" s="198"/>
      <c r="EV51" s="198"/>
      <c r="EW51" s="198"/>
      <c r="EX51" s="198"/>
      <c r="EY51" s="198"/>
      <c r="EZ51" s="198"/>
      <c r="FA51" s="198"/>
      <c r="FB51" s="198"/>
      <c r="FC51" s="198"/>
      <c r="FD51" s="198"/>
      <c r="FE51" s="198"/>
      <c r="FF51" s="198"/>
      <c r="FG51" s="198"/>
      <c r="FH51" s="198"/>
      <c r="FI51" s="198"/>
      <c r="FJ51" s="198"/>
      <c r="FK51" s="198"/>
      <c r="FL51" s="198"/>
      <c r="FM51" s="198"/>
      <c r="FN51" s="198"/>
      <c r="FO51" s="198"/>
      <c r="FP51" s="201">
        <v>81373</v>
      </c>
      <c r="FQ51" s="202" t="s">
        <v>756</v>
      </c>
      <c r="FR51" s="203" t="s">
        <v>389</v>
      </c>
      <c r="FS51" s="203" t="s">
        <v>431</v>
      </c>
      <c r="FT51" s="203" t="s">
        <v>432</v>
      </c>
      <c r="FU51" s="204">
        <f t="shared" si="0"/>
        <v>0</v>
      </c>
      <c r="FV51" s="205" t="s">
        <v>433</v>
      </c>
    </row>
    <row r="52" spans="1:178" s="174" customFormat="1" ht="11.4">
      <c r="A52" s="196" t="s">
        <v>393</v>
      </c>
      <c r="B52" s="196" t="s">
        <v>392</v>
      </c>
      <c r="C52" s="196" t="s">
        <v>411</v>
      </c>
      <c r="D52" s="196" t="s">
        <v>291</v>
      </c>
      <c r="E52" s="209" t="s">
        <v>430</v>
      </c>
      <c r="F52" s="196" t="s">
        <v>388</v>
      </c>
      <c r="G52" s="196"/>
      <c r="H52" s="198"/>
      <c r="I52" s="198"/>
      <c r="J52" s="198"/>
      <c r="K52" s="198"/>
      <c r="L52" s="198"/>
      <c r="M52" s="198"/>
      <c r="N52" s="198"/>
      <c r="O52" s="198"/>
      <c r="P52" s="198"/>
      <c r="Q52" s="198"/>
      <c r="R52" s="198"/>
      <c r="S52" s="198"/>
      <c r="T52" s="198"/>
      <c r="U52" s="198"/>
      <c r="V52" s="198"/>
      <c r="W52" s="198"/>
      <c r="X52" s="198"/>
      <c r="Y52" s="198"/>
      <c r="Z52" s="198"/>
      <c r="AA52" s="198"/>
      <c r="AB52" s="198"/>
      <c r="AC52" s="198"/>
      <c r="AD52" s="198"/>
      <c r="AE52" s="198"/>
      <c r="AF52" s="198"/>
      <c r="AG52" s="200">
        <f t="shared" si="52"/>
        <v>0</v>
      </c>
      <c r="AH52" s="198"/>
      <c r="AI52" s="198"/>
      <c r="AJ52" s="198"/>
      <c r="AK52" s="198"/>
      <c r="AL52" s="198"/>
      <c r="AM52" s="198"/>
      <c r="AN52" s="198"/>
      <c r="AO52" s="198"/>
      <c r="AP52" s="198"/>
      <c r="AQ52" s="198"/>
      <c r="AR52" s="198"/>
      <c r="AS52" s="198"/>
      <c r="AT52" s="198"/>
      <c r="AU52" s="198"/>
      <c r="AV52" s="198"/>
      <c r="AW52" s="198"/>
      <c r="AX52" s="198"/>
      <c r="AY52" s="198"/>
      <c r="AZ52" s="198"/>
      <c r="BA52" s="198"/>
      <c r="BB52" s="198"/>
      <c r="BC52" s="198"/>
      <c r="BD52" s="198"/>
      <c r="BE52" s="198"/>
      <c r="BF52" s="198"/>
      <c r="BG52" s="198"/>
      <c r="BH52" s="198"/>
      <c r="BI52" s="198"/>
      <c r="BJ52" s="198"/>
      <c r="BK52" s="198"/>
      <c r="BL52" s="198"/>
      <c r="BM52" s="198"/>
      <c r="BN52" s="198"/>
      <c r="BO52" s="198"/>
      <c r="BP52" s="198"/>
      <c r="BQ52" s="198"/>
      <c r="BR52" s="198"/>
      <c r="BS52" s="198"/>
      <c r="BT52" s="198"/>
      <c r="BU52" s="198"/>
      <c r="BV52" s="198"/>
      <c r="BW52" s="198"/>
      <c r="BX52" s="198"/>
      <c r="BY52" s="198"/>
      <c r="BZ52" s="198"/>
      <c r="CA52" s="198"/>
      <c r="CB52" s="198"/>
      <c r="CC52" s="198"/>
      <c r="CD52" s="198"/>
      <c r="CE52" s="198"/>
      <c r="CF52" s="198"/>
      <c r="CG52" s="198"/>
      <c r="CH52" s="198"/>
      <c r="CI52" s="198"/>
      <c r="CJ52" s="198"/>
      <c r="CK52" s="198"/>
      <c r="CL52" s="198"/>
      <c r="CM52" s="198"/>
      <c r="CN52" s="198"/>
      <c r="CO52" s="198"/>
      <c r="CP52" s="198"/>
      <c r="CQ52" s="198"/>
      <c r="CR52" s="198"/>
      <c r="CS52" s="198"/>
      <c r="CT52" s="198"/>
      <c r="CU52" s="198"/>
      <c r="CV52" s="198"/>
      <c r="CW52" s="198"/>
      <c r="CX52" s="198"/>
      <c r="CY52" s="198"/>
      <c r="CZ52" s="198"/>
      <c r="DA52" s="198"/>
      <c r="DB52" s="198"/>
      <c r="DC52" s="198"/>
      <c r="DD52" s="198"/>
      <c r="DE52" s="198"/>
      <c r="DF52" s="198"/>
      <c r="DG52" s="198"/>
      <c r="DH52" s="198"/>
      <c r="DI52" s="198"/>
      <c r="DJ52" s="198"/>
      <c r="DK52" s="198"/>
      <c r="DL52" s="198"/>
      <c r="DM52" s="198"/>
      <c r="DN52" s="198"/>
      <c r="DO52" s="198"/>
      <c r="DP52" s="198"/>
      <c r="DQ52" s="198"/>
      <c r="DR52" s="198"/>
      <c r="DS52" s="198"/>
      <c r="DT52" s="198"/>
      <c r="DU52" s="198"/>
      <c r="DV52" s="198"/>
      <c r="DW52" s="198"/>
      <c r="DX52" s="198"/>
      <c r="DY52" s="198"/>
      <c r="DZ52" s="198"/>
      <c r="EA52" s="198"/>
      <c r="EB52" s="198"/>
      <c r="EC52" s="198"/>
      <c r="ED52" s="198"/>
      <c r="EE52" s="198"/>
      <c r="EF52" s="198"/>
      <c r="EG52" s="198"/>
      <c r="EH52" s="198"/>
      <c r="EI52" s="198"/>
      <c r="EJ52" s="198"/>
      <c r="EK52" s="198"/>
      <c r="EL52" s="198"/>
      <c r="EM52" s="198"/>
      <c r="EN52" s="198"/>
      <c r="EO52" s="198"/>
      <c r="EP52" s="198"/>
      <c r="EQ52" s="198"/>
      <c r="ER52" s="198"/>
      <c r="ES52" s="198"/>
      <c r="ET52" s="198"/>
      <c r="EU52" s="198"/>
      <c r="EV52" s="198"/>
      <c r="EW52" s="198"/>
      <c r="EX52" s="198"/>
      <c r="EY52" s="198"/>
      <c r="EZ52" s="198"/>
      <c r="FA52" s="198"/>
      <c r="FB52" s="198"/>
      <c r="FC52" s="198"/>
      <c r="FD52" s="198"/>
      <c r="FE52" s="198"/>
      <c r="FF52" s="198"/>
      <c r="FG52" s="198"/>
      <c r="FH52" s="198"/>
      <c r="FI52" s="198"/>
      <c r="FJ52" s="198"/>
      <c r="FK52" s="198"/>
      <c r="FL52" s="198"/>
      <c r="FM52" s="198"/>
      <c r="FN52" s="198"/>
      <c r="FO52" s="198"/>
      <c r="FP52" s="201">
        <v>81495</v>
      </c>
      <c r="FQ52" s="202" t="s">
        <v>756</v>
      </c>
      <c r="FR52" s="203" t="s">
        <v>389</v>
      </c>
      <c r="FS52" s="203" t="s">
        <v>431</v>
      </c>
      <c r="FT52" s="203" t="s">
        <v>432</v>
      </c>
      <c r="FU52" s="204">
        <f t="shared" si="0"/>
        <v>0</v>
      </c>
      <c r="FV52" s="205" t="s">
        <v>433</v>
      </c>
    </row>
    <row r="53" spans="1:178" s="174" customFormat="1" ht="11.4">
      <c r="A53" s="196" t="s">
        <v>393</v>
      </c>
      <c r="B53" s="196" t="s">
        <v>392</v>
      </c>
      <c r="C53" s="196" t="s">
        <v>411</v>
      </c>
      <c r="D53" s="196" t="s">
        <v>291</v>
      </c>
      <c r="E53" s="197" t="s">
        <v>430</v>
      </c>
      <c r="F53" s="196" t="s">
        <v>388</v>
      </c>
      <c r="G53" s="196"/>
      <c r="H53" s="198"/>
      <c r="I53" s="200">
        <f>20-20</f>
        <v>0</v>
      </c>
      <c r="J53" s="198"/>
      <c r="K53" s="198"/>
      <c r="L53" s="198"/>
      <c r="M53" s="198"/>
      <c r="N53" s="198"/>
      <c r="O53" s="198"/>
      <c r="P53" s="198"/>
      <c r="Q53" s="198"/>
      <c r="R53" s="198"/>
      <c r="S53" s="198"/>
      <c r="T53" s="198"/>
      <c r="U53" s="198"/>
      <c r="V53" s="198"/>
      <c r="W53" s="198"/>
      <c r="X53" s="198"/>
      <c r="Y53" s="198"/>
      <c r="Z53" s="198"/>
      <c r="AA53" s="198"/>
      <c r="AB53" s="198"/>
      <c r="AC53" s="198"/>
      <c r="AD53" s="198"/>
      <c r="AE53" s="198"/>
      <c r="AF53" s="198"/>
      <c r="AG53" s="198"/>
      <c r="AH53" s="206">
        <f>0+20</f>
        <v>20</v>
      </c>
      <c r="AI53" s="198"/>
      <c r="AJ53" s="198"/>
      <c r="AK53" s="198"/>
      <c r="AL53" s="198"/>
      <c r="AM53" s="198"/>
      <c r="AN53" s="198"/>
      <c r="AO53" s="198"/>
      <c r="AP53" s="198"/>
      <c r="AQ53" s="198"/>
      <c r="AR53" s="198"/>
      <c r="AS53" s="198"/>
      <c r="AT53" s="198"/>
      <c r="AU53" s="198"/>
      <c r="AV53" s="198"/>
      <c r="AW53" s="198"/>
      <c r="AX53" s="198"/>
      <c r="AY53" s="198"/>
      <c r="AZ53" s="198"/>
      <c r="BA53" s="198"/>
      <c r="BB53" s="198"/>
      <c r="BC53" s="198"/>
      <c r="BD53" s="198"/>
      <c r="BE53" s="198"/>
      <c r="BF53" s="198"/>
      <c r="BG53" s="198"/>
      <c r="BH53" s="198"/>
      <c r="BI53" s="198"/>
      <c r="BJ53" s="198"/>
      <c r="BK53" s="198"/>
      <c r="BL53" s="198"/>
      <c r="BM53" s="198"/>
      <c r="BN53" s="198"/>
      <c r="BO53" s="198"/>
      <c r="BP53" s="198"/>
      <c r="BQ53" s="198"/>
      <c r="BR53" s="198"/>
      <c r="BS53" s="198"/>
      <c r="BT53" s="198"/>
      <c r="BU53" s="198"/>
      <c r="BV53" s="198"/>
      <c r="BW53" s="198"/>
      <c r="BX53" s="198"/>
      <c r="BY53" s="198"/>
      <c r="BZ53" s="198"/>
      <c r="CA53" s="198"/>
      <c r="CB53" s="198"/>
      <c r="CC53" s="198"/>
      <c r="CD53" s="198"/>
      <c r="CE53" s="198"/>
      <c r="CF53" s="198"/>
      <c r="CG53" s="198"/>
      <c r="CH53" s="198"/>
      <c r="CI53" s="198"/>
      <c r="CJ53" s="198"/>
      <c r="CK53" s="198"/>
      <c r="CL53" s="198"/>
      <c r="CM53" s="198"/>
      <c r="CN53" s="198"/>
      <c r="CO53" s="198"/>
      <c r="CP53" s="198"/>
      <c r="CQ53" s="198"/>
      <c r="CR53" s="198"/>
      <c r="CS53" s="198"/>
      <c r="CT53" s="198"/>
      <c r="CU53" s="198"/>
      <c r="CV53" s="198"/>
      <c r="CW53" s="198"/>
      <c r="CX53" s="198"/>
      <c r="CY53" s="198"/>
      <c r="CZ53" s="198"/>
      <c r="DA53" s="198"/>
      <c r="DB53" s="198"/>
      <c r="DC53" s="198"/>
      <c r="DD53" s="198"/>
      <c r="DE53" s="198"/>
      <c r="DF53" s="198"/>
      <c r="DG53" s="198"/>
      <c r="DH53" s="198"/>
      <c r="DI53" s="198"/>
      <c r="DJ53" s="198"/>
      <c r="DK53" s="198"/>
      <c r="DL53" s="198"/>
      <c r="DM53" s="198"/>
      <c r="DN53" s="198"/>
      <c r="DO53" s="198"/>
      <c r="DP53" s="198"/>
      <c r="DQ53" s="198"/>
      <c r="DR53" s="198"/>
      <c r="DS53" s="198"/>
      <c r="DT53" s="198"/>
      <c r="DU53" s="198"/>
      <c r="DV53" s="198"/>
      <c r="DW53" s="198"/>
      <c r="DX53" s="198"/>
      <c r="DY53" s="198"/>
      <c r="DZ53" s="198"/>
      <c r="EA53" s="198"/>
      <c r="EB53" s="198"/>
      <c r="EC53" s="198"/>
      <c r="ED53" s="198"/>
      <c r="EE53" s="198"/>
      <c r="EF53" s="198"/>
      <c r="EG53" s="198"/>
      <c r="EH53" s="198"/>
      <c r="EI53" s="198"/>
      <c r="EJ53" s="198"/>
      <c r="EK53" s="198"/>
      <c r="EL53" s="198"/>
      <c r="EM53" s="198"/>
      <c r="EN53" s="198"/>
      <c r="EO53" s="198"/>
      <c r="EP53" s="198"/>
      <c r="EQ53" s="198"/>
      <c r="ER53" s="198"/>
      <c r="ES53" s="198"/>
      <c r="ET53" s="198"/>
      <c r="EU53" s="198"/>
      <c r="EV53" s="198"/>
      <c r="EW53" s="198"/>
      <c r="EX53" s="198"/>
      <c r="EY53" s="198"/>
      <c r="EZ53" s="198"/>
      <c r="FA53" s="198"/>
      <c r="FB53" s="198"/>
      <c r="FC53" s="198"/>
      <c r="FD53" s="198"/>
      <c r="FE53" s="198"/>
      <c r="FF53" s="198"/>
      <c r="FG53" s="198"/>
      <c r="FH53" s="198"/>
      <c r="FI53" s="198"/>
      <c r="FJ53" s="198"/>
      <c r="FK53" s="198"/>
      <c r="FL53" s="198"/>
      <c r="FM53" s="198"/>
      <c r="FN53" s="198"/>
      <c r="FO53" s="198"/>
      <c r="FP53" s="201">
        <v>81565</v>
      </c>
      <c r="FQ53" s="202" t="s">
        <v>756</v>
      </c>
      <c r="FR53" s="203" t="s">
        <v>389</v>
      </c>
      <c r="FS53" s="203" t="s">
        <v>431</v>
      </c>
      <c r="FT53" s="203" t="s">
        <v>432</v>
      </c>
      <c r="FU53" s="204">
        <f t="shared" si="0"/>
        <v>20</v>
      </c>
      <c r="FV53" s="205" t="s">
        <v>433</v>
      </c>
    </row>
    <row r="54" spans="1:178" s="174" customFormat="1" ht="11.4">
      <c r="A54" s="196" t="s">
        <v>393</v>
      </c>
      <c r="B54" s="196" t="s">
        <v>392</v>
      </c>
      <c r="C54" s="196" t="s">
        <v>411</v>
      </c>
      <c r="D54" s="196" t="s">
        <v>1</v>
      </c>
      <c r="E54" s="197" t="s">
        <v>430</v>
      </c>
      <c r="F54" s="196" t="s">
        <v>388</v>
      </c>
      <c r="G54" s="196"/>
      <c r="H54" s="198"/>
      <c r="I54" s="198"/>
      <c r="J54" s="198"/>
      <c r="K54" s="198"/>
      <c r="L54" s="198"/>
      <c r="M54" s="198"/>
      <c r="N54" s="198"/>
      <c r="O54" s="198"/>
      <c r="P54" s="198"/>
      <c r="Q54" s="198"/>
      <c r="R54" s="198"/>
      <c r="S54" s="198"/>
      <c r="T54" s="198"/>
      <c r="U54" s="198"/>
      <c r="V54" s="198"/>
      <c r="W54" s="198"/>
      <c r="X54" s="198"/>
      <c r="Y54" s="198"/>
      <c r="Z54" s="198"/>
      <c r="AA54" s="198"/>
      <c r="AB54" s="198"/>
      <c r="AC54" s="198"/>
      <c r="AD54" s="198"/>
      <c r="AE54" s="198"/>
      <c r="AF54" s="198"/>
      <c r="AG54" s="198"/>
      <c r="AH54" s="200">
        <f>30-30</f>
        <v>0</v>
      </c>
      <c r="AI54" s="198"/>
      <c r="AJ54" s="198"/>
      <c r="AK54" s="198"/>
      <c r="AL54" s="198"/>
      <c r="AM54" s="198"/>
      <c r="AN54" s="198"/>
      <c r="AO54" s="198"/>
      <c r="AP54" s="198"/>
      <c r="AQ54" s="198"/>
      <c r="AR54" s="198"/>
      <c r="AS54" s="198"/>
      <c r="AT54" s="198"/>
      <c r="AU54" s="198"/>
      <c r="AV54" s="198"/>
      <c r="AW54" s="198"/>
      <c r="AX54" s="198"/>
      <c r="AY54" s="198"/>
      <c r="AZ54" s="198"/>
      <c r="BA54" s="198"/>
      <c r="BB54" s="198"/>
      <c r="BC54" s="198"/>
      <c r="BD54" s="198"/>
      <c r="BE54" s="198"/>
      <c r="BF54" s="198"/>
      <c r="BG54" s="198"/>
      <c r="BH54" s="198"/>
      <c r="BI54" s="198"/>
      <c r="BJ54" s="198"/>
      <c r="BK54" s="198"/>
      <c r="BL54" s="198"/>
      <c r="BM54" s="198"/>
      <c r="BN54" s="198"/>
      <c r="BO54" s="198"/>
      <c r="BP54" s="198"/>
      <c r="BQ54" s="198"/>
      <c r="BR54" s="198"/>
      <c r="BS54" s="198"/>
      <c r="BT54" s="198"/>
      <c r="BU54" s="198"/>
      <c r="BV54" s="198"/>
      <c r="BW54" s="198"/>
      <c r="BX54" s="198"/>
      <c r="BY54" s="198"/>
      <c r="BZ54" s="198"/>
      <c r="CA54" s="198"/>
      <c r="CB54" s="198"/>
      <c r="CC54" s="198"/>
      <c r="CD54" s="198"/>
      <c r="CE54" s="198"/>
      <c r="CF54" s="198"/>
      <c r="CG54" s="198"/>
      <c r="CH54" s="198"/>
      <c r="CI54" s="198"/>
      <c r="CJ54" s="198"/>
      <c r="CK54" s="198"/>
      <c r="CL54" s="198"/>
      <c r="CM54" s="198"/>
      <c r="CN54" s="198"/>
      <c r="CO54" s="198"/>
      <c r="CP54" s="198"/>
      <c r="CQ54" s="198"/>
      <c r="CR54" s="198"/>
      <c r="CS54" s="198"/>
      <c r="CT54" s="198"/>
      <c r="CU54" s="198"/>
      <c r="CV54" s="198"/>
      <c r="CW54" s="198"/>
      <c r="CX54" s="198"/>
      <c r="CY54" s="198"/>
      <c r="CZ54" s="198"/>
      <c r="DA54" s="198"/>
      <c r="DB54" s="198"/>
      <c r="DC54" s="198"/>
      <c r="DD54" s="198"/>
      <c r="DE54" s="198"/>
      <c r="DF54" s="198"/>
      <c r="DG54" s="198"/>
      <c r="DH54" s="198"/>
      <c r="DI54" s="198"/>
      <c r="DJ54" s="198"/>
      <c r="DK54" s="198"/>
      <c r="DL54" s="198"/>
      <c r="DM54" s="198"/>
      <c r="DN54" s="198"/>
      <c r="DO54" s="198"/>
      <c r="DP54" s="198"/>
      <c r="DQ54" s="198"/>
      <c r="DR54" s="198"/>
      <c r="DS54" s="198"/>
      <c r="DT54" s="198"/>
      <c r="DU54" s="198"/>
      <c r="DV54" s="198"/>
      <c r="DW54" s="198"/>
      <c r="DX54" s="198"/>
      <c r="DY54" s="198"/>
      <c r="DZ54" s="198"/>
      <c r="EA54" s="200">
        <f>60-60</f>
        <v>0</v>
      </c>
      <c r="EB54" s="198"/>
      <c r="EC54" s="198"/>
      <c r="ED54" s="198"/>
      <c r="EE54" s="198"/>
      <c r="EF54" s="198"/>
      <c r="EG54" s="198"/>
      <c r="EH54" s="198"/>
      <c r="EI54" s="198"/>
      <c r="EJ54" s="198"/>
      <c r="EK54" s="200">
        <f>10-10</f>
        <v>0</v>
      </c>
      <c r="EL54" s="198"/>
      <c r="EM54" s="198"/>
      <c r="EN54" s="198"/>
      <c r="EO54" s="198"/>
      <c r="EP54" s="198"/>
      <c r="EQ54" s="198"/>
      <c r="ER54" s="198"/>
      <c r="ES54" s="198"/>
      <c r="ET54" s="198"/>
      <c r="EU54" s="198"/>
      <c r="EV54" s="198"/>
      <c r="EW54" s="198"/>
      <c r="EX54" s="198"/>
      <c r="EY54" s="198"/>
      <c r="EZ54" s="198"/>
      <c r="FA54" s="198"/>
      <c r="FB54" s="198"/>
      <c r="FC54" s="198"/>
      <c r="FD54" s="198"/>
      <c r="FE54" s="198"/>
      <c r="FF54" s="198"/>
      <c r="FG54" s="198"/>
      <c r="FH54" s="198"/>
      <c r="FI54" s="198"/>
      <c r="FJ54" s="198"/>
      <c r="FK54" s="198"/>
      <c r="FL54" s="198"/>
      <c r="FM54" s="198"/>
      <c r="FN54" s="198"/>
      <c r="FO54" s="198"/>
      <c r="FP54" s="201">
        <v>81565</v>
      </c>
      <c r="FQ54" s="202" t="s">
        <v>756</v>
      </c>
      <c r="FR54" s="203" t="s">
        <v>389</v>
      </c>
      <c r="FS54" s="203" t="s">
        <v>431</v>
      </c>
      <c r="FT54" s="203" t="s">
        <v>432</v>
      </c>
      <c r="FU54" s="204">
        <f t="shared" si="0"/>
        <v>0</v>
      </c>
      <c r="FV54" s="205" t="s">
        <v>433</v>
      </c>
    </row>
    <row r="55" spans="1:178" s="174" customFormat="1" ht="11.4">
      <c r="A55" s="196" t="s">
        <v>393</v>
      </c>
      <c r="B55" s="196" t="s">
        <v>392</v>
      </c>
      <c r="C55" s="196" t="s">
        <v>411</v>
      </c>
      <c r="D55" s="196" t="s">
        <v>1</v>
      </c>
      <c r="E55" s="209" t="s">
        <v>430</v>
      </c>
      <c r="F55" s="196" t="s">
        <v>388</v>
      </c>
      <c r="G55" s="196"/>
      <c r="H55" s="198"/>
      <c r="I55" s="198"/>
      <c r="J55" s="198"/>
      <c r="K55" s="198"/>
      <c r="L55" s="198"/>
      <c r="M55" s="198"/>
      <c r="N55" s="198"/>
      <c r="O55" s="198"/>
      <c r="P55" s="198"/>
      <c r="Q55" s="198"/>
      <c r="R55" s="198"/>
      <c r="S55" s="198"/>
      <c r="T55" s="198"/>
      <c r="U55" s="200">
        <f>20-20</f>
        <v>0</v>
      </c>
      <c r="V55" s="198"/>
      <c r="W55" s="198"/>
      <c r="X55" s="198"/>
      <c r="Y55" s="198"/>
      <c r="Z55" s="198"/>
      <c r="AA55" s="198"/>
      <c r="AB55" s="198"/>
      <c r="AC55" s="198"/>
      <c r="AD55" s="198"/>
      <c r="AE55" s="198"/>
      <c r="AF55" s="198"/>
      <c r="AG55" s="198"/>
      <c r="AH55" s="198"/>
      <c r="AI55" s="198"/>
      <c r="AJ55" s="198"/>
      <c r="AK55" s="198"/>
      <c r="AL55" s="198"/>
      <c r="AM55" s="198"/>
      <c r="AN55" s="198"/>
      <c r="AO55" s="198"/>
      <c r="AP55" s="198"/>
      <c r="AQ55" s="198"/>
      <c r="AR55" s="198"/>
      <c r="AS55" s="198"/>
      <c r="AT55" s="198"/>
      <c r="AU55" s="198"/>
      <c r="AV55" s="198"/>
      <c r="AW55" s="198"/>
      <c r="AX55" s="198"/>
      <c r="AY55" s="198"/>
      <c r="AZ55" s="198"/>
      <c r="BA55" s="198"/>
      <c r="BB55" s="198"/>
      <c r="BC55" s="198"/>
      <c r="BD55" s="198"/>
      <c r="BE55" s="198"/>
      <c r="BF55" s="198"/>
      <c r="BG55" s="198"/>
      <c r="BH55" s="198"/>
      <c r="BI55" s="198"/>
      <c r="BJ55" s="198"/>
      <c r="BK55" s="198"/>
      <c r="BL55" s="198"/>
      <c r="BM55" s="198"/>
      <c r="BN55" s="198"/>
      <c r="BO55" s="198"/>
      <c r="BP55" s="198"/>
      <c r="BQ55" s="198"/>
      <c r="BR55" s="198"/>
      <c r="BS55" s="198"/>
      <c r="BT55" s="198"/>
      <c r="BU55" s="198"/>
      <c r="BV55" s="198"/>
      <c r="BW55" s="198"/>
      <c r="BX55" s="198"/>
      <c r="BY55" s="198"/>
      <c r="BZ55" s="198"/>
      <c r="CA55" s="198"/>
      <c r="CB55" s="198"/>
      <c r="CC55" s="198"/>
      <c r="CD55" s="198"/>
      <c r="CE55" s="198"/>
      <c r="CF55" s="198"/>
      <c r="CG55" s="198"/>
      <c r="CH55" s="198"/>
      <c r="CI55" s="198"/>
      <c r="CJ55" s="198"/>
      <c r="CK55" s="198"/>
      <c r="CL55" s="198"/>
      <c r="CM55" s="198"/>
      <c r="CN55" s="198"/>
      <c r="CO55" s="198"/>
      <c r="CP55" s="198"/>
      <c r="CQ55" s="198"/>
      <c r="CR55" s="198"/>
      <c r="CS55" s="198"/>
      <c r="CT55" s="198"/>
      <c r="CU55" s="198"/>
      <c r="CV55" s="198"/>
      <c r="CW55" s="198"/>
      <c r="CX55" s="198"/>
      <c r="CY55" s="198"/>
      <c r="CZ55" s="198"/>
      <c r="DA55" s="198"/>
      <c r="DB55" s="198"/>
      <c r="DC55" s="198"/>
      <c r="DD55" s="198"/>
      <c r="DE55" s="198"/>
      <c r="DF55" s="198"/>
      <c r="DG55" s="198"/>
      <c r="DH55" s="198"/>
      <c r="DI55" s="198"/>
      <c r="DJ55" s="198"/>
      <c r="DK55" s="198"/>
      <c r="DL55" s="198"/>
      <c r="DM55" s="198"/>
      <c r="DN55" s="198"/>
      <c r="DO55" s="198"/>
      <c r="DP55" s="198"/>
      <c r="DQ55" s="198"/>
      <c r="DR55" s="198"/>
      <c r="DS55" s="198"/>
      <c r="DT55" s="198"/>
      <c r="DU55" s="198"/>
      <c r="DV55" s="198"/>
      <c r="DW55" s="198"/>
      <c r="DX55" s="198"/>
      <c r="DY55" s="198"/>
      <c r="DZ55" s="198"/>
      <c r="EA55" s="198"/>
      <c r="EB55" s="198"/>
      <c r="EC55" s="198"/>
      <c r="ED55" s="198"/>
      <c r="EE55" s="198"/>
      <c r="EF55" s="198"/>
      <c r="EG55" s="198"/>
      <c r="EH55" s="198"/>
      <c r="EI55" s="198"/>
      <c r="EJ55" s="198"/>
      <c r="EK55" s="198"/>
      <c r="EL55" s="198"/>
      <c r="EM55" s="198"/>
      <c r="EN55" s="198"/>
      <c r="EO55" s="198"/>
      <c r="EP55" s="198"/>
      <c r="EQ55" s="198"/>
      <c r="ER55" s="198"/>
      <c r="ES55" s="200">
        <f>10-10</f>
        <v>0</v>
      </c>
      <c r="ET55" s="198"/>
      <c r="EU55" s="198"/>
      <c r="EV55" s="198"/>
      <c r="EW55" s="198"/>
      <c r="EX55" s="198"/>
      <c r="EY55" s="198"/>
      <c r="EZ55" s="198"/>
      <c r="FA55" s="198"/>
      <c r="FB55" s="198"/>
      <c r="FC55" s="198"/>
      <c r="FD55" s="198"/>
      <c r="FE55" s="198"/>
      <c r="FF55" s="198"/>
      <c r="FG55" s="198"/>
      <c r="FH55" s="198"/>
      <c r="FI55" s="198"/>
      <c r="FJ55" s="198"/>
      <c r="FK55" s="198"/>
      <c r="FL55" s="198"/>
      <c r="FM55" s="198"/>
      <c r="FN55" s="198"/>
      <c r="FO55" s="198"/>
      <c r="FP55" s="201">
        <v>81671</v>
      </c>
      <c r="FQ55" s="202" t="s">
        <v>756</v>
      </c>
      <c r="FR55" s="203" t="s">
        <v>389</v>
      </c>
      <c r="FS55" s="203" t="s">
        <v>431</v>
      </c>
      <c r="FT55" s="203" t="s">
        <v>432</v>
      </c>
      <c r="FU55" s="204">
        <f t="shared" si="0"/>
        <v>0</v>
      </c>
      <c r="FV55" s="205" t="s">
        <v>433</v>
      </c>
    </row>
    <row r="56" spans="1:178" s="174" customFormat="1" ht="11.4">
      <c r="A56" s="196" t="s">
        <v>393</v>
      </c>
      <c r="B56" s="196" t="s">
        <v>392</v>
      </c>
      <c r="C56" s="196" t="s">
        <v>411</v>
      </c>
      <c r="D56" s="196" t="s">
        <v>293</v>
      </c>
      <c r="E56" s="209" t="s">
        <v>430</v>
      </c>
      <c r="F56" s="196" t="s">
        <v>388</v>
      </c>
      <c r="G56" s="196"/>
      <c r="H56" s="198"/>
      <c r="I56" s="198"/>
      <c r="J56" s="200">
        <f>20-20</f>
        <v>0</v>
      </c>
      <c r="K56" s="198"/>
      <c r="L56" s="198"/>
      <c r="M56" s="198"/>
      <c r="N56" s="198"/>
      <c r="O56" s="198"/>
      <c r="P56" s="198"/>
      <c r="Q56" s="198"/>
      <c r="R56" s="198"/>
      <c r="S56" s="198"/>
      <c r="T56" s="198"/>
      <c r="U56" s="198"/>
      <c r="V56" s="198"/>
      <c r="W56" s="198"/>
      <c r="X56" s="198"/>
      <c r="Y56" s="198"/>
      <c r="Z56" s="198"/>
      <c r="AA56" s="198"/>
      <c r="AB56" s="198"/>
      <c r="AC56" s="198"/>
      <c r="AD56" s="198"/>
      <c r="AE56" s="198"/>
      <c r="AF56" s="198"/>
      <c r="AG56" s="198"/>
      <c r="AH56" s="198"/>
      <c r="AI56" s="198"/>
      <c r="AJ56" s="198"/>
      <c r="AK56" s="198"/>
      <c r="AL56" s="198"/>
      <c r="AM56" s="198"/>
      <c r="AN56" s="198"/>
      <c r="AO56" s="198"/>
      <c r="AP56" s="198"/>
      <c r="AQ56" s="198"/>
      <c r="AR56" s="198"/>
      <c r="AS56" s="198"/>
      <c r="AT56" s="198"/>
      <c r="AU56" s="198"/>
      <c r="AV56" s="198"/>
      <c r="AW56" s="198"/>
      <c r="AX56" s="198"/>
      <c r="AY56" s="198"/>
      <c r="AZ56" s="198"/>
      <c r="BA56" s="198"/>
      <c r="BB56" s="198"/>
      <c r="BC56" s="198"/>
      <c r="BD56" s="198"/>
      <c r="BE56" s="198"/>
      <c r="BF56" s="198"/>
      <c r="BG56" s="198"/>
      <c r="BH56" s="198"/>
      <c r="BI56" s="198"/>
      <c r="BJ56" s="198"/>
      <c r="BK56" s="198"/>
      <c r="BL56" s="198"/>
      <c r="BM56" s="198"/>
      <c r="BN56" s="198"/>
      <c r="BO56" s="198"/>
      <c r="BP56" s="198"/>
      <c r="BQ56" s="198"/>
      <c r="BR56" s="198"/>
      <c r="BS56" s="198"/>
      <c r="BT56" s="198"/>
      <c r="BU56" s="198"/>
      <c r="BV56" s="198"/>
      <c r="BW56" s="198"/>
      <c r="BX56" s="198"/>
      <c r="BY56" s="198"/>
      <c r="BZ56" s="198"/>
      <c r="CA56" s="198"/>
      <c r="CB56" s="198"/>
      <c r="CC56" s="198"/>
      <c r="CD56" s="198"/>
      <c r="CE56" s="198"/>
      <c r="CF56" s="198"/>
      <c r="CG56" s="198"/>
      <c r="CH56" s="198"/>
      <c r="CI56" s="198"/>
      <c r="CJ56" s="198"/>
      <c r="CK56" s="198"/>
      <c r="CL56" s="198"/>
      <c r="CM56" s="198"/>
      <c r="CN56" s="198"/>
      <c r="CO56" s="198"/>
      <c r="CP56" s="198"/>
      <c r="CQ56" s="198"/>
      <c r="CR56" s="198"/>
      <c r="CS56" s="198"/>
      <c r="CT56" s="198"/>
      <c r="CU56" s="198"/>
      <c r="CV56" s="198"/>
      <c r="CW56" s="198"/>
      <c r="CX56" s="198"/>
      <c r="CY56" s="198"/>
      <c r="CZ56" s="198"/>
      <c r="DA56" s="198"/>
      <c r="DB56" s="198"/>
      <c r="DC56" s="198"/>
      <c r="DD56" s="198"/>
      <c r="DE56" s="198"/>
      <c r="DF56" s="198"/>
      <c r="DG56" s="198"/>
      <c r="DH56" s="198"/>
      <c r="DI56" s="198"/>
      <c r="DJ56" s="198"/>
      <c r="DK56" s="198"/>
      <c r="DL56" s="198"/>
      <c r="DM56" s="198"/>
      <c r="DN56" s="198"/>
      <c r="DO56" s="198"/>
      <c r="DP56" s="198"/>
      <c r="DQ56" s="198"/>
      <c r="DR56" s="198"/>
      <c r="DS56" s="198"/>
      <c r="DT56" s="198"/>
      <c r="DU56" s="198"/>
      <c r="DV56" s="198"/>
      <c r="DW56" s="198"/>
      <c r="DX56" s="198"/>
      <c r="DY56" s="198"/>
      <c r="DZ56" s="198"/>
      <c r="EA56" s="198"/>
      <c r="EB56" s="198"/>
      <c r="EC56" s="198"/>
      <c r="ED56" s="198"/>
      <c r="EE56" s="198"/>
      <c r="EF56" s="198"/>
      <c r="EG56" s="198"/>
      <c r="EH56" s="198"/>
      <c r="EI56" s="198"/>
      <c r="EJ56" s="198"/>
      <c r="EK56" s="198"/>
      <c r="EL56" s="198"/>
      <c r="EM56" s="198"/>
      <c r="EN56" s="198"/>
      <c r="EO56" s="198"/>
      <c r="EP56" s="198"/>
      <c r="EQ56" s="198"/>
      <c r="ER56" s="198"/>
      <c r="ES56" s="198"/>
      <c r="ET56" s="198"/>
      <c r="EU56" s="198"/>
      <c r="EV56" s="198"/>
      <c r="EW56" s="198"/>
      <c r="EX56" s="198"/>
      <c r="EY56" s="198"/>
      <c r="EZ56" s="198"/>
      <c r="FA56" s="198"/>
      <c r="FB56" s="198"/>
      <c r="FC56" s="198"/>
      <c r="FD56" s="198"/>
      <c r="FE56" s="198"/>
      <c r="FF56" s="198"/>
      <c r="FG56" s="198"/>
      <c r="FH56" s="198"/>
      <c r="FI56" s="198"/>
      <c r="FJ56" s="198"/>
      <c r="FK56" s="198"/>
      <c r="FL56" s="198"/>
      <c r="FM56" s="198"/>
      <c r="FN56" s="198"/>
      <c r="FO56" s="198"/>
      <c r="FP56" s="201">
        <v>81671</v>
      </c>
      <c r="FQ56" s="202" t="s">
        <v>756</v>
      </c>
      <c r="FR56" s="203" t="s">
        <v>389</v>
      </c>
      <c r="FS56" s="203" t="s">
        <v>431</v>
      </c>
      <c r="FT56" s="203" t="s">
        <v>432</v>
      </c>
      <c r="FU56" s="204">
        <f t="shared" si="0"/>
        <v>0</v>
      </c>
      <c r="FV56" s="205" t="s">
        <v>433</v>
      </c>
    </row>
    <row r="57" spans="1:178" s="174" customFormat="1" ht="11.4">
      <c r="A57" s="196" t="s">
        <v>393</v>
      </c>
      <c r="B57" s="196" t="s">
        <v>392</v>
      </c>
      <c r="C57" s="196" t="s">
        <v>411</v>
      </c>
      <c r="D57" s="196" t="s">
        <v>291</v>
      </c>
      <c r="E57" s="197" t="s">
        <v>430</v>
      </c>
      <c r="F57" s="196" t="s">
        <v>388</v>
      </c>
      <c r="G57" s="196"/>
      <c r="H57" s="198"/>
      <c r="I57" s="198"/>
      <c r="J57" s="198"/>
      <c r="K57" s="198"/>
      <c r="L57" s="198"/>
      <c r="M57" s="198"/>
      <c r="N57" s="198"/>
      <c r="O57" s="198"/>
      <c r="P57" s="198"/>
      <c r="Q57" s="198"/>
      <c r="R57" s="198"/>
      <c r="S57" s="198"/>
      <c r="T57" s="198"/>
      <c r="U57" s="198"/>
      <c r="V57" s="198"/>
      <c r="W57" s="198"/>
      <c r="X57" s="198"/>
      <c r="Y57" s="198"/>
      <c r="Z57" s="198"/>
      <c r="AA57" s="198"/>
      <c r="AB57" s="198"/>
      <c r="AC57" s="198"/>
      <c r="AD57" s="198"/>
      <c r="AE57" s="198"/>
      <c r="AF57" s="198"/>
      <c r="AG57" s="198"/>
      <c r="AH57" s="198"/>
      <c r="AI57" s="198"/>
      <c r="AJ57" s="198"/>
      <c r="AK57" s="198"/>
      <c r="AL57" s="198"/>
      <c r="AM57" s="198"/>
      <c r="AN57" s="198"/>
      <c r="AO57" s="198"/>
      <c r="AP57" s="198"/>
      <c r="AQ57" s="198"/>
      <c r="AR57" s="200">
        <f>20-20</f>
        <v>0</v>
      </c>
      <c r="AS57" s="198"/>
      <c r="AT57" s="198"/>
      <c r="AU57" s="198"/>
      <c r="AV57" s="198"/>
      <c r="AW57" s="198"/>
      <c r="AX57" s="198"/>
      <c r="AY57" s="198"/>
      <c r="AZ57" s="198"/>
      <c r="BA57" s="198"/>
      <c r="BB57" s="198"/>
      <c r="BC57" s="198"/>
      <c r="BD57" s="198"/>
      <c r="BE57" s="198"/>
      <c r="BF57" s="198"/>
      <c r="BG57" s="198"/>
      <c r="BH57" s="198"/>
      <c r="BI57" s="198"/>
      <c r="BJ57" s="198"/>
      <c r="BK57" s="198"/>
      <c r="BL57" s="198"/>
      <c r="BM57" s="198"/>
      <c r="BN57" s="198"/>
      <c r="BO57" s="198"/>
      <c r="BP57" s="198"/>
      <c r="BQ57" s="198"/>
      <c r="BR57" s="198"/>
      <c r="BS57" s="198"/>
      <c r="BT57" s="198"/>
      <c r="BU57" s="198"/>
      <c r="BV57" s="198"/>
      <c r="BW57" s="198"/>
      <c r="BX57" s="198"/>
      <c r="BY57" s="198"/>
      <c r="BZ57" s="198"/>
      <c r="CA57" s="198"/>
      <c r="CB57" s="198"/>
      <c r="CC57" s="198"/>
      <c r="CD57" s="198"/>
      <c r="CE57" s="198"/>
      <c r="CF57" s="198"/>
      <c r="CG57" s="198"/>
      <c r="CH57" s="198"/>
      <c r="CI57" s="198"/>
      <c r="CJ57" s="198"/>
      <c r="CK57" s="198"/>
      <c r="CL57" s="198"/>
      <c r="CM57" s="198"/>
      <c r="CN57" s="198"/>
      <c r="CO57" s="198"/>
      <c r="CP57" s="198"/>
      <c r="CQ57" s="198"/>
      <c r="CR57" s="198"/>
      <c r="CS57" s="198"/>
      <c r="CT57" s="198"/>
      <c r="CU57" s="198"/>
      <c r="CV57" s="198"/>
      <c r="CW57" s="198"/>
      <c r="CX57" s="198"/>
      <c r="CY57" s="198"/>
      <c r="CZ57" s="198"/>
      <c r="DA57" s="198"/>
      <c r="DB57" s="198"/>
      <c r="DC57" s="198"/>
      <c r="DD57" s="198"/>
      <c r="DE57" s="198"/>
      <c r="DF57" s="198"/>
      <c r="DG57" s="198"/>
      <c r="DH57" s="198"/>
      <c r="DI57" s="198"/>
      <c r="DJ57" s="198"/>
      <c r="DK57" s="198"/>
      <c r="DL57" s="198"/>
      <c r="DM57" s="198"/>
      <c r="DN57" s="198"/>
      <c r="DO57" s="198"/>
      <c r="DP57" s="198"/>
      <c r="DQ57" s="198"/>
      <c r="DR57" s="198"/>
      <c r="DS57" s="198"/>
      <c r="DT57" s="198"/>
      <c r="DU57" s="198"/>
      <c r="DV57" s="198"/>
      <c r="DW57" s="198"/>
      <c r="DX57" s="198"/>
      <c r="DY57" s="198"/>
      <c r="DZ57" s="198"/>
      <c r="EA57" s="198"/>
      <c r="EB57" s="198"/>
      <c r="EC57" s="198"/>
      <c r="ED57" s="198"/>
      <c r="EE57" s="198"/>
      <c r="EF57" s="198"/>
      <c r="EG57" s="198"/>
      <c r="EH57" s="198"/>
      <c r="EI57" s="198"/>
      <c r="EJ57" s="198"/>
      <c r="EK57" s="198"/>
      <c r="EL57" s="198"/>
      <c r="EM57" s="198"/>
      <c r="EN57" s="198"/>
      <c r="EO57" s="198"/>
      <c r="EP57" s="198"/>
      <c r="EQ57" s="198"/>
      <c r="ER57" s="198"/>
      <c r="ES57" s="198"/>
      <c r="ET57" s="198"/>
      <c r="EU57" s="198"/>
      <c r="EV57" s="198"/>
      <c r="EW57" s="198"/>
      <c r="EX57" s="198"/>
      <c r="EY57" s="198"/>
      <c r="EZ57" s="198"/>
      <c r="FA57" s="198"/>
      <c r="FB57" s="198"/>
      <c r="FC57" s="198"/>
      <c r="FD57" s="198"/>
      <c r="FE57" s="198"/>
      <c r="FF57" s="198"/>
      <c r="FG57" s="198"/>
      <c r="FH57" s="198"/>
      <c r="FI57" s="198"/>
      <c r="FJ57" s="198"/>
      <c r="FK57" s="198"/>
      <c r="FL57" s="198"/>
      <c r="FM57" s="198"/>
      <c r="FN57" s="198"/>
      <c r="FO57" s="198"/>
      <c r="FP57" s="201">
        <v>81754</v>
      </c>
      <c r="FQ57" s="202" t="s">
        <v>756</v>
      </c>
      <c r="FR57" s="203" t="s">
        <v>389</v>
      </c>
      <c r="FS57" s="203" t="s">
        <v>431</v>
      </c>
      <c r="FT57" s="203" t="s">
        <v>432</v>
      </c>
      <c r="FU57" s="204">
        <f t="shared" si="0"/>
        <v>0</v>
      </c>
      <c r="FV57" s="205" t="s">
        <v>433</v>
      </c>
    </row>
    <row r="58" spans="1:178" s="174" customFormat="1" ht="11.4">
      <c r="A58" s="196" t="s">
        <v>393</v>
      </c>
      <c r="B58" s="196" t="s">
        <v>392</v>
      </c>
      <c r="C58" s="196" t="s">
        <v>411</v>
      </c>
      <c r="D58" s="196" t="s">
        <v>1</v>
      </c>
      <c r="E58" s="197" t="s">
        <v>430</v>
      </c>
      <c r="F58" s="196" t="s">
        <v>388</v>
      </c>
      <c r="G58" s="196"/>
      <c r="H58" s="198"/>
      <c r="I58" s="198"/>
      <c r="J58" s="198"/>
      <c r="K58" s="198"/>
      <c r="L58" s="198"/>
      <c r="M58" s="198"/>
      <c r="N58" s="198"/>
      <c r="O58" s="198"/>
      <c r="P58" s="198"/>
      <c r="Q58" s="198"/>
      <c r="R58" s="198"/>
      <c r="S58" s="198"/>
      <c r="T58" s="198"/>
      <c r="U58" s="200">
        <f>40-40</f>
        <v>0</v>
      </c>
      <c r="V58" s="198"/>
      <c r="W58" s="198"/>
      <c r="X58" s="198"/>
      <c r="Y58" s="198"/>
      <c r="Z58" s="198"/>
      <c r="AA58" s="200">
        <f>10-10</f>
        <v>0</v>
      </c>
      <c r="AB58" s="198"/>
      <c r="AC58" s="198"/>
      <c r="AD58" s="198"/>
      <c r="AE58" s="198"/>
      <c r="AF58" s="198"/>
      <c r="AG58" s="198"/>
      <c r="AH58" s="198"/>
      <c r="AI58" s="198"/>
      <c r="AJ58" s="198"/>
      <c r="AK58" s="198"/>
      <c r="AL58" s="198"/>
      <c r="AM58" s="198"/>
      <c r="AN58" s="198"/>
      <c r="AO58" s="198"/>
      <c r="AP58" s="198"/>
      <c r="AQ58" s="198"/>
      <c r="AR58" s="198"/>
      <c r="AS58" s="198"/>
      <c r="AT58" s="198"/>
      <c r="AU58" s="198"/>
      <c r="AV58" s="198"/>
      <c r="AW58" s="198"/>
      <c r="AX58" s="198"/>
      <c r="AY58" s="198"/>
      <c r="AZ58" s="198"/>
      <c r="BA58" s="198"/>
      <c r="BB58" s="198"/>
      <c r="BC58" s="198"/>
      <c r="BD58" s="198"/>
      <c r="BE58" s="198"/>
      <c r="BF58" s="198"/>
      <c r="BG58" s="198"/>
      <c r="BH58" s="198"/>
      <c r="BI58" s="198"/>
      <c r="BJ58" s="198"/>
      <c r="BK58" s="198"/>
      <c r="BL58" s="198"/>
      <c r="BM58" s="198"/>
      <c r="BN58" s="198"/>
      <c r="BO58" s="198"/>
      <c r="BP58" s="198"/>
      <c r="BQ58" s="198"/>
      <c r="BR58" s="198"/>
      <c r="BS58" s="198"/>
      <c r="BT58" s="198"/>
      <c r="BU58" s="198"/>
      <c r="BV58" s="198"/>
      <c r="BW58" s="198"/>
      <c r="BX58" s="198"/>
      <c r="BY58" s="198"/>
      <c r="BZ58" s="198"/>
      <c r="CA58" s="198"/>
      <c r="CB58" s="198"/>
      <c r="CC58" s="198"/>
      <c r="CD58" s="198"/>
      <c r="CE58" s="198"/>
      <c r="CF58" s="198"/>
      <c r="CG58" s="198"/>
      <c r="CH58" s="198"/>
      <c r="CI58" s="198"/>
      <c r="CJ58" s="198"/>
      <c r="CK58" s="198"/>
      <c r="CL58" s="198"/>
      <c r="CM58" s="198"/>
      <c r="CN58" s="198"/>
      <c r="CO58" s="198"/>
      <c r="CP58" s="198"/>
      <c r="CQ58" s="198"/>
      <c r="CR58" s="198"/>
      <c r="CS58" s="198"/>
      <c r="CT58" s="198"/>
      <c r="CU58" s="198"/>
      <c r="CV58" s="198"/>
      <c r="CW58" s="198"/>
      <c r="CX58" s="198"/>
      <c r="CY58" s="198"/>
      <c r="CZ58" s="198"/>
      <c r="DA58" s="198"/>
      <c r="DB58" s="198"/>
      <c r="DC58" s="198"/>
      <c r="DD58" s="198"/>
      <c r="DE58" s="198"/>
      <c r="DF58" s="198"/>
      <c r="DG58" s="198"/>
      <c r="DH58" s="198"/>
      <c r="DI58" s="198"/>
      <c r="DJ58" s="198"/>
      <c r="DK58" s="198"/>
      <c r="DL58" s="198"/>
      <c r="DM58" s="198"/>
      <c r="DN58" s="198"/>
      <c r="DO58" s="198"/>
      <c r="DP58" s="198"/>
      <c r="DQ58" s="198"/>
      <c r="DR58" s="198"/>
      <c r="DS58" s="198"/>
      <c r="DT58" s="198"/>
      <c r="DU58" s="198"/>
      <c r="DV58" s="198"/>
      <c r="DW58" s="198"/>
      <c r="DX58" s="198"/>
      <c r="DY58" s="198"/>
      <c r="DZ58" s="198"/>
      <c r="EA58" s="198"/>
      <c r="EB58" s="198"/>
      <c r="EC58" s="198"/>
      <c r="ED58" s="198"/>
      <c r="EE58" s="198"/>
      <c r="EF58" s="198"/>
      <c r="EG58" s="198"/>
      <c r="EH58" s="198"/>
      <c r="EI58" s="198"/>
      <c r="EJ58" s="198"/>
      <c r="EK58" s="198"/>
      <c r="EL58" s="198"/>
      <c r="EM58" s="198"/>
      <c r="EN58" s="198"/>
      <c r="EO58" s="198"/>
      <c r="EP58" s="200">
        <f>10-10</f>
        <v>0</v>
      </c>
      <c r="EQ58" s="198"/>
      <c r="ER58" s="198"/>
      <c r="ES58" s="198"/>
      <c r="ET58" s="198"/>
      <c r="EU58" s="198"/>
      <c r="EV58" s="198"/>
      <c r="EW58" s="198"/>
      <c r="EX58" s="198"/>
      <c r="EY58" s="198"/>
      <c r="EZ58" s="198"/>
      <c r="FA58" s="198"/>
      <c r="FB58" s="198"/>
      <c r="FC58" s="198"/>
      <c r="FD58" s="198"/>
      <c r="FE58" s="198"/>
      <c r="FF58" s="198"/>
      <c r="FG58" s="198"/>
      <c r="FH58" s="198"/>
      <c r="FI58" s="198"/>
      <c r="FJ58" s="198"/>
      <c r="FK58" s="198"/>
      <c r="FL58" s="198"/>
      <c r="FM58" s="198"/>
      <c r="FN58" s="198"/>
      <c r="FO58" s="198"/>
      <c r="FP58" s="201">
        <v>81754</v>
      </c>
      <c r="FQ58" s="202" t="s">
        <v>756</v>
      </c>
      <c r="FR58" s="203" t="s">
        <v>389</v>
      </c>
      <c r="FS58" s="203" t="s">
        <v>431</v>
      </c>
      <c r="FT58" s="203" t="s">
        <v>432</v>
      </c>
      <c r="FU58" s="204">
        <f t="shared" si="0"/>
        <v>0</v>
      </c>
      <c r="FV58" s="205" t="s">
        <v>433</v>
      </c>
    </row>
    <row r="59" spans="1:178" s="174" customFormat="1" ht="11.4">
      <c r="A59" s="196" t="s">
        <v>393</v>
      </c>
      <c r="B59" s="196" t="s">
        <v>392</v>
      </c>
      <c r="C59" s="196" t="s">
        <v>411</v>
      </c>
      <c r="D59" s="196" t="s">
        <v>291</v>
      </c>
      <c r="E59" s="209" t="s">
        <v>430</v>
      </c>
      <c r="F59" s="196" t="s">
        <v>388</v>
      </c>
      <c r="G59" s="196"/>
      <c r="H59" s="198"/>
      <c r="I59" s="198"/>
      <c r="J59" s="198"/>
      <c r="K59" s="200">
        <f>20-20</f>
        <v>0</v>
      </c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8"/>
      <c r="Z59" s="198"/>
      <c r="AA59" s="198"/>
      <c r="AB59" s="198"/>
      <c r="AC59" s="198"/>
      <c r="AD59" s="198"/>
      <c r="AE59" s="198"/>
      <c r="AF59" s="198"/>
      <c r="AG59" s="198"/>
      <c r="AH59" s="198"/>
      <c r="AI59" s="198"/>
      <c r="AJ59" s="198"/>
      <c r="AK59" s="198"/>
      <c r="AL59" s="198"/>
      <c r="AM59" s="198"/>
      <c r="AN59" s="198"/>
      <c r="AO59" s="198"/>
      <c r="AP59" s="198"/>
      <c r="AQ59" s="198"/>
      <c r="AR59" s="200">
        <f>60-60</f>
        <v>0</v>
      </c>
      <c r="AS59" s="198"/>
      <c r="AT59" s="198"/>
      <c r="AU59" s="198"/>
      <c r="AV59" s="198"/>
      <c r="AW59" s="198"/>
      <c r="AX59" s="198"/>
      <c r="AY59" s="198"/>
      <c r="AZ59" s="198"/>
      <c r="BA59" s="198"/>
      <c r="BB59" s="198"/>
      <c r="BC59" s="198"/>
      <c r="BD59" s="198"/>
      <c r="BE59" s="198"/>
      <c r="BF59" s="198"/>
      <c r="BG59" s="198"/>
      <c r="BH59" s="198"/>
      <c r="BI59" s="198"/>
      <c r="BJ59" s="198"/>
      <c r="BK59" s="198"/>
      <c r="BL59" s="198"/>
      <c r="BM59" s="198"/>
      <c r="BN59" s="198"/>
      <c r="BO59" s="198"/>
      <c r="BP59" s="198"/>
      <c r="BQ59" s="198"/>
      <c r="BR59" s="198"/>
      <c r="BS59" s="198"/>
      <c r="BT59" s="198"/>
      <c r="BU59" s="198"/>
      <c r="BV59" s="198"/>
      <c r="BW59" s="198"/>
      <c r="BX59" s="198"/>
      <c r="BY59" s="198"/>
      <c r="BZ59" s="198"/>
      <c r="CA59" s="198"/>
      <c r="CB59" s="198"/>
      <c r="CC59" s="198"/>
      <c r="CD59" s="198"/>
      <c r="CE59" s="198"/>
      <c r="CF59" s="198"/>
      <c r="CG59" s="198"/>
      <c r="CH59" s="198"/>
      <c r="CI59" s="198"/>
      <c r="CJ59" s="198"/>
      <c r="CK59" s="198"/>
      <c r="CL59" s="198"/>
      <c r="CM59" s="198"/>
      <c r="CN59" s="198"/>
      <c r="CO59" s="198"/>
      <c r="CP59" s="198"/>
      <c r="CQ59" s="198"/>
      <c r="CR59" s="198"/>
      <c r="CS59" s="198"/>
      <c r="CT59" s="198"/>
      <c r="CU59" s="198"/>
      <c r="CV59" s="198"/>
      <c r="CW59" s="198"/>
      <c r="CX59" s="198"/>
      <c r="CY59" s="198"/>
      <c r="CZ59" s="198"/>
      <c r="DA59" s="198"/>
      <c r="DB59" s="198"/>
      <c r="DC59" s="198"/>
      <c r="DD59" s="198"/>
      <c r="DE59" s="198"/>
      <c r="DF59" s="198"/>
      <c r="DG59" s="198"/>
      <c r="DH59" s="198"/>
      <c r="DI59" s="198"/>
      <c r="DJ59" s="198"/>
      <c r="DK59" s="198"/>
      <c r="DL59" s="198"/>
      <c r="DM59" s="198"/>
      <c r="DN59" s="198"/>
      <c r="DO59" s="198"/>
      <c r="DP59" s="198"/>
      <c r="DQ59" s="198"/>
      <c r="DR59" s="198"/>
      <c r="DS59" s="198"/>
      <c r="DT59" s="198"/>
      <c r="DU59" s="198"/>
      <c r="DV59" s="198"/>
      <c r="DW59" s="198"/>
      <c r="DX59" s="198"/>
      <c r="DY59" s="198"/>
      <c r="DZ59" s="198"/>
      <c r="EA59" s="198"/>
      <c r="EB59" s="198"/>
      <c r="EC59" s="198"/>
      <c r="ED59" s="198"/>
      <c r="EE59" s="198"/>
      <c r="EF59" s="198"/>
      <c r="EG59" s="198"/>
      <c r="EH59" s="198"/>
      <c r="EI59" s="198"/>
      <c r="EJ59" s="198"/>
      <c r="EK59" s="198"/>
      <c r="EL59" s="198"/>
      <c r="EM59" s="198"/>
      <c r="EN59" s="198"/>
      <c r="EO59" s="198"/>
      <c r="EP59" s="198"/>
      <c r="EQ59" s="198"/>
      <c r="ER59" s="198"/>
      <c r="ES59" s="198"/>
      <c r="ET59" s="198"/>
      <c r="EU59" s="198"/>
      <c r="EV59" s="198"/>
      <c r="EW59" s="198"/>
      <c r="EX59" s="198"/>
      <c r="EY59" s="198"/>
      <c r="EZ59" s="198"/>
      <c r="FA59" s="198"/>
      <c r="FB59" s="198"/>
      <c r="FC59" s="198"/>
      <c r="FD59" s="198"/>
      <c r="FE59" s="198"/>
      <c r="FF59" s="198"/>
      <c r="FG59" s="198"/>
      <c r="FH59" s="198"/>
      <c r="FI59" s="198"/>
      <c r="FJ59" s="198"/>
      <c r="FK59" s="198"/>
      <c r="FL59" s="198"/>
      <c r="FM59" s="198"/>
      <c r="FN59" s="198"/>
      <c r="FO59" s="198"/>
      <c r="FP59" s="201">
        <v>81841</v>
      </c>
      <c r="FQ59" s="202" t="s">
        <v>756</v>
      </c>
      <c r="FR59" s="203" t="s">
        <v>389</v>
      </c>
      <c r="FS59" s="203" t="s">
        <v>431</v>
      </c>
      <c r="FT59" s="203" t="s">
        <v>432</v>
      </c>
      <c r="FU59" s="204">
        <f t="shared" si="0"/>
        <v>0</v>
      </c>
      <c r="FV59" s="205" t="s">
        <v>433</v>
      </c>
    </row>
    <row r="60" spans="1:178" s="174" customFormat="1" ht="11.4">
      <c r="A60" s="196" t="s">
        <v>393</v>
      </c>
      <c r="B60" s="196" t="s">
        <v>392</v>
      </c>
      <c r="C60" s="196" t="s">
        <v>411</v>
      </c>
      <c r="D60" s="196" t="s">
        <v>1</v>
      </c>
      <c r="E60" s="209" t="s">
        <v>430</v>
      </c>
      <c r="F60" s="196" t="s">
        <v>388</v>
      </c>
      <c r="G60" s="196"/>
      <c r="H60" s="198"/>
      <c r="I60" s="198"/>
      <c r="J60" s="198"/>
      <c r="K60" s="198"/>
      <c r="L60" s="198"/>
      <c r="M60" s="198"/>
      <c r="N60" s="198"/>
      <c r="O60" s="198"/>
      <c r="P60" s="198"/>
      <c r="Q60" s="198"/>
      <c r="R60" s="198"/>
      <c r="S60" s="200">
        <f>20-20</f>
        <v>0</v>
      </c>
      <c r="T60" s="198"/>
      <c r="U60" s="198"/>
      <c r="V60" s="198"/>
      <c r="W60" s="198"/>
      <c r="X60" s="198"/>
      <c r="Y60" s="198"/>
      <c r="Z60" s="198"/>
      <c r="AA60" s="198"/>
      <c r="AB60" s="198"/>
      <c r="AC60" s="198"/>
      <c r="AD60" s="198"/>
      <c r="AE60" s="198"/>
      <c r="AF60" s="198"/>
      <c r="AG60" s="198"/>
      <c r="AH60" s="198"/>
      <c r="AI60" s="198"/>
      <c r="AJ60" s="198"/>
      <c r="AK60" s="198"/>
      <c r="AL60" s="198"/>
      <c r="AM60" s="198"/>
      <c r="AN60" s="198"/>
      <c r="AO60" s="198"/>
      <c r="AP60" s="198"/>
      <c r="AQ60" s="198"/>
      <c r="AR60" s="198"/>
      <c r="AS60" s="198"/>
      <c r="AT60" s="198"/>
      <c r="AU60" s="198"/>
      <c r="AV60" s="198"/>
      <c r="AW60" s="198"/>
      <c r="AX60" s="198"/>
      <c r="AY60" s="198"/>
      <c r="AZ60" s="198"/>
      <c r="BA60" s="198"/>
      <c r="BB60" s="198"/>
      <c r="BC60" s="198"/>
      <c r="BD60" s="198"/>
      <c r="BE60" s="198"/>
      <c r="BF60" s="198"/>
      <c r="BG60" s="198"/>
      <c r="BH60" s="198"/>
      <c r="BI60" s="198"/>
      <c r="BJ60" s="198"/>
      <c r="BK60" s="198"/>
      <c r="BL60" s="198"/>
      <c r="BM60" s="198"/>
      <c r="BN60" s="198"/>
      <c r="BO60" s="198"/>
      <c r="BP60" s="198"/>
      <c r="BQ60" s="198"/>
      <c r="BR60" s="198"/>
      <c r="BS60" s="198"/>
      <c r="BT60" s="198"/>
      <c r="BU60" s="198"/>
      <c r="BV60" s="198"/>
      <c r="BW60" s="198"/>
      <c r="BX60" s="198"/>
      <c r="BY60" s="198"/>
      <c r="BZ60" s="198"/>
      <c r="CA60" s="198"/>
      <c r="CB60" s="198"/>
      <c r="CC60" s="198"/>
      <c r="CD60" s="198"/>
      <c r="CE60" s="198"/>
      <c r="CF60" s="198"/>
      <c r="CG60" s="198"/>
      <c r="CH60" s="198"/>
      <c r="CI60" s="198"/>
      <c r="CJ60" s="198"/>
      <c r="CK60" s="198"/>
      <c r="CL60" s="198"/>
      <c r="CM60" s="198"/>
      <c r="CN60" s="198"/>
      <c r="CO60" s="198"/>
      <c r="CP60" s="198"/>
      <c r="CQ60" s="198"/>
      <c r="CR60" s="198"/>
      <c r="CS60" s="198"/>
      <c r="CT60" s="198"/>
      <c r="CU60" s="198"/>
      <c r="CV60" s="198"/>
      <c r="CW60" s="198"/>
      <c r="CX60" s="198"/>
      <c r="CY60" s="198"/>
      <c r="CZ60" s="198"/>
      <c r="DA60" s="198"/>
      <c r="DB60" s="198"/>
      <c r="DC60" s="198"/>
      <c r="DD60" s="198"/>
      <c r="DE60" s="198"/>
      <c r="DF60" s="198"/>
      <c r="DG60" s="198"/>
      <c r="DH60" s="198"/>
      <c r="DI60" s="198"/>
      <c r="DJ60" s="198"/>
      <c r="DK60" s="198"/>
      <c r="DL60" s="198"/>
      <c r="DM60" s="198"/>
      <c r="DN60" s="198"/>
      <c r="DO60" s="198"/>
      <c r="DP60" s="198"/>
      <c r="DQ60" s="198"/>
      <c r="DR60" s="198"/>
      <c r="DS60" s="198"/>
      <c r="DT60" s="198"/>
      <c r="DU60" s="198"/>
      <c r="DV60" s="198"/>
      <c r="DW60" s="198"/>
      <c r="DX60" s="198"/>
      <c r="DY60" s="198"/>
      <c r="DZ60" s="198"/>
      <c r="EA60" s="200">
        <f>60-60</f>
        <v>0</v>
      </c>
      <c r="EB60" s="198"/>
      <c r="EC60" s="198"/>
      <c r="ED60" s="198"/>
      <c r="EE60" s="198"/>
      <c r="EF60" s="198"/>
      <c r="EG60" s="198"/>
      <c r="EH60" s="198"/>
      <c r="EI60" s="198"/>
      <c r="EJ60" s="198"/>
      <c r="EK60" s="198"/>
      <c r="EL60" s="198"/>
      <c r="EM60" s="200">
        <f>10-10</f>
        <v>0</v>
      </c>
      <c r="EN60" s="198"/>
      <c r="EO60" s="198"/>
      <c r="EP60" s="200">
        <f>10-10</f>
        <v>0</v>
      </c>
      <c r="EQ60" s="198"/>
      <c r="ER60" s="198"/>
      <c r="ES60" s="200">
        <f>10-10</f>
        <v>0</v>
      </c>
      <c r="ET60" s="198"/>
      <c r="EU60" s="198"/>
      <c r="EV60" s="198"/>
      <c r="EW60" s="198"/>
      <c r="EX60" s="198"/>
      <c r="EY60" s="198"/>
      <c r="EZ60" s="198"/>
      <c r="FA60" s="198"/>
      <c r="FB60" s="198"/>
      <c r="FC60" s="198"/>
      <c r="FD60" s="198"/>
      <c r="FE60" s="198"/>
      <c r="FF60" s="198"/>
      <c r="FG60" s="198"/>
      <c r="FH60" s="198"/>
      <c r="FI60" s="198"/>
      <c r="FJ60" s="198"/>
      <c r="FK60" s="198"/>
      <c r="FL60" s="198"/>
      <c r="FM60" s="198"/>
      <c r="FN60" s="198"/>
      <c r="FO60" s="198"/>
      <c r="FP60" s="201">
        <v>81841</v>
      </c>
      <c r="FQ60" s="202" t="s">
        <v>756</v>
      </c>
      <c r="FR60" s="203" t="s">
        <v>389</v>
      </c>
      <c r="FS60" s="203" t="s">
        <v>431</v>
      </c>
      <c r="FT60" s="203" t="s">
        <v>432</v>
      </c>
      <c r="FU60" s="204">
        <f t="shared" si="0"/>
        <v>0</v>
      </c>
      <c r="FV60" s="205" t="s">
        <v>433</v>
      </c>
    </row>
    <row r="61" spans="1:178" s="174" customFormat="1" ht="11.4">
      <c r="A61" s="196" t="s">
        <v>393</v>
      </c>
      <c r="B61" s="196" t="s">
        <v>392</v>
      </c>
      <c r="C61" s="196" t="s">
        <v>411</v>
      </c>
      <c r="D61" s="196" t="s">
        <v>291</v>
      </c>
      <c r="E61" s="197" t="s">
        <v>430</v>
      </c>
      <c r="F61" s="196" t="s">
        <v>388</v>
      </c>
      <c r="G61" s="196"/>
      <c r="H61" s="198"/>
      <c r="I61" s="198"/>
      <c r="J61" s="198"/>
      <c r="K61" s="200">
        <f>10-10</f>
        <v>0</v>
      </c>
      <c r="L61" s="198"/>
      <c r="M61" s="198"/>
      <c r="N61" s="198"/>
      <c r="O61" s="198"/>
      <c r="P61" s="198"/>
      <c r="Q61" s="198"/>
      <c r="R61" s="198"/>
      <c r="S61" s="198"/>
      <c r="T61" s="198"/>
      <c r="U61" s="198"/>
      <c r="V61" s="198"/>
      <c r="W61" s="198"/>
      <c r="X61" s="198"/>
      <c r="Y61" s="198"/>
      <c r="Z61" s="198"/>
      <c r="AA61" s="198"/>
      <c r="AB61" s="198"/>
      <c r="AC61" s="198"/>
      <c r="AD61" s="198"/>
      <c r="AE61" s="198"/>
      <c r="AF61" s="198"/>
      <c r="AG61" s="198"/>
      <c r="AH61" s="198"/>
      <c r="AI61" s="198"/>
      <c r="AJ61" s="198"/>
      <c r="AK61" s="198"/>
      <c r="AL61" s="198"/>
      <c r="AM61" s="198"/>
      <c r="AN61" s="198"/>
      <c r="AO61" s="198"/>
      <c r="AP61" s="198"/>
      <c r="AQ61" s="198"/>
      <c r="AR61" s="198"/>
      <c r="AS61" s="198"/>
      <c r="AT61" s="198"/>
      <c r="AU61" s="198"/>
      <c r="AV61" s="198"/>
      <c r="AW61" s="198"/>
      <c r="AX61" s="198"/>
      <c r="AY61" s="198"/>
      <c r="AZ61" s="198"/>
      <c r="BA61" s="198"/>
      <c r="BB61" s="198"/>
      <c r="BC61" s="198"/>
      <c r="BD61" s="198"/>
      <c r="BE61" s="198"/>
      <c r="BF61" s="198"/>
      <c r="BG61" s="198"/>
      <c r="BH61" s="198"/>
      <c r="BI61" s="198"/>
      <c r="BJ61" s="198"/>
      <c r="BK61" s="198"/>
      <c r="BL61" s="198"/>
      <c r="BM61" s="198"/>
      <c r="BN61" s="198"/>
      <c r="BO61" s="198"/>
      <c r="BP61" s="198"/>
      <c r="BQ61" s="198"/>
      <c r="BR61" s="198"/>
      <c r="BS61" s="198"/>
      <c r="BT61" s="198"/>
      <c r="BU61" s="198"/>
      <c r="BV61" s="198"/>
      <c r="BW61" s="198"/>
      <c r="BX61" s="198"/>
      <c r="BY61" s="198"/>
      <c r="BZ61" s="198"/>
      <c r="CA61" s="198"/>
      <c r="CB61" s="198"/>
      <c r="CC61" s="198"/>
      <c r="CD61" s="198"/>
      <c r="CE61" s="198"/>
      <c r="CF61" s="198"/>
      <c r="CG61" s="198"/>
      <c r="CH61" s="198"/>
      <c r="CI61" s="198"/>
      <c r="CJ61" s="198"/>
      <c r="CK61" s="198"/>
      <c r="CL61" s="198"/>
      <c r="CM61" s="198"/>
      <c r="CN61" s="198"/>
      <c r="CO61" s="198"/>
      <c r="CP61" s="198"/>
      <c r="CQ61" s="198"/>
      <c r="CR61" s="198"/>
      <c r="CS61" s="198"/>
      <c r="CT61" s="198"/>
      <c r="CU61" s="198"/>
      <c r="CV61" s="198"/>
      <c r="CW61" s="198"/>
      <c r="CX61" s="198"/>
      <c r="CY61" s="198"/>
      <c r="CZ61" s="198"/>
      <c r="DA61" s="198"/>
      <c r="DB61" s="198"/>
      <c r="DC61" s="198"/>
      <c r="DD61" s="198"/>
      <c r="DE61" s="198"/>
      <c r="DF61" s="198"/>
      <c r="DG61" s="198"/>
      <c r="DH61" s="198"/>
      <c r="DI61" s="198"/>
      <c r="DJ61" s="198"/>
      <c r="DK61" s="198"/>
      <c r="DL61" s="198"/>
      <c r="DM61" s="198"/>
      <c r="DN61" s="198"/>
      <c r="DO61" s="198"/>
      <c r="DP61" s="198"/>
      <c r="DQ61" s="198"/>
      <c r="DR61" s="198"/>
      <c r="DS61" s="198"/>
      <c r="DT61" s="198"/>
      <c r="DU61" s="198"/>
      <c r="DV61" s="198"/>
      <c r="DW61" s="198"/>
      <c r="DX61" s="198"/>
      <c r="DY61" s="198"/>
      <c r="DZ61" s="198"/>
      <c r="EA61" s="198"/>
      <c r="EB61" s="198"/>
      <c r="EC61" s="198"/>
      <c r="ED61" s="198"/>
      <c r="EE61" s="198"/>
      <c r="EF61" s="198"/>
      <c r="EG61" s="198"/>
      <c r="EH61" s="198"/>
      <c r="EI61" s="198"/>
      <c r="EJ61" s="198"/>
      <c r="EK61" s="198"/>
      <c r="EL61" s="198"/>
      <c r="EM61" s="198"/>
      <c r="EN61" s="198"/>
      <c r="EO61" s="198"/>
      <c r="EP61" s="198"/>
      <c r="EQ61" s="198"/>
      <c r="ER61" s="198"/>
      <c r="ES61" s="198"/>
      <c r="ET61" s="198"/>
      <c r="EU61" s="198"/>
      <c r="EV61" s="198"/>
      <c r="EW61" s="198"/>
      <c r="EX61" s="198"/>
      <c r="EY61" s="198"/>
      <c r="EZ61" s="198"/>
      <c r="FA61" s="198"/>
      <c r="FB61" s="198"/>
      <c r="FC61" s="198"/>
      <c r="FD61" s="198"/>
      <c r="FE61" s="198"/>
      <c r="FF61" s="198"/>
      <c r="FG61" s="198"/>
      <c r="FH61" s="198"/>
      <c r="FI61" s="198"/>
      <c r="FJ61" s="198"/>
      <c r="FK61" s="198"/>
      <c r="FL61" s="198"/>
      <c r="FM61" s="198"/>
      <c r="FN61" s="198"/>
      <c r="FO61" s="198"/>
      <c r="FP61" s="201">
        <v>81917</v>
      </c>
      <c r="FQ61" s="202" t="s">
        <v>756</v>
      </c>
      <c r="FR61" s="203" t="s">
        <v>389</v>
      </c>
      <c r="FS61" s="203" t="s">
        <v>431</v>
      </c>
      <c r="FT61" s="203" t="s">
        <v>432</v>
      </c>
      <c r="FU61" s="204">
        <f t="shared" si="0"/>
        <v>0</v>
      </c>
      <c r="FV61" s="205" t="s">
        <v>433</v>
      </c>
    </row>
    <row r="62" spans="1:178" s="174" customFormat="1" ht="11.4">
      <c r="A62" s="196" t="s">
        <v>393</v>
      </c>
      <c r="B62" s="196" t="s">
        <v>392</v>
      </c>
      <c r="C62" s="196" t="s">
        <v>411</v>
      </c>
      <c r="D62" s="196" t="s">
        <v>1</v>
      </c>
      <c r="E62" s="197" t="s">
        <v>430</v>
      </c>
      <c r="F62" s="196" t="s">
        <v>388</v>
      </c>
      <c r="G62" s="196"/>
      <c r="H62" s="198"/>
      <c r="I62" s="198"/>
      <c r="J62" s="198"/>
      <c r="K62" s="198"/>
      <c r="L62" s="198"/>
      <c r="M62" s="198"/>
      <c r="N62" s="198"/>
      <c r="O62" s="198"/>
      <c r="P62" s="198"/>
      <c r="Q62" s="198"/>
      <c r="R62" s="198"/>
      <c r="S62" s="198"/>
      <c r="T62" s="198"/>
      <c r="U62" s="198"/>
      <c r="V62" s="198"/>
      <c r="W62" s="198"/>
      <c r="X62" s="198"/>
      <c r="Y62" s="198"/>
      <c r="Z62" s="198"/>
      <c r="AA62" s="198"/>
      <c r="AB62" s="200">
        <f>30-30</f>
        <v>0</v>
      </c>
      <c r="AC62" s="198"/>
      <c r="AD62" s="198"/>
      <c r="AE62" s="198"/>
      <c r="AF62" s="198"/>
      <c r="AG62" s="198"/>
      <c r="AH62" s="198"/>
      <c r="AI62" s="198"/>
      <c r="AJ62" s="198"/>
      <c r="AK62" s="198"/>
      <c r="AL62" s="198"/>
      <c r="AM62" s="198"/>
      <c r="AN62" s="198"/>
      <c r="AO62" s="198"/>
      <c r="AP62" s="198"/>
      <c r="AQ62" s="198"/>
      <c r="AR62" s="198"/>
      <c r="AS62" s="198"/>
      <c r="AT62" s="198"/>
      <c r="AU62" s="198"/>
      <c r="AV62" s="198"/>
      <c r="AW62" s="198"/>
      <c r="AX62" s="198"/>
      <c r="AY62" s="198"/>
      <c r="AZ62" s="198"/>
      <c r="BA62" s="198"/>
      <c r="BB62" s="198"/>
      <c r="BC62" s="198"/>
      <c r="BD62" s="198"/>
      <c r="BE62" s="198"/>
      <c r="BF62" s="198"/>
      <c r="BG62" s="198"/>
      <c r="BH62" s="198"/>
      <c r="BI62" s="198"/>
      <c r="BJ62" s="198"/>
      <c r="BK62" s="198"/>
      <c r="BL62" s="198"/>
      <c r="BM62" s="198"/>
      <c r="BN62" s="198"/>
      <c r="BO62" s="198"/>
      <c r="BP62" s="198"/>
      <c r="BQ62" s="198"/>
      <c r="BR62" s="198"/>
      <c r="BS62" s="198"/>
      <c r="BT62" s="198"/>
      <c r="BU62" s="198"/>
      <c r="BV62" s="198"/>
      <c r="BW62" s="198"/>
      <c r="BX62" s="198"/>
      <c r="BY62" s="198"/>
      <c r="BZ62" s="198"/>
      <c r="CA62" s="198"/>
      <c r="CB62" s="198"/>
      <c r="CC62" s="198"/>
      <c r="CD62" s="198"/>
      <c r="CE62" s="198"/>
      <c r="CF62" s="198"/>
      <c r="CG62" s="198"/>
      <c r="CH62" s="198"/>
      <c r="CI62" s="198"/>
      <c r="CJ62" s="198"/>
      <c r="CK62" s="198"/>
      <c r="CL62" s="198"/>
      <c r="CM62" s="198"/>
      <c r="CN62" s="198"/>
      <c r="CO62" s="198"/>
      <c r="CP62" s="198"/>
      <c r="CQ62" s="198"/>
      <c r="CR62" s="198"/>
      <c r="CS62" s="198"/>
      <c r="CT62" s="198"/>
      <c r="CU62" s="198"/>
      <c r="CV62" s="198"/>
      <c r="CW62" s="198"/>
      <c r="CX62" s="198"/>
      <c r="CY62" s="198"/>
      <c r="CZ62" s="198"/>
      <c r="DA62" s="198"/>
      <c r="DB62" s="198"/>
      <c r="DC62" s="198"/>
      <c r="DD62" s="198"/>
      <c r="DE62" s="198"/>
      <c r="DF62" s="198"/>
      <c r="DG62" s="198"/>
      <c r="DH62" s="198"/>
      <c r="DI62" s="198"/>
      <c r="DJ62" s="198"/>
      <c r="DK62" s="198"/>
      <c r="DL62" s="198"/>
      <c r="DM62" s="198"/>
      <c r="DN62" s="198"/>
      <c r="DO62" s="198"/>
      <c r="DP62" s="198"/>
      <c r="DQ62" s="198"/>
      <c r="DR62" s="198"/>
      <c r="DS62" s="198"/>
      <c r="DT62" s="198"/>
      <c r="DU62" s="198"/>
      <c r="DV62" s="198"/>
      <c r="DW62" s="198"/>
      <c r="DX62" s="198"/>
      <c r="DY62" s="198"/>
      <c r="DZ62" s="198"/>
      <c r="EA62" s="198"/>
      <c r="EB62" s="198"/>
      <c r="EC62" s="198"/>
      <c r="ED62" s="198"/>
      <c r="EE62" s="198"/>
      <c r="EF62" s="198"/>
      <c r="EG62" s="198"/>
      <c r="EH62" s="198"/>
      <c r="EI62" s="198"/>
      <c r="EJ62" s="198"/>
      <c r="EK62" s="198"/>
      <c r="EL62" s="198"/>
      <c r="EM62" s="198"/>
      <c r="EN62" s="198"/>
      <c r="EO62" s="198"/>
      <c r="EP62" s="198"/>
      <c r="EQ62" s="198"/>
      <c r="ER62" s="198"/>
      <c r="ES62" s="198"/>
      <c r="ET62" s="198"/>
      <c r="EU62" s="198"/>
      <c r="EV62" s="198"/>
      <c r="EW62" s="198"/>
      <c r="EX62" s="198"/>
      <c r="EY62" s="198"/>
      <c r="EZ62" s="198"/>
      <c r="FA62" s="198"/>
      <c r="FB62" s="198"/>
      <c r="FC62" s="198"/>
      <c r="FD62" s="198"/>
      <c r="FE62" s="198"/>
      <c r="FF62" s="198"/>
      <c r="FG62" s="198"/>
      <c r="FH62" s="198"/>
      <c r="FI62" s="198"/>
      <c r="FJ62" s="198"/>
      <c r="FK62" s="198"/>
      <c r="FL62" s="198"/>
      <c r="FM62" s="198"/>
      <c r="FN62" s="198"/>
      <c r="FO62" s="198"/>
      <c r="FP62" s="201">
        <v>81917</v>
      </c>
      <c r="FQ62" s="202" t="s">
        <v>756</v>
      </c>
      <c r="FR62" s="203" t="s">
        <v>389</v>
      </c>
      <c r="FS62" s="203" t="s">
        <v>431</v>
      </c>
      <c r="FT62" s="203" t="s">
        <v>432</v>
      </c>
      <c r="FU62" s="204">
        <f t="shared" si="0"/>
        <v>0</v>
      </c>
      <c r="FV62" s="205" t="s">
        <v>433</v>
      </c>
    </row>
    <row r="63" spans="1:178" s="174" customFormat="1" ht="11.4">
      <c r="A63" s="196" t="s">
        <v>393</v>
      </c>
      <c r="B63" s="196" t="s">
        <v>392</v>
      </c>
      <c r="C63" s="196" t="s">
        <v>411</v>
      </c>
      <c r="D63" s="196" t="s">
        <v>293</v>
      </c>
      <c r="E63" s="197" t="s">
        <v>430</v>
      </c>
      <c r="F63" s="196" t="s">
        <v>388</v>
      </c>
      <c r="G63" s="196"/>
      <c r="H63" s="198"/>
      <c r="I63" s="198"/>
      <c r="J63" s="200">
        <f>20-20</f>
        <v>0</v>
      </c>
      <c r="K63" s="198"/>
      <c r="L63" s="198"/>
      <c r="M63" s="198"/>
      <c r="N63" s="198"/>
      <c r="O63" s="198"/>
      <c r="P63" s="198"/>
      <c r="Q63" s="198"/>
      <c r="R63" s="198"/>
      <c r="S63" s="198"/>
      <c r="T63" s="198"/>
      <c r="U63" s="198"/>
      <c r="V63" s="198"/>
      <c r="W63" s="198"/>
      <c r="X63" s="198"/>
      <c r="Y63" s="198"/>
      <c r="Z63" s="198"/>
      <c r="AA63" s="198"/>
      <c r="AB63" s="198"/>
      <c r="AC63" s="198"/>
      <c r="AD63" s="198"/>
      <c r="AE63" s="198"/>
      <c r="AF63" s="198"/>
      <c r="AG63" s="198"/>
      <c r="AH63" s="198"/>
      <c r="AI63" s="198"/>
      <c r="AJ63" s="198"/>
      <c r="AK63" s="198"/>
      <c r="AL63" s="198"/>
      <c r="AM63" s="198"/>
      <c r="AN63" s="198"/>
      <c r="AO63" s="198"/>
      <c r="AP63" s="198"/>
      <c r="AQ63" s="198"/>
      <c r="AR63" s="198"/>
      <c r="AS63" s="198"/>
      <c r="AT63" s="198"/>
      <c r="AU63" s="198"/>
      <c r="AV63" s="198"/>
      <c r="AW63" s="198"/>
      <c r="AX63" s="198"/>
      <c r="AY63" s="198"/>
      <c r="AZ63" s="198"/>
      <c r="BA63" s="198"/>
      <c r="BB63" s="198"/>
      <c r="BC63" s="198"/>
      <c r="BD63" s="198"/>
      <c r="BE63" s="198"/>
      <c r="BF63" s="198"/>
      <c r="BG63" s="198"/>
      <c r="BH63" s="198"/>
      <c r="BI63" s="198"/>
      <c r="BJ63" s="198"/>
      <c r="BK63" s="198"/>
      <c r="BL63" s="198"/>
      <c r="BM63" s="198"/>
      <c r="BN63" s="198"/>
      <c r="BO63" s="198"/>
      <c r="BP63" s="198"/>
      <c r="BQ63" s="198"/>
      <c r="BR63" s="198"/>
      <c r="BS63" s="198"/>
      <c r="BT63" s="198"/>
      <c r="BU63" s="198"/>
      <c r="BV63" s="198"/>
      <c r="BW63" s="198"/>
      <c r="BX63" s="198"/>
      <c r="BY63" s="198"/>
      <c r="BZ63" s="198"/>
      <c r="CA63" s="198"/>
      <c r="CB63" s="198"/>
      <c r="CC63" s="198"/>
      <c r="CD63" s="198"/>
      <c r="CE63" s="198"/>
      <c r="CF63" s="198"/>
      <c r="CG63" s="198"/>
      <c r="CH63" s="198"/>
      <c r="CI63" s="198"/>
      <c r="CJ63" s="198"/>
      <c r="CK63" s="198"/>
      <c r="CL63" s="198"/>
      <c r="CM63" s="198"/>
      <c r="CN63" s="198"/>
      <c r="CO63" s="198"/>
      <c r="CP63" s="198"/>
      <c r="CQ63" s="198"/>
      <c r="CR63" s="198"/>
      <c r="CS63" s="198"/>
      <c r="CT63" s="198"/>
      <c r="CU63" s="198"/>
      <c r="CV63" s="198"/>
      <c r="CW63" s="198"/>
      <c r="CX63" s="198"/>
      <c r="CY63" s="198"/>
      <c r="CZ63" s="198"/>
      <c r="DA63" s="198"/>
      <c r="DB63" s="198"/>
      <c r="DC63" s="198"/>
      <c r="DD63" s="198"/>
      <c r="DE63" s="198"/>
      <c r="DF63" s="198"/>
      <c r="DG63" s="198"/>
      <c r="DH63" s="198"/>
      <c r="DI63" s="198"/>
      <c r="DJ63" s="198"/>
      <c r="DK63" s="198"/>
      <c r="DL63" s="198"/>
      <c r="DM63" s="198"/>
      <c r="DN63" s="198"/>
      <c r="DO63" s="198"/>
      <c r="DP63" s="198"/>
      <c r="DQ63" s="198"/>
      <c r="DR63" s="198"/>
      <c r="DS63" s="198"/>
      <c r="DT63" s="198"/>
      <c r="DU63" s="198"/>
      <c r="DV63" s="198"/>
      <c r="DW63" s="198"/>
      <c r="DX63" s="198"/>
      <c r="DY63" s="198"/>
      <c r="DZ63" s="198"/>
      <c r="EA63" s="198"/>
      <c r="EB63" s="198"/>
      <c r="EC63" s="198"/>
      <c r="ED63" s="198"/>
      <c r="EE63" s="198"/>
      <c r="EF63" s="198"/>
      <c r="EG63" s="198"/>
      <c r="EH63" s="198"/>
      <c r="EI63" s="198"/>
      <c r="EJ63" s="198"/>
      <c r="EK63" s="198"/>
      <c r="EL63" s="198"/>
      <c r="EM63" s="198"/>
      <c r="EN63" s="198"/>
      <c r="EO63" s="198"/>
      <c r="EP63" s="198"/>
      <c r="EQ63" s="198"/>
      <c r="ER63" s="198"/>
      <c r="ES63" s="198"/>
      <c r="ET63" s="198"/>
      <c r="EU63" s="198"/>
      <c r="EV63" s="198"/>
      <c r="EW63" s="198"/>
      <c r="EX63" s="198"/>
      <c r="EY63" s="198"/>
      <c r="EZ63" s="198"/>
      <c r="FA63" s="198"/>
      <c r="FB63" s="198"/>
      <c r="FC63" s="198"/>
      <c r="FD63" s="198"/>
      <c r="FE63" s="198"/>
      <c r="FF63" s="198"/>
      <c r="FG63" s="198"/>
      <c r="FH63" s="198"/>
      <c r="FI63" s="198"/>
      <c r="FJ63" s="198"/>
      <c r="FK63" s="198"/>
      <c r="FL63" s="198"/>
      <c r="FM63" s="198"/>
      <c r="FN63" s="198"/>
      <c r="FO63" s="198"/>
      <c r="FP63" s="201">
        <v>81917</v>
      </c>
      <c r="FQ63" s="202" t="s">
        <v>756</v>
      </c>
      <c r="FR63" s="203" t="s">
        <v>389</v>
      </c>
      <c r="FS63" s="203" t="s">
        <v>431</v>
      </c>
      <c r="FT63" s="203" t="s">
        <v>432</v>
      </c>
      <c r="FU63" s="204">
        <f t="shared" si="0"/>
        <v>0</v>
      </c>
      <c r="FV63" s="205" t="s">
        <v>433</v>
      </c>
    </row>
    <row r="64" spans="1:178" s="174" customFormat="1" ht="11.4">
      <c r="A64" s="196" t="s">
        <v>393</v>
      </c>
      <c r="B64" s="196" t="s">
        <v>392</v>
      </c>
      <c r="C64" s="196" t="s">
        <v>411</v>
      </c>
      <c r="D64" s="196" t="s">
        <v>291</v>
      </c>
      <c r="E64" s="209" t="s">
        <v>430</v>
      </c>
      <c r="F64" s="196" t="s">
        <v>388</v>
      </c>
      <c r="G64" s="196"/>
      <c r="H64" s="198"/>
      <c r="I64" s="198"/>
      <c r="J64" s="198"/>
      <c r="K64" s="200">
        <f>20-20</f>
        <v>0</v>
      </c>
      <c r="L64" s="198"/>
      <c r="M64" s="198"/>
      <c r="N64" s="198"/>
      <c r="O64" s="198"/>
      <c r="P64" s="198"/>
      <c r="Q64" s="198"/>
      <c r="R64" s="198"/>
      <c r="S64" s="198"/>
      <c r="T64" s="198"/>
      <c r="U64" s="198"/>
      <c r="V64" s="198"/>
      <c r="W64" s="198"/>
      <c r="X64" s="198"/>
      <c r="Y64" s="198"/>
      <c r="Z64" s="198"/>
      <c r="AA64" s="198"/>
      <c r="AB64" s="198"/>
      <c r="AC64" s="198"/>
      <c r="AD64" s="198"/>
      <c r="AE64" s="198"/>
      <c r="AF64" s="198"/>
      <c r="AG64" s="198"/>
      <c r="AH64" s="198"/>
      <c r="AI64" s="198"/>
      <c r="AJ64" s="198"/>
      <c r="AK64" s="198"/>
      <c r="AL64" s="198"/>
      <c r="AM64" s="198"/>
      <c r="AN64" s="198"/>
      <c r="AO64" s="198"/>
      <c r="AP64" s="198"/>
      <c r="AQ64" s="198"/>
      <c r="AR64" s="200">
        <f>10-10</f>
        <v>0</v>
      </c>
      <c r="AS64" s="198"/>
      <c r="AT64" s="198"/>
      <c r="AU64" s="198"/>
      <c r="AV64" s="198"/>
      <c r="AW64" s="198"/>
      <c r="AX64" s="198"/>
      <c r="AY64" s="198"/>
      <c r="AZ64" s="198"/>
      <c r="BA64" s="198"/>
      <c r="BB64" s="198"/>
      <c r="BC64" s="198"/>
      <c r="BD64" s="198"/>
      <c r="BE64" s="198"/>
      <c r="BF64" s="198"/>
      <c r="BG64" s="198"/>
      <c r="BH64" s="198"/>
      <c r="BI64" s="198"/>
      <c r="BJ64" s="198"/>
      <c r="BK64" s="198"/>
      <c r="BL64" s="198"/>
      <c r="BM64" s="198"/>
      <c r="BN64" s="198"/>
      <c r="BO64" s="198"/>
      <c r="BP64" s="198"/>
      <c r="BQ64" s="198"/>
      <c r="BR64" s="198"/>
      <c r="BS64" s="198"/>
      <c r="BT64" s="198"/>
      <c r="BU64" s="198"/>
      <c r="BV64" s="198"/>
      <c r="BW64" s="198"/>
      <c r="BX64" s="198"/>
      <c r="BY64" s="198"/>
      <c r="BZ64" s="198"/>
      <c r="CA64" s="198"/>
      <c r="CB64" s="198"/>
      <c r="CC64" s="198"/>
      <c r="CD64" s="198"/>
      <c r="CE64" s="198"/>
      <c r="CF64" s="198"/>
      <c r="CG64" s="198"/>
      <c r="CH64" s="198"/>
      <c r="CI64" s="198"/>
      <c r="CJ64" s="198"/>
      <c r="CK64" s="198"/>
      <c r="CL64" s="198"/>
      <c r="CM64" s="198"/>
      <c r="CN64" s="198"/>
      <c r="CO64" s="198"/>
      <c r="CP64" s="198"/>
      <c r="CQ64" s="198"/>
      <c r="CR64" s="198"/>
      <c r="CS64" s="198"/>
      <c r="CT64" s="198"/>
      <c r="CU64" s="198"/>
      <c r="CV64" s="198"/>
      <c r="CW64" s="198"/>
      <c r="CX64" s="198"/>
      <c r="CY64" s="198"/>
      <c r="CZ64" s="198"/>
      <c r="DA64" s="198"/>
      <c r="DB64" s="198"/>
      <c r="DC64" s="198"/>
      <c r="DD64" s="198"/>
      <c r="DE64" s="198"/>
      <c r="DF64" s="198"/>
      <c r="DG64" s="198"/>
      <c r="DH64" s="198"/>
      <c r="DI64" s="198"/>
      <c r="DJ64" s="198"/>
      <c r="DK64" s="198"/>
      <c r="DL64" s="198"/>
      <c r="DM64" s="198"/>
      <c r="DN64" s="198"/>
      <c r="DO64" s="198"/>
      <c r="DP64" s="198"/>
      <c r="DQ64" s="198"/>
      <c r="DR64" s="198"/>
      <c r="DS64" s="198"/>
      <c r="DT64" s="198"/>
      <c r="DU64" s="198"/>
      <c r="DV64" s="198"/>
      <c r="DW64" s="198"/>
      <c r="DX64" s="198"/>
      <c r="DY64" s="198"/>
      <c r="DZ64" s="198"/>
      <c r="EA64" s="198"/>
      <c r="EB64" s="198"/>
      <c r="EC64" s="198"/>
      <c r="ED64" s="198"/>
      <c r="EE64" s="198"/>
      <c r="EF64" s="198"/>
      <c r="EG64" s="198"/>
      <c r="EH64" s="198"/>
      <c r="EI64" s="198"/>
      <c r="EJ64" s="198"/>
      <c r="EK64" s="198"/>
      <c r="EL64" s="198"/>
      <c r="EM64" s="198"/>
      <c r="EN64" s="198"/>
      <c r="EO64" s="198"/>
      <c r="EP64" s="198"/>
      <c r="EQ64" s="198"/>
      <c r="ER64" s="198"/>
      <c r="ES64" s="198"/>
      <c r="ET64" s="198"/>
      <c r="EU64" s="198"/>
      <c r="EV64" s="198"/>
      <c r="EW64" s="198"/>
      <c r="EX64" s="198"/>
      <c r="EY64" s="198"/>
      <c r="EZ64" s="198"/>
      <c r="FA64" s="198"/>
      <c r="FB64" s="198"/>
      <c r="FC64" s="198"/>
      <c r="FD64" s="198"/>
      <c r="FE64" s="198"/>
      <c r="FF64" s="198"/>
      <c r="FG64" s="198"/>
      <c r="FH64" s="198"/>
      <c r="FI64" s="198"/>
      <c r="FJ64" s="198"/>
      <c r="FK64" s="198"/>
      <c r="FL64" s="198"/>
      <c r="FM64" s="198"/>
      <c r="FN64" s="198"/>
      <c r="FO64" s="198"/>
      <c r="FP64" s="201">
        <v>82001</v>
      </c>
      <c r="FQ64" s="202" t="s">
        <v>756</v>
      </c>
      <c r="FR64" s="203" t="s">
        <v>389</v>
      </c>
      <c r="FS64" s="203" t="s">
        <v>431</v>
      </c>
      <c r="FT64" s="203" t="s">
        <v>432</v>
      </c>
      <c r="FU64" s="204">
        <f t="shared" si="0"/>
        <v>0</v>
      </c>
      <c r="FV64" s="205" t="s">
        <v>433</v>
      </c>
    </row>
    <row r="65" spans="1:178" s="174" customFormat="1" ht="11.4">
      <c r="A65" s="196" t="s">
        <v>393</v>
      </c>
      <c r="B65" s="196" t="s">
        <v>392</v>
      </c>
      <c r="C65" s="196" t="s">
        <v>411</v>
      </c>
      <c r="D65" s="196" t="s">
        <v>1</v>
      </c>
      <c r="E65" s="209" t="s">
        <v>430</v>
      </c>
      <c r="F65" s="196" t="s">
        <v>388</v>
      </c>
      <c r="G65" s="196"/>
      <c r="H65" s="198"/>
      <c r="I65" s="198"/>
      <c r="J65" s="198"/>
      <c r="K65" s="198"/>
      <c r="L65" s="198"/>
      <c r="M65" s="198"/>
      <c r="N65" s="198"/>
      <c r="O65" s="198"/>
      <c r="P65" s="198"/>
      <c r="Q65" s="198"/>
      <c r="R65" s="198"/>
      <c r="S65" s="198"/>
      <c r="T65" s="198"/>
      <c r="U65" s="198"/>
      <c r="V65" s="198"/>
      <c r="W65" s="198"/>
      <c r="X65" s="198"/>
      <c r="Y65" s="198"/>
      <c r="Z65" s="198"/>
      <c r="AA65" s="198"/>
      <c r="AB65" s="198"/>
      <c r="AC65" s="198"/>
      <c r="AD65" s="198"/>
      <c r="AE65" s="198"/>
      <c r="AF65" s="198"/>
      <c r="AG65" s="198"/>
      <c r="AH65" s="198"/>
      <c r="AI65" s="198"/>
      <c r="AJ65" s="198"/>
      <c r="AK65" s="198"/>
      <c r="AL65" s="198"/>
      <c r="AM65" s="198"/>
      <c r="AN65" s="198"/>
      <c r="AO65" s="198"/>
      <c r="AP65" s="198"/>
      <c r="AQ65" s="198"/>
      <c r="AR65" s="198"/>
      <c r="AS65" s="198"/>
      <c r="AT65" s="198"/>
      <c r="AU65" s="199">
        <f>80-80+10</f>
        <v>10</v>
      </c>
      <c r="AV65" s="198"/>
      <c r="AW65" s="198"/>
      <c r="AX65" s="198"/>
      <c r="AY65" s="198"/>
      <c r="AZ65" s="198"/>
      <c r="BA65" s="198"/>
      <c r="BB65" s="198"/>
      <c r="BC65" s="198"/>
      <c r="BD65" s="198"/>
      <c r="BE65" s="198"/>
      <c r="BF65" s="198"/>
      <c r="BG65" s="198"/>
      <c r="BH65" s="198"/>
      <c r="BI65" s="198"/>
      <c r="BJ65" s="198"/>
      <c r="BK65" s="198"/>
      <c r="BL65" s="198"/>
      <c r="BM65" s="198"/>
      <c r="BN65" s="198"/>
      <c r="BO65" s="198"/>
      <c r="BP65" s="198"/>
      <c r="BQ65" s="198"/>
      <c r="BR65" s="198"/>
      <c r="BS65" s="198"/>
      <c r="BT65" s="198"/>
      <c r="BU65" s="198"/>
      <c r="BV65" s="198"/>
      <c r="BW65" s="198"/>
      <c r="BX65" s="198"/>
      <c r="BY65" s="198"/>
      <c r="BZ65" s="198"/>
      <c r="CA65" s="198"/>
      <c r="CB65" s="198"/>
      <c r="CC65" s="198"/>
      <c r="CD65" s="198"/>
      <c r="CE65" s="198"/>
      <c r="CF65" s="198"/>
      <c r="CG65" s="198"/>
      <c r="CH65" s="198"/>
      <c r="CI65" s="198"/>
      <c r="CJ65" s="198"/>
      <c r="CK65" s="198"/>
      <c r="CL65" s="198"/>
      <c r="CM65" s="198"/>
      <c r="CN65" s="198"/>
      <c r="CO65" s="198"/>
      <c r="CP65" s="198"/>
      <c r="CQ65" s="198"/>
      <c r="CR65" s="198"/>
      <c r="CS65" s="198"/>
      <c r="CT65" s="198"/>
      <c r="CU65" s="198"/>
      <c r="CV65" s="198"/>
      <c r="CW65" s="198"/>
      <c r="CX65" s="198"/>
      <c r="CY65" s="198"/>
      <c r="CZ65" s="198"/>
      <c r="DA65" s="198"/>
      <c r="DB65" s="198"/>
      <c r="DC65" s="198"/>
      <c r="DD65" s="198"/>
      <c r="DE65" s="198"/>
      <c r="DF65" s="198"/>
      <c r="DG65" s="198"/>
      <c r="DH65" s="198"/>
      <c r="DI65" s="198"/>
      <c r="DJ65" s="198"/>
      <c r="DK65" s="198"/>
      <c r="DL65" s="198"/>
      <c r="DM65" s="198"/>
      <c r="DN65" s="198"/>
      <c r="DO65" s="198"/>
      <c r="DP65" s="198"/>
      <c r="DQ65" s="198"/>
      <c r="DR65" s="198"/>
      <c r="DS65" s="198"/>
      <c r="DT65" s="198"/>
      <c r="DU65" s="198"/>
      <c r="DV65" s="198"/>
      <c r="DW65" s="198"/>
      <c r="DX65" s="198"/>
      <c r="DY65" s="198"/>
      <c r="DZ65" s="198"/>
      <c r="EA65" s="200">
        <f>90-90</f>
        <v>0</v>
      </c>
      <c r="EB65" s="198"/>
      <c r="EC65" s="198"/>
      <c r="ED65" s="198"/>
      <c r="EE65" s="198"/>
      <c r="EF65" s="198"/>
      <c r="EG65" s="198"/>
      <c r="EH65" s="198"/>
      <c r="EI65" s="198"/>
      <c r="EJ65" s="198"/>
      <c r="EK65" s="198"/>
      <c r="EL65" s="198"/>
      <c r="EM65" s="200">
        <f>10-10</f>
        <v>0</v>
      </c>
      <c r="EN65" s="198"/>
      <c r="EO65" s="198"/>
      <c r="EP65" s="200">
        <f>20-20</f>
        <v>0</v>
      </c>
      <c r="EQ65" s="198"/>
      <c r="ER65" s="198"/>
      <c r="ES65" s="200">
        <f>20-20</f>
        <v>0</v>
      </c>
      <c r="ET65" s="198"/>
      <c r="EU65" s="198"/>
      <c r="EV65" s="198"/>
      <c r="EW65" s="198"/>
      <c r="EX65" s="198"/>
      <c r="EY65" s="198"/>
      <c r="EZ65" s="198"/>
      <c r="FA65" s="198"/>
      <c r="FB65" s="198"/>
      <c r="FC65" s="198"/>
      <c r="FD65" s="198"/>
      <c r="FE65" s="198"/>
      <c r="FF65" s="198"/>
      <c r="FG65" s="198"/>
      <c r="FH65" s="198"/>
      <c r="FI65" s="198"/>
      <c r="FJ65" s="198"/>
      <c r="FK65" s="198"/>
      <c r="FL65" s="198"/>
      <c r="FM65" s="198"/>
      <c r="FN65" s="198"/>
      <c r="FO65" s="198"/>
      <c r="FP65" s="201">
        <v>82001</v>
      </c>
      <c r="FQ65" s="202" t="s">
        <v>756</v>
      </c>
      <c r="FR65" s="203" t="s">
        <v>389</v>
      </c>
      <c r="FS65" s="203" t="s">
        <v>431</v>
      </c>
      <c r="FT65" s="203" t="s">
        <v>432</v>
      </c>
      <c r="FU65" s="204">
        <f t="shared" si="0"/>
        <v>10</v>
      </c>
      <c r="FV65" s="205" t="s">
        <v>433</v>
      </c>
    </row>
    <row r="66" spans="1:178" s="174" customFormat="1" ht="11.4">
      <c r="A66" s="196" t="s">
        <v>393</v>
      </c>
      <c r="B66" s="196" t="s">
        <v>392</v>
      </c>
      <c r="C66" s="196" t="s">
        <v>411</v>
      </c>
      <c r="D66" s="196" t="s">
        <v>291</v>
      </c>
      <c r="E66" s="197" t="s">
        <v>430</v>
      </c>
      <c r="F66" s="196" t="s">
        <v>388</v>
      </c>
      <c r="G66" s="196"/>
      <c r="H66" s="198"/>
      <c r="I66" s="198"/>
      <c r="J66" s="198"/>
      <c r="K66" s="198"/>
      <c r="L66" s="198"/>
      <c r="M66" s="198"/>
      <c r="N66" s="200">
        <f>20-20</f>
        <v>0</v>
      </c>
      <c r="O66" s="198"/>
      <c r="P66" s="198"/>
      <c r="Q66" s="198"/>
      <c r="R66" s="198"/>
      <c r="S66" s="198"/>
      <c r="T66" s="198"/>
      <c r="U66" s="198"/>
      <c r="V66" s="198"/>
      <c r="W66" s="198"/>
      <c r="X66" s="198"/>
      <c r="Y66" s="198"/>
      <c r="Z66" s="198"/>
      <c r="AA66" s="198"/>
      <c r="AB66" s="198"/>
      <c r="AC66" s="198"/>
      <c r="AD66" s="198"/>
      <c r="AE66" s="198"/>
      <c r="AF66" s="198"/>
      <c r="AG66" s="198"/>
      <c r="AH66" s="198"/>
      <c r="AI66" s="198"/>
      <c r="AJ66" s="198"/>
      <c r="AK66" s="198"/>
      <c r="AL66" s="198"/>
      <c r="AM66" s="198"/>
      <c r="AN66" s="198"/>
      <c r="AO66" s="198"/>
      <c r="AP66" s="198"/>
      <c r="AQ66" s="198"/>
      <c r="AR66" s="198"/>
      <c r="AS66" s="198"/>
      <c r="AT66" s="198"/>
      <c r="AU66" s="198"/>
      <c r="AV66" s="198"/>
      <c r="AW66" s="198"/>
      <c r="AX66" s="198"/>
      <c r="AY66" s="198"/>
      <c r="AZ66" s="198"/>
      <c r="BA66" s="198"/>
      <c r="BB66" s="198"/>
      <c r="BC66" s="198"/>
      <c r="BD66" s="198"/>
      <c r="BE66" s="198"/>
      <c r="BF66" s="198"/>
      <c r="BG66" s="200">
        <f>70-70</f>
        <v>0</v>
      </c>
      <c r="BH66" s="198"/>
      <c r="BI66" s="198"/>
      <c r="BJ66" s="198"/>
      <c r="BK66" s="198"/>
      <c r="BL66" s="198"/>
      <c r="BM66" s="198"/>
      <c r="BN66" s="198"/>
      <c r="BO66" s="198"/>
      <c r="BP66" s="198"/>
      <c r="BQ66" s="198"/>
      <c r="BR66" s="198"/>
      <c r="BS66" s="198"/>
      <c r="BT66" s="198"/>
      <c r="BU66" s="198"/>
      <c r="BV66" s="198"/>
      <c r="BW66" s="198"/>
      <c r="BX66" s="198"/>
      <c r="BY66" s="198"/>
      <c r="BZ66" s="198"/>
      <c r="CA66" s="198"/>
      <c r="CB66" s="198"/>
      <c r="CC66" s="198"/>
      <c r="CD66" s="198"/>
      <c r="CE66" s="198"/>
      <c r="CF66" s="198"/>
      <c r="CG66" s="198"/>
      <c r="CH66" s="198"/>
      <c r="CI66" s="198"/>
      <c r="CJ66" s="198"/>
      <c r="CK66" s="198"/>
      <c r="CL66" s="198"/>
      <c r="CM66" s="198"/>
      <c r="CN66" s="198"/>
      <c r="CO66" s="198"/>
      <c r="CP66" s="198"/>
      <c r="CQ66" s="198"/>
      <c r="CR66" s="198"/>
      <c r="CS66" s="198"/>
      <c r="CT66" s="198"/>
      <c r="CU66" s="198"/>
      <c r="CV66" s="198"/>
      <c r="CW66" s="198"/>
      <c r="CX66" s="198"/>
      <c r="CY66" s="198"/>
      <c r="CZ66" s="198"/>
      <c r="DA66" s="198"/>
      <c r="DB66" s="198"/>
      <c r="DC66" s="198"/>
      <c r="DD66" s="198"/>
      <c r="DE66" s="198"/>
      <c r="DF66" s="198"/>
      <c r="DG66" s="198"/>
      <c r="DH66" s="198"/>
      <c r="DI66" s="198"/>
      <c r="DJ66" s="198"/>
      <c r="DK66" s="198"/>
      <c r="DL66" s="198"/>
      <c r="DM66" s="198"/>
      <c r="DN66" s="198"/>
      <c r="DO66" s="198"/>
      <c r="DP66" s="198"/>
      <c r="DQ66" s="198"/>
      <c r="DR66" s="198"/>
      <c r="DS66" s="198"/>
      <c r="DT66" s="198"/>
      <c r="DU66" s="198"/>
      <c r="DV66" s="198"/>
      <c r="DW66" s="198"/>
      <c r="DX66" s="198"/>
      <c r="DY66" s="198"/>
      <c r="DZ66" s="198"/>
      <c r="EA66" s="198"/>
      <c r="EB66" s="198"/>
      <c r="EC66" s="198"/>
      <c r="ED66" s="198"/>
      <c r="EE66" s="198"/>
      <c r="EF66" s="198"/>
      <c r="EG66" s="198"/>
      <c r="EH66" s="198"/>
      <c r="EI66" s="198"/>
      <c r="EJ66" s="198"/>
      <c r="EK66" s="198"/>
      <c r="EL66" s="198"/>
      <c r="EM66" s="198"/>
      <c r="EN66" s="198"/>
      <c r="EO66" s="198"/>
      <c r="EP66" s="198"/>
      <c r="EQ66" s="198"/>
      <c r="ER66" s="198"/>
      <c r="ES66" s="198"/>
      <c r="ET66" s="198"/>
      <c r="EU66" s="198"/>
      <c r="EV66" s="198"/>
      <c r="EW66" s="198"/>
      <c r="EX66" s="198"/>
      <c r="EY66" s="198"/>
      <c r="EZ66" s="198"/>
      <c r="FA66" s="198"/>
      <c r="FB66" s="198"/>
      <c r="FC66" s="198"/>
      <c r="FD66" s="198"/>
      <c r="FE66" s="198"/>
      <c r="FF66" s="198"/>
      <c r="FG66" s="198"/>
      <c r="FH66" s="198"/>
      <c r="FI66" s="198"/>
      <c r="FJ66" s="198"/>
      <c r="FK66" s="198"/>
      <c r="FL66" s="198"/>
      <c r="FM66" s="198"/>
      <c r="FN66" s="198"/>
      <c r="FO66" s="198"/>
      <c r="FP66" s="201">
        <v>82067</v>
      </c>
      <c r="FQ66" s="202" t="s">
        <v>756</v>
      </c>
      <c r="FR66" s="203" t="s">
        <v>389</v>
      </c>
      <c r="FS66" s="203" t="s">
        <v>431</v>
      </c>
      <c r="FT66" s="203" t="s">
        <v>432</v>
      </c>
      <c r="FU66" s="204">
        <f t="shared" si="0"/>
        <v>0</v>
      </c>
      <c r="FV66" s="205" t="s">
        <v>433</v>
      </c>
    </row>
    <row r="67" spans="1:178" s="174" customFormat="1" ht="11.4">
      <c r="A67" s="196" t="s">
        <v>393</v>
      </c>
      <c r="B67" s="196" t="s">
        <v>392</v>
      </c>
      <c r="C67" s="196" t="s">
        <v>411</v>
      </c>
      <c r="D67" s="196" t="s">
        <v>1</v>
      </c>
      <c r="E67" s="197" t="s">
        <v>430</v>
      </c>
      <c r="F67" s="196" t="s">
        <v>388</v>
      </c>
      <c r="G67" s="196"/>
      <c r="H67" s="198"/>
      <c r="I67" s="198"/>
      <c r="J67" s="198"/>
      <c r="K67" s="198"/>
      <c r="L67" s="198"/>
      <c r="M67" s="198"/>
      <c r="N67" s="206">
        <f>0+20</f>
        <v>20</v>
      </c>
      <c r="O67" s="198"/>
      <c r="P67" s="198"/>
      <c r="Q67" s="198"/>
      <c r="R67" s="198"/>
      <c r="S67" s="200">
        <f>40-40</f>
        <v>0</v>
      </c>
      <c r="T67" s="198"/>
      <c r="U67" s="200">
        <f>20-20</f>
        <v>0</v>
      </c>
      <c r="V67" s="198"/>
      <c r="W67" s="198"/>
      <c r="X67" s="198"/>
      <c r="Y67" s="198"/>
      <c r="Z67" s="198"/>
      <c r="AA67" s="198"/>
      <c r="AB67" s="198"/>
      <c r="AC67" s="200">
        <f>40-40</f>
        <v>0</v>
      </c>
      <c r="AD67" s="198"/>
      <c r="AE67" s="200">
        <f>20-20</f>
        <v>0</v>
      </c>
      <c r="AF67" s="198"/>
      <c r="AG67" s="198"/>
      <c r="AH67" s="200">
        <f>10-10</f>
        <v>0</v>
      </c>
      <c r="AI67" s="198"/>
      <c r="AJ67" s="198"/>
      <c r="AK67" s="198"/>
      <c r="AL67" s="198"/>
      <c r="AM67" s="198"/>
      <c r="AN67" s="198"/>
      <c r="AO67" s="198"/>
      <c r="AP67" s="198"/>
      <c r="AQ67" s="198"/>
      <c r="AR67" s="198"/>
      <c r="AS67" s="198"/>
      <c r="AT67" s="198"/>
      <c r="AU67" s="200">
        <f>280-280</f>
        <v>0</v>
      </c>
      <c r="AV67" s="198"/>
      <c r="AW67" s="198"/>
      <c r="AX67" s="198"/>
      <c r="AY67" s="198"/>
      <c r="AZ67" s="198"/>
      <c r="BA67" s="198"/>
      <c r="BB67" s="198"/>
      <c r="BC67" s="198"/>
      <c r="BD67" s="198"/>
      <c r="BE67" s="198"/>
      <c r="BF67" s="198"/>
      <c r="BG67" s="206">
        <f>0+30</f>
        <v>30</v>
      </c>
      <c r="BH67" s="198"/>
      <c r="BI67" s="200">
        <f>40-40</f>
        <v>0</v>
      </c>
      <c r="BJ67" s="198"/>
      <c r="BK67" s="198"/>
      <c r="BL67" s="198"/>
      <c r="BM67" s="198"/>
      <c r="BN67" s="198"/>
      <c r="BO67" s="198"/>
      <c r="BP67" s="198"/>
      <c r="BQ67" s="198"/>
      <c r="BR67" s="198"/>
      <c r="BS67" s="198"/>
      <c r="BT67" s="198"/>
      <c r="BU67" s="198"/>
      <c r="BV67" s="198"/>
      <c r="BW67" s="198"/>
      <c r="BX67" s="198"/>
      <c r="BY67" s="198"/>
      <c r="BZ67" s="198"/>
      <c r="CA67" s="198"/>
      <c r="CB67" s="198"/>
      <c r="CC67" s="198"/>
      <c r="CD67" s="198"/>
      <c r="CE67" s="198"/>
      <c r="CF67" s="198"/>
      <c r="CG67" s="198"/>
      <c r="CH67" s="198"/>
      <c r="CI67" s="198"/>
      <c r="CJ67" s="198"/>
      <c r="CK67" s="198"/>
      <c r="CL67" s="198"/>
      <c r="CM67" s="198"/>
      <c r="CN67" s="198"/>
      <c r="CO67" s="198"/>
      <c r="CP67" s="198"/>
      <c r="CQ67" s="198"/>
      <c r="CR67" s="198"/>
      <c r="CS67" s="198"/>
      <c r="CT67" s="198"/>
      <c r="CU67" s="198"/>
      <c r="CV67" s="198"/>
      <c r="CW67" s="198"/>
      <c r="CX67" s="198"/>
      <c r="CY67" s="198"/>
      <c r="CZ67" s="198"/>
      <c r="DA67" s="198"/>
      <c r="DB67" s="198"/>
      <c r="DC67" s="198"/>
      <c r="DD67" s="198"/>
      <c r="DE67" s="198"/>
      <c r="DF67" s="198"/>
      <c r="DG67" s="198"/>
      <c r="DH67" s="198"/>
      <c r="DI67" s="198"/>
      <c r="DJ67" s="198"/>
      <c r="DK67" s="198"/>
      <c r="DL67" s="198"/>
      <c r="DM67" s="198"/>
      <c r="DN67" s="198"/>
      <c r="DO67" s="198"/>
      <c r="DP67" s="198"/>
      <c r="DQ67" s="198"/>
      <c r="DR67" s="198"/>
      <c r="DS67" s="198"/>
      <c r="DT67" s="198"/>
      <c r="DU67" s="198"/>
      <c r="DV67" s="198"/>
      <c r="DW67" s="198"/>
      <c r="DX67" s="198"/>
      <c r="DY67" s="198"/>
      <c r="DZ67" s="198"/>
      <c r="EA67" s="198"/>
      <c r="EB67" s="198"/>
      <c r="EC67" s="198"/>
      <c r="ED67" s="198"/>
      <c r="EE67" s="198"/>
      <c r="EF67" s="198"/>
      <c r="EG67" s="198"/>
      <c r="EH67" s="198"/>
      <c r="EI67" s="200">
        <f>40-40</f>
        <v>0</v>
      </c>
      <c r="EJ67" s="200">
        <f>10-10</f>
        <v>0</v>
      </c>
      <c r="EK67" s="198"/>
      <c r="EL67" s="198"/>
      <c r="EM67" s="198"/>
      <c r="EN67" s="198"/>
      <c r="EO67" s="198"/>
      <c r="EP67" s="198"/>
      <c r="EQ67" s="200">
        <f>30-30</f>
        <v>0</v>
      </c>
      <c r="ER67" s="198"/>
      <c r="ES67" s="200">
        <f>55-55</f>
        <v>0</v>
      </c>
      <c r="ET67" s="198"/>
      <c r="EU67" s="198"/>
      <c r="EV67" s="198"/>
      <c r="EW67" s="198"/>
      <c r="EX67" s="198"/>
      <c r="EY67" s="198"/>
      <c r="EZ67" s="198"/>
      <c r="FA67" s="198"/>
      <c r="FB67" s="198"/>
      <c r="FC67" s="198"/>
      <c r="FD67" s="198"/>
      <c r="FE67" s="198"/>
      <c r="FF67" s="198"/>
      <c r="FG67" s="198"/>
      <c r="FH67" s="198"/>
      <c r="FI67" s="198"/>
      <c r="FJ67" s="198"/>
      <c r="FK67" s="198"/>
      <c r="FL67" s="198"/>
      <c r="FM67" s="198"/>
      <c r="FN67" s="198"/>
      <c r="FO67" s="198"/>
      <c r="FP67" s="201">
        <v>82067</v>
      </c>
      <c r="FQ67" s="202" t="s">
        <v>756</v>
      </c>
      <c r="FR67" s="203" t="s">
        <v>389</v>
      </c>
      <c r="FS67" s="203" t="s">
        <v>431</v>
      </c>
      <c r="FT67" s="203" t="s">
        <v>432</v>
      </c>
      <c r="FU67" s="204">
        <f t="shared" si="0"/>
        <v>50</v>
      </c>
      <c r="FV67" s="205" t="s">
        <v>433</v>
      </c>
    </row>
    <row r="68" spans="1:178" s="174" customFormat="1" ht="11.4">
      <c r="A68" s="196" t="s">
        <v>385</v>
      </c>
      <c r="B68" s="196" t="s">
        <v>385</v>
      </c>
      <c r="C68" s="196" t="s">
        <v>411</v>
      </c>
      <c r="D68" s="196" t="s">
        <v>291</v>
      </c>
      <c r="E68" s="197" t="s">
        <v>434</v>
      </c>
      <c r="F68" s="196" t="s">
        <v>388</v>
      </c>
      <c r="G68" s="196"/>
      <c r="H68" s="198"/>
      <c r="I68" s="198"/>
      <c r="J68" s="198"/>
      <c r="K68" s="198"/>
      <c r="L68" s="198"/>
      <c r="M68" s="198"/>
      <c r="N68" s="198"/>
      <c r="O68" s="198"/>
      <c r="P68" s="198"/>
      <c r="Q68" s="198"/>
      <c r="R68" s="198"/>
      <c r="S68" s="198"/>
      <c r="T68" s="198"/>
      <c r="U68" s="198"/>
      <c r="V68" s="198"/>
      <c r="W68" s="198"/>
      <c r="X68" s="198"/>
      <c r="Y68" s="198"/>
      <c r="Z68" s="198"/>
      <c r="AA68" s="198"/>
      <c r="AB68" s="198"/>
      <c r="AC68" s="198"/>
      <c r="AD68" s="198"/>
      <c r="AE68" s="198"/>
      <c r="AF68" s="198"/>
      <c r="AG68" s="200">
        <f>500-500</f>
        <v>0</v>
      </c>
      <c r="AH68" s="198">
        <f>0+30</f>
        <v>30</v>
      </c>
      <c r="AI68" s="198"/>
      <c r="AJ68" s="198"/>
      <c r="AK68" s="198"/>
      <c r="AL68" s="198"/>
      <c r="AM68" s="198"/>
      <c r="AN68" s="198"/>
      <c r="AO68" s="198"/>
      <c r="AP68" s="198"/>
      <c r="AQ68" s="198"/>
      <c r="AR68" s="198"/>
      <c r="AS68" s="198"/>
      <c r="AT68" s="198"/>
      <c r="AU68" s="198"/>
      <c r="AV68" s="198"/>
      <c r="AW68" s="198"/>
      <c r="AX68" s="198"/>
      <c r="AY68" s="198"/>
      <c r="AZ68" s="198"/>
      <c r="BA68" s="198"/>
      <c r="BB68" s="198"/>
      <c r="BC68" s="198"/>
      <c r="BD68" s="198"/>
      <c r="BE68" s="198"/>
      <c r="BF68" s="198"/>
      <c r="BG68" s="198"/>
      <c r="BH68" s="198"/>
      <c r="BI68" s="198"/>
      <c r="BJ68" s="198"/>
      <c r="BK68" s="198"/>
      <c r="BL68" s="198"/>
      <c r="BM68" s="198"/>
      <c r="BN68" s="198"/>
      <c r="BO68" s="198"/>
      <c r="BP68" s="198"/>
      <c r="BQ68" s="198"/>
      <c r="BR68" s="198"/>
      <c r="BS68" s="198"/>
      <c r="BT68" s="198"/>
      <c r="BU68" s="198"/>
      <c r="BV68" s="198"/>
      <c r="BW68" s="198"/>
      <c r="BX68" s="198"/>
      <c r="BY68" s="198"/>
      <c r="BZ68" s="198"/>
      <c r="CA68" s="198"/>
      <c r="CB68" s="198"/>
      <c r="CC68" s="198"/>
      <c r="CD68" s="198"/>
      <c r="CE68" s="198"/>
      <c r="CF68" s="198"/>
      <c r="CG68" s="198"/>
      <c r="CH68" s="198"/>
      <c r="CI68" s="198"/>
      <c r="CJ68" s="198"/>
      <c r="CK68" s="198"/>
      <c r="CL68" s="198"/>
      <c r="CM68" s="198"/>
      <c r="CN68" s="198"/>
      <c r="CO68" s="198"/>
      <c r="CP68" s="198"/>
      <c r="CQ68" s="198"/>
      <c r="CR68" s="198"/>
      <c r="CS68" s="198"/>
      <c r="CT68" s="198"/>
      <c r="CU68" s="198"/>
      <c r="CV68" s="198"/>
      <c r="CW68" s="198"/>
      <c r="CX68" s="198"/>
      <c r="CY68" s="198"/>
      <c r="CZ68" s="198"/>
      <c r="DA68" s="198"/>
      <c r="DB68" s="198"/>
      <c r="DC68" s="198"/>
      <c r="DD68" s="198"/>
      <c r="DE68" s="198"/>
      <c r="DF68" s="198"/>
      <c r="DG68" s="198"/>
      <c r="DH68" s="198"/>
      <c r="DI68" s="198"/>
      <c r="DJ68" s="198"/>
      <c r="DK68" s="198"/>
      <c r="DL68" s="198"/>
      <c r="DM68" s="198"/>
      <c r="DN68" s="198"/>
      <c r="DO68" s="198"/>
      <c r="DP68" s="198"/>
      <c r="DQ68" s="198"/>
      <c r="DR68" s="198"/>
      <c r="DS68" s="198"/>
      <c r="DT68" s="198"/>
      <c r="DU68" s="198"/>
      <c r="DV68" s="198"/>
      <c r="DW68" s="198"/>
      <c r="DX68" s="198"/>
      <c r="DY68" s="198"/>
      <c r="DZ68" s="198"/>
      <c r="EA68" s="198"/>
      <c r="EB68" s="198"/>
      <c r="EC68" s="198"/>
      <c r="ED68" s="198"/>
      <c r="EE68" s="198"/>
      <c r="EF68" s="198"/>
      <c r="EG68" s="198"/>
      <c r="EH68" s="198"/>
      <c r="EI68" s="198"/>
      <c r="EJ68" s="198"/>
      <c r="EK68" s="198"/>
      <c r="EL68" s="198"/>
      <c r="EM68" s="198"/>
      <c r="EN68" s="198"/>
      <c r="EO68" s="198"/>
      <c r="EP68" s="198"/>
      <c r="EQ68" s="198"/>
      <c r="ER68" s="198"/>
      <c r="ES68" s="198"/>
      <c r="ET68" s="198"/>
      <c r="EU68" s="198"/>
      <c r="EV68" s="198"/>
      <c r="EW68" s="198"/>
      <c r="EX68" s="198"/>
      <c r="EY68" s="198"/>
      <c r="EZ68" s="198"/>
      <c r="FA68" s="198"/>
      <c r="FB68" s="198"/>
      <c r="FC68" s="198"/>
      <c r="FD68" s="198"/>
      <c r="FE68" s="198"/>
      <c r="FF68" s="198"/>
      <c r="FG68" s="198"/>
      <c r="FH68" s="198"/>
      <c r="FI68" s="198"/>
      <c r="FJ68" s="198"/>
      <c r="FK68" s="198"/>
      <c r="FL68" s="198"/>
      <c r="FM68" s="198"/>
      <c r="FN68" s="198"/>
      <c r="FO68" s="198"/>
      <c r="FP68" s="201"/>
      <c r="FQ68" s="202" t="s">
        <v>756</v>
      </c>
      <c r="FR68" s="203" t="s">
        <v>389</v>
      </c>
      <c r="FS68" s="203" t="s">
        <v>435</v>
      </c>
      <c r="FT68" s="203" t="s">
        <v>420</v>
      </c>
      <c r="FU68" s="204">
        <f t="shared" si="0"/>
        <v>30</v>
      </c>
      <c r="FV68" s="205" t="s">
        <v>421</v>
      </c>
    </row>
    <row r="69" spans="1:178" s="174" customFormat="1" ht="11.4">
      <c r="A69" s="196" t="s">
        <v>385</v>
      </c>
      <c r="B69" s="196" t="s">
        <v>385</v>
      </c>
      <c r="C69" s="196" t="s">
        <v>411</v>
      </c>
      <c r="D69" s="196" t="s">
        <v>1</v>
      </c>
      <c r="E69" s="197" t="s">
        <v>434</v>
      </c>
      <c r="F69" s="196" t="s">
        <v>388</v>
      </c>
      <c r="G69" s="196"/>
      <c r="H69" s="198"/>
      <c r="I69" s="198"/>
      <c r="J69" s="198"/>
      <c r="K69" s="198"/>
      <c r="L69" s="198"/>
      <c r="M69" s="198"/>
      <c r="N69" s="198"/>
      <c r="O69" s="198"/>
      <c r="P69" s="198"/>
      <c r="Q69" s="198"/>
      <c r="R69" s="198"/>
      <c r="S69" s="198"/>
      <c r="T69" s="198"/>
      <c r="U69" s="198"/>
      <c r="V69" s="198"/>
      <c r="W69" s="198"/>
      <c r="X69" s="198"/>
      <c r="Y69" s="200">
        <f>300-300</f>
        <v>0</v>
      </c>
      <c r="Z69" s="198"/>
      <c r="AA69" s="198"/>
      <c r="AB69" s="198"/>
      <c r="AC69" s="198"/>
      <c r="AD69" s="198"/>
      <c r="AE69" s="200">
        <f t="shared" ref="AE69:AF69" si="53">500-500</f>
        <v>0</v>
      </c>
      <c r="AF69" s="200">
        <f t="shared" si="53"/>
        <v>0</v>
      </c>
      <c r="AG69" s="198"/>
      <c r="AH69" s="200">
        <f>500-500</f>
        <v>0</v>
      </c>
      <c r="AI69" s="198"/>
      <c r="AJ69" s="198"/>
      <c r="AK69" s="198"/>
      <c r="AL69" s="198"/>
      <c r="AM69" s="200">
        <f>500-500</f>
        <v>0</v>
      </c>
      <c r="AN69" s="198"/>
      <c r="AO69" s="198"/>
      <c r="AP69" s="198"/>
      <c r="AQ69" s="198"/>
      <c r="AR69" s="198"/>
      <c r="AS69" s="198"/>
      <c r="AT69" s="198"/>
      <c r="AU69" s="199">
        <f>500-500+40</f>
        <v>40</v>
      </c>
      <c r="AV69" s="198"/>
      <c r="AW69" s="198"/>
      <c r="AX69" s="198"/>
      <c r="AY69" s="198"/>
      <c r="AZ69" s="198"/>
      <c r="BA69" s="198"/>
      <c r="BB69" s="198"/>
      <c r="BC69" s="198"/>
      <c r="BD69" s="198"/>
      <c r="BE69" s="198"/>
      <c r="BF69" s="198"/>
      <c r="BG69" s="198"/>
      <c r="BH69" s="198"/>
      <c r="BI69" s="198"/>
      <c r="BJ69" s="198"/>
      <c r="BK69" s="198"/>
      <c r="BL69" s="198"/>
      <c r="BM69" s="198"/>
      <c r="BN69" s="198"/>
      <c r="BO69" s="198"/>
      <c r="BP69" s="198"/>
      <c r="BQ69" s="198"/>
      <c r="BR69" s="198"/>
      <c r="BS69" s="198"/>
      <c r="BT69" s="198"/>
      <c r="BU69" s="198"/>
      <c r="BV69" s="198"/>
      <c r="BW69" s="198"/>
      <c r="BX69" s="198"/>
      <c r="BY69" s="198"/>
      <c r="BZ69" s="198"/>
      <c r="CA69" s="198"/>
      <c r="CB69" s="198"/>
      <c r="CC69" s="198"/>
      <c r="CD69" s="198"/>
      <c r="CE69" s="198"/>
      <c r="CF69" s="198"/>
      <c r="CG69" s="198"/>
      <c r="CH69" s="198"/>
      <c r="CI69" s="198"/>
      <c r="CJ69" s="198"/>
      <c r="CK69" s="198"/>
      <c r="CL69" s="198"/>
      <c r="CM69" s="198"/>
      <c r="CN69" s="198"/>
      <c r="CO69" s="198"/>
      <c r="CP69" s="198"/>
      <c r="CQ69" s="198"/>
      <c r="CR69" s="198"/>
      <c r="CS69" s="198"/>
      <c r="CT69" s="198"/>
      <c r="CU69" s="198"/>
      <c r="CV69" s="198"/>
      <c r="CW69" s="198"/>
      <c r="CX69" s="198"/>
      <c r="CY69" s="198"/>
      <c r="CZ69" s="198"/>
      <c r="DA69" s="198"/>
      <c r="DB69" s="198"/>
      <c r="DC69" s="198"/>
      <c r="DD69" s="198"/>
      <c r="DE69" s="198"/>
      <c r="DF69" s="198"/>
      <c r="DG69" s="198"/>
      <c r="DH69" s="198"/>
      <c r="DI69" s="198"/>
      <c r="DJ69" s="198"/>
      <c r="DK69" s="198"/>
      <c r="DL69" s="198"/>
      <c r="DM69" s="198"/>
      <c r="DN69" s="198"/>
      <c r="DO69" s="198"/>
      <c r="DP69" s="198"/>
      <c r="DQ69" s="198"/>
      <c r="DR69" s="198"/>
      <c r="DS69" s="198"/>
      <c r="DT69" s="198"/>
      <c r="DU69" s="198"/>
      <c r="DV69" s="198"/>
      <c r="DW69" s="198"/>
      <c r="DX69" s="198"/>
      <c r="DY69" s="198"/>
      <c r="DZ69" s="198"/>
      <c r="EA69" s="198"/>
      <c r="EB69" s="198"/>
      <c r="EC69" s="198"/>
      <c r="ED69" s="198"/>
      <c r="EE69" s="198"/>
      <c r="EF69" s="198"/>
      <c r="EG69" s="198"/>
      <c r="EH69" s="198"/>
      <c r="EI69" s="198"/>
      <c r="EJ69" s="198"/>
      <c r="EK69" s="198"/>
      <c r="EL69" s="198"/>
      <c r="EM69" s="198"/>
      <c r="EN69" s="198"/>
      <c r="EO69" s="198"/>
      <c r="EP69" s="198"/>
      <c r="EQ69" s="198"/>
      <c r="ER69" s="198"/>
      <c r="ES69" s="198"/>
      <c r="ET69" s="198"/>
      <c r="EU69" s="198"/>
      <c r="EV69" s="198"/>
      <c r="EW69" s="198"/>
      <c r="EX69" s="198"/>
      <c r="EY69" s="198"/>
      <c r="EZ69" s="198"/>
      <c r="FA69" s="198"/>
      <c r="FB69" s="198"/>
      <c r="FC69" s="198"/>
      <c r="FD69" s="198"/>
      <c r="FE69" s="198"/>
      <c r="FF69" s="198"/>
      <c r="FG69" s="198"/>
      <c r="FH69" s="198"/>
      <c r="FI69" s="198"/>
      <c r="FJ69" s="198"/>
      <c r="FK69" s="198"/>
      <c r="FL69" s="198"/>
      <c r="FM69" s="198"/>
      <c r="FN69" s="198"/>
      <c r="FO69" s="198"/>
      <c r="FP69" s="201"/>
      <c r="FQ69" s="202" t="s">
        <v>756</v>
      </c>
      <c r="FR69" s="203" t="s">
        <v>389</v>
      </c>
      <c r="FS69" s="203" t="s">
        <v>435</v>
      </c>
      <c r="FT69" s="203" t="s">
        <v>420</v>
      </c>
      <c r="FU69" s="204">
        <f t="shared" si="0"/>
        <v>40</v>
      </c>
      <c r="FV69" s="205" t="s">
        <v>421</v>
      </c>
    </row>
    <row r="70" spans="1:178" s="174" customFormat="1" ht="11.4">
      <c r="A70" s="196" t="s">
        <v>385</v>
      </c>
      <c r="B70" s="196" t="s">
        <v>385</v>
      </c>
      <c r="C70" s="196" t="s">
        <v>411</v>
      </c>
      <c r="D70" s="196" t="s">
        <v>291</v>
      </c>
      <c r="E70" s="209" t="s">
        <v>434</v>
      </c>
      <c r="F70" s="196" t="s">
        <v>388</v>
      </c>
      <c r="G70" s="196"/>
      <c r="H70" s="198"/>
      <c r="I70" s="200">
        <f>300-300</f>
        <v>0</v>
      </c>
      <c r="J70" s="198"/>
      <c r="K70" s="200">
        <f>300-300</f>
        <v>0</v>
      </c>
      <c r="L70" s="198"/>
      <c r="M70" s="198"/>
      <c r="N70" s="198"/>
      <c r="O70" s="198"/>
      <c r="P70" s="198"/>
      <c r="Q70" s="198"/>
      <c r="R70" s="198"/>
      <c r="S70" s="198"/>
      <c r="T70" s="198"/>
      <c r="U70" s="198"/>
      <c r="V70" s="198"/>
      <c r="W70" s="198"/>
      <c r="X70" s="198"/>
      <c r="Y70" s="198"/>
      <c r="Z70" s="198"/>
      <c r="AA70" s="198"/>
      <c r="AB70" s="198"/>
      <c r="AC70" s="198"/>
      <c r="AD70" s="198"/>
      <c r="AE70" s="198"/>
      <c r="AF70" s="198"/>
      <c r="AG70" s="200">
        <f>200-200</f>
        <v>0</v>
      </c>
      <c r="AH70" s="198"/>
      <c r="AI70" s="198"/>
      <c r="AJ70" s="198"/>
      <c r="AK70" s="198"/>
      <c r="AL70" s="198"/>
      <c r="AM70" s="198"/>
      <c r="AN70" s="198"/>
      <c r="AO70" s="198"/>
      <c r="AP70" s="198"/>
      <c r="AQ70" s="200">
        <f t="shared" ref="AQ70:AR70" si="54">100-100</f>
        <v>0</v>
      </c>
      <c r="AR70" s="200">
        <f t="shared" si="54"/>
        <v>0</v>
      </c>
      <c r="AS70" s="198"/>
      <c r="AT70" s="198"/>
      <c r="AU70" s="198"/>
      <c r="AV70" s="198"/>
      <c r="AW70" s="198"/>
      <c r="AX70" s="198"/>
      <c r="AY70" s="198"/>
      <c r="AZ70" s="198"/>
      <c r="BA70" s="198"/>
      <c r="BB70" s="198"/>
      <c r="BC70" s="198"/>
      <c r="BD70" s="198"/>
      <c r="BE70" s="198"/>
      <c r="BF70" s="198"/>
      <c r="BG70" s="198"/>
      <c r="BH70" s="198"/>
      <c r="BI70" s="198"/>
      <c r="BJ70" s="198"/>
      <c r="BK70" s="198"/>
      <c r="BL70" s="198"/>
      <c r="BM70" s="198"/>
      <c r="BN70" s="198"/>
      <c r="BO70" s="198"/>
      <c r="BP70" s="198"/>
      <c r="BQ70" s="198"/>
      <c r="BR70" s="198"/>
      <c r="BS70" s="198"/>
      <c r="BT70" s="198"/>
      <c r="BU70" s="198"/>
      <c r="BV70" s="198"/>
      <c r="BW70" s="198"/>
      <c r="BX70" s="198"/>
      <c r="BY70" s="198"/>
      <c r="BZ70" s="198"/>
      <c r="CA70" s="198"/>
      <c r="CB70" s="198"/>
      <c r="CC70" s="198"/>
      <c r="CD70" s="198"/>
      <c r="CE70" s="198"/>
      <c r="CF70" s="198"/>
      <c r="CG70" s="198"/>
      <c r="CH70" s="198"/>
      <c r="CI70" s="198"/>
      <c r="CJ70" s="198"/>
      <c r="CK70" s="198"/>
      <c r="CL70" s="198"/>
      <c r="CM70" s="198"/>
      <c r="CN70" s="198"/>
      <c r="CO70" s="198"/>
      <c r="CP70" s="198"/>
      <c r="CQ70" s="198"/>
      <c r="CR70" s="198"/>
      <c r="CS70" s="198"/>
      <c r="CT70" s="198"/>
      <c r="CU70" s="198"/>
      <c r="CV70" s="198"/>
      <c r="CW70" s="198"/>
      <c r="CX70" s="198"/>
      <c r="CY70" s="198"/>
      <c r="CZ70" s="198"/>
      <c r="DA70" s="198"/>
      <c r="DB70" s="198"/>
      <c r="DC70" s="198"/>
      <c r="DD70" s="198"/>
      <c r="DE70" s="198"/>
      <c r="DF70" s="198"/>
      <c r="DG70" s="198"/>
      <c r="DH70" s="198"/>
      <c r="DI70" s="198"/>
      <c r="DJ70" s="198"/>
      <c r="DK70" s="198"/>
      <c r="DL70" s="198"/>
      <c r="DM70" s="198"/>
      <c r="DN70" s="198"/>
      <c r="DO70" s="198"/>
      <c r="DP70" s="198"/>
      <c r="DQ70" s="198"/>
      <c r="DR70" s="198"/>
      <c r="DS70" s="198"/>
      <c r="DT70" s="198"/>
      <c r="DU70" s="198"/>
      <c r="DV70" s="198"/>
      <c r="DW70" s="198"/>
      <c r="DX70" s="200">
        <f>800-800</f>
        <v>0</v>
      </c>
      <c r="DY70" s="198"/>
      <c r="DZ70" s="198"/>
      <c r="EA70" s="198"/>
      <c r="EB70" s="198"/>
      <c r="EC70" s="198"/>
      <c r="ED70" s="200">
        <f>800-800</f>
        <v>0</v>
      </c>
      <c r="EE70" s="198"/>
      <c r="EF70" s="198"/>
      <c r="EG70" s="198"/>
      <c r="EH70" s="198"/>
      <c r="EI70" s="198"/>
      <c r="EJ70" s="198"/>
      <c r="EK70" s="198"/>
      <c r="EL70" s="198"/>
      <c r="EM70" s="198"/>
      <c r="EN70" s="198"/>
      <c r="EO70" s="198"/>
      <c r="EP70" s="198"/>
      <c r="EQ70" s="198"/>
      <c r="ER70" s="198"/>
      <c r="ES70" s="198"/>
      <c r="ET70" s="198"/>
      <c r="EU70" s="198"/>
      <c r="EV70" s="198"/>
      <c r="EW70" s="198"/>
      <c r="EX70" s="198"/>
      <c r="EY70" s="198"/>
      <c r="EZ70" s="198"/>
      <c r="FA70" s="198"/>
      <c r="FB70" s="198"/>
      <c r="FC70" s="198"/>
      <c r="FD70" s="198"/>
      <c r="FE70" s="198"/>
      <c r="FF70" s="198"/>
      <c r="FG70" s="198"/>
      <c r="FH70" s="198"/>
      <c r="FI70" s="198"/>
      <c r="FJ70" s="198"/>
      <c r="FK70" s="198"/>
      <c r="FL70" s="198"/>
      <c r="FM70" s="198"/>
      <c r="FN70" s="198"/>
      <c r="FO70" s="198"/>
      <c r="FP70" s="201"/>
      <c r="FQ70" s="202" t="s">
        <v>756</v>
      </c>
      <c r="FR70" s="203" t="s">
        <v>389</v>
      </c>
      <c r="FS70" s="203" t="s">
        <v>436</v>
      </c>
      <c r="FT70" s="203" t="s">
        <v>420</v>
      </c>
      <c r="FU70" s="204">
        <f t="shared" si="0"/>
        <v>0</v>
      </c>
      <c r="FV70" s="205" t="s">
        <v>421</v>
      </c>
    </row>
    <row r="71" spans="1:178" s="174" customFormat="1" ht="11.4">
      <c r="A71" s="196" t="s">
        <v>385</v>
      </c>
      <c r="B71" s="196" t="s">
        <v>385</v>
      </c>
      <c r="C71" s="196" t="s">
        <v>411</v>
      </c>
      <c r="D71" s="196" t="s">
        <v>1</v>
      </c>
      <c r="E71" s="209" t="s">
        <v>434</v>
      </c>
      <c r="F71" s="196" t="s">
        <v>388</v>
      </c>
      <c r="G71" s="196"/>
      <c r="H71" s="198"/>
      <c r="I71" s="198"/>
      <c r="J71" s="198"/>
      <c r="K71" s="198"/>
      <c r="L71" s="198"/>
      <c r="M71" s="198"/>
      <c r="N71" s="198"/>
      <c r="O71" s="198"/>
      <c r="P71" s="198"/>
      <c r="Q71" s="198"/>
      <c r="R71" s="198"/>
      <c r="S71" s="198"/>
      <c r="T71" s="198"/>
      <c r="U71" s="198"/>
      <c r="V71" s="198"/>
      <c r="W71" s="198"/>
      <c r="X71" s="198"/>
      <c r="Y71" s="200">
        <f>300-300</f>
        <v>0</v>
      </c>
      <c r="Z71" s="198"/>
      <c r="AA71" s="198"/>
      <c r="AB71" s="198"/>
      <c r="AC71" s="198"/>
      <c r="AD71" s="198"/>
      <c r="AE71" s="198"/>
      <c r="AF71" s="200">
        <f>300-300</f>
        <v>0</v>
      </c>
      <c r="AG71" s="198"/>
      <c r="AH71" s="200">
        <f>100-100</f>
        <v>0</v>
      </c>
      <c r="AI71" s="198"/>
      <c r="AJ71" s="200">
        <f>100-100</f>
        <v>0</v>
      </c>
      <c r="AK71" s="198"/>
      <c r="AL71" s="198"/>
      <c r="AM71" s="200">
        <f>100-100</f>
        <v>0</v>
      </c>
      <c r="AN71" s="198"/>
      <c r="AO71" s="198"/>
      <c r="AP71" s="198"/>
      <c r="AQ71" s="198"/>
      <c r="AR71" s="198"/>
      <c r="AS71" s="198"/>
      <c r="AT71" s="198"/>
      <c r="AU71" s="200">
        <f>100-100</f>
        <v>0</v>
      </c>
      <c r="AV71" s="198"/>
      <c r="AW71" s="198"/>
      <c r="AX71" s="198"/>
      <c r="AY71" s="198"/>
      <c r="AZ71" s="198"/>
      <c r="BA71" s="198"/>
      <c r="BB71" s="198"/>
      <c r="BC71" s="198"/>
      <c r="BD71" s="198"/>
      <c r="BE71" s="198"/>
      <c r="BF71" s="198"/>
      <c r="BG71" s="198"/>
      <c r="BH71" s="198"/>
      <c r="BI71" s="198"/>
      <c r="BJ71" s="198"/>
      <c r="BK71" s="198"/>
      <c r="BL71" s="198"/>
      <c r="BM71" s="198"/>
      <c r="BN71" s="198"/>
      <c r="BO71" s="198"/>
      <c r="BP71" s="198"/>
      <c r="BQ71" s="198"/>
      <c r="BR71" s="198"/>
      <c r="BS71" s="198"/>
      <c r="BT71" s="198"/>
      <c r="BU71" s="200">
        <f>150-150</f>
        <v>0</v>
      </c>
      <c r="BV71" s="200">
        <f t="shared" ref="BV71:BX71" si="55">200-200</f>
        <v>0</v>
      </c>
      <c r="BW71" s="200">
        <f t="shared" si="55"/>
        <v>0</v>
      </c>
      <c r="BX71" s="200">
        <f t="shared" si="55"/>
        <v>0</v>
      </c>
      <c r="BY71" s="200">
        <f>150-150</f>
        <v>0</v>
      </c>
      <c r="BZ71" s="198"/>
      <c r="CA71" s="198"/>
      <c r="CB71" s="198"/>
      <c r="CC71" s="200">
        <f t="shared" ref="CC71:CG71" si="56">100-100</f>
        <v>0</v>
      </c>
      <c r="CD71" s="200">
        <f t="shared" si="56"/>
        <v>0</v>
      </c>
      <c r="CE71" s="200">
        <f t="shared" si="56"/>
        <v>0</v>
      </c>
      <c r="CF71" s="200">
        <f t="shared" si="56"/>
        <v>0</v>
      </c>
      <c r="CG71" s="200">
        <f t="shared" si="56"/>
        <v>0</v>
      </c>
      <c r="CH71" s="200">
        <f>20-20</f>
        <v>0</v>
      </c>
      <c r="CI71" s="198"/>
      <c r="CJ71" s="198"/>
      <c r="CK71" s="200">
        <f>20-20</f>
        <v>0</v>
      </c>
      <c r="CL71" s="200">
        <f>30-30</f>
        <v>0</v>
      </c>
      <c r="CM71" s="200">
        <f t="shared" ref="CM71:CN71" si="57">20-20</f>
        <v>0</v>
      </c>
      <c r="CN71" s="200">
        <f t="shared" si="57"/>
        <v>0</v>
      </c>
      <c r="CO71" s="198"/>
      <c r="CP71" s="198"/>
      <c r="CQ71" s="198"/>
      <c r="CR71" s="198"/>
      <c r="CS71" s="198"/>
      <c r="CT71" s="198"/>
      <c r="CU71" s="198"/>
      <c r="CV71" s="198"/>
      <c r="CW71" s="198"/>
      <c r="CX71" s="200">
        <f>20-20</f>
        <v>0</v>
      </c>
      <c r="CY71" s="198"/>
      <c r="CZ71" s="198"/>
      <c r="DA71" s="198"/>
      <c r="DB71" s="198"/>
      <c r="DC71" s="198"/>
      <c r="DD71" s="198"/>
      <c r="DE71" s="198"/>
      <c r="DF71" s="198"/>
      <c r="DG71" s="198"/>
      <c r="DH71" s="200">
        <f>5-5</f>
        <v>0</v>
      </c>
      <c r="DI71" s="198"/>
      <c r="DJ71" s="198"/>
      <c r="DK71" s="198"/>
      <c r="DL71" s="200">
        <f>3-3</f>
        <v>0</v>
      </c>
      <c r="DM71" s="200">
        <f t="shared" ref="DM71:DO71" si="58">5-5</f>
        <v>0</v>
      </c>
      <c r="DN71" s="200">
        <f t="shared" si="58"/>
        <v>0</v>
      </c>
      <c r="DO71" s="200">
        <f t="shared" si="58"/>
        <v>0</v>
      </c>
      <c r="DP71" s="198"/>
      <c r="DQ71" s="198"/>
      <c r="DR71" s="198"/>
      <c r="DS71" s="198"/>
      <c r="DT71" s="198"/>
      <c r="DU71" s="198"/>
      <c r="DV71" s="198"/>
      <c r="DW71" s="200">
        <f>5-5</f>
        <v>0</v>
      </c>
      <c r="DX71" s="198"/>
      <c r="DY71" s="198"/>
      <c r="DZ71" s="198"/>
      <c r="EA71" s="198"/>
      <c r="EB71" s="198"/>
      <c r="EC71" s="198"/>
      <c r="ED71" s="198"/>
      <c r="EE71" s="198"/>
      <c r="EF71" s="198"/>
      <c r="EG71" s="198"/>
      <c r="EH71" s="198"/>
      <c r="EI71" s="198"/>
      <c r="EJ71" s="198"/>
      <c r="EK71" s="200">
        <f>100-100</f>
        <v>0</v>
      </c>
      <c r="EL71" s="198"/>
      <c r="EM71" s="198"/>
      <c r="EN71" s="198"/>
      <c r="EO71" s="198"/>
      <c r="EP71" s="200">
        <f t="shared" ref="EP71:EQ71" si="59">60-60</f>
        <v>0</v>
      </c>
      <c r="EQ71" s="200">
        <f t="shared" si="59"/>
        <v>0</v>
      </c>
      <c r="ER71" s="198"/>
      <c r="ES71" s="200">
        <f>100-100</f>
        <v>0</v>
      </c>
      <c r="ET71" s="198"/>
      <c r="EU71" s="198"/>
      <c r="EV71" s="198"/>
      <c r="EW71" s="198"/>
      <c r="EX71" s="198"/>
      <c r="EY71" s="198"/>
      <c r="EZ71" s="200">
        <f>60-60</f>
        <v>0</v>
      </c>
      <c r="FA71" s="198"/>
      <c r="FB71" s="200">
        <f>60-60</f>
        <v>0</v>
      </c>
      <c r="FC71" s="198"/>
      <c r="FD71" s="200">
        <f>60-60</f>
        <v>0</v>
      </c>
      <c r="FE71" s="198"/>
      <c r="FF71" s="200">
        <f>60-60</f>
        <v>0</v>
      </c>
      <c r="FG71" s="198"/>
      <c r="FH71" s="198"/>
      <c r="FI71" s="198"/>
      <c r="FJ71" s="198"/>
      <c r="FK71" s="198"/>
      <c r="FL71" s="198"/>
      <c r="FM71" s="199">
        <f>100-100+20</f>
        <v>20</v>
      </c>
      <c r="FN71" s="198"/>
      <c r="FO71" s="198"/>
      <c r="FP71" s="201"/>
      <c r="FQ71" s="202" t="s">
        <v>756</v>
      </c>
      <c r="FR71" s="203" t="s">
        <v>389</v>
      </c>
      <c r="FS71" s="203" t="s">
        <v>436</v>
      </c>
      <c r="FT71" s="203" t="s">
        <v>420</v>
      </c>
      <c r="FU71" s="204">
        <f t="shared" si="0"/>
        <v>20</v>
      </c>
      <c r="FV71" s="205" t="s">
        <v>421</v>
      </c>
    </row>
    <row r="72" spans="1:178" s="174" customFormat="1" ht="11.4">
      <c r="A72" s="196" t="s">
        <v>385</v>
      </c>
      <c r="B72" s="196" t="s">
        <v>385</v>
      </c>
      <c r="C72" s="196" t="s">
        <v>411</v>
      </c>
      <c r="D72" s="196" t="s">
        <v>293</v>
      </c>
      <c r="E72" s="209" t="s">
        <v>434</v>
      </c>
      <c r="F72" s="196" t="s">
        <v>388</v>
      </c>
      <c r="G72" s="196"/>
      <c r="H72" s="198"/>
      <c r="I72" s="198"/>
      <c r="J72" s="198"/>
      <c r="K72" s="198"/>
      <c r="L72" s="198"/>
      <c r="M72" s="198"/>
      <c r="N72" s="198"/>
      <c r="O72" s="198"/>
      <c r="P72" s="198"/>
      <c r="Q72" s="198"/>
      <c r="R72" s="198"/>
      <c r="S72" s="198"/>
      <c r="T72" s="198"/>
      <c r="U72" s="198"/>
      <c r="V72" s="198"/>
      <c r="W72" s="198"/>
      <c r="X72" s="198"/>
      <c r="Y72" s="198"/>
      <c r="Z72" s="198"/>
      <c r="AA72" s="198"/>
      <c r="AB72" s="198"/>
      <c r="AC72" s="198"/>
      <c r="AD72" s="198"/>
      <c r="AE72" s="198"/>
      <c r="AF72" s="198"/>
      <c r="AG72" s="198"/>
      <c r="AH72" s="198"/>
      <c r="AI72" s="198"/>
      <c r="AJ72" s="198"/>
      <c r="AK72" s="198"/>
      <c r="AL72" s="198"/>
      <c r="AM72" s="198"/>
      <c r="AN72" s="198"/>
      <c r="AO72" s="198"/>
      <c r="AP72" s="198"/>
      <c r="AQ72" s="198"/>
      <c r="AR72" s="198"/>
      <c r="AS72" s="198"/>
      <c r="AT72" s="198"/>
      <c r="AU72" s="198"/>
      <c r="AV72" s="198"/>
      <c r="AW72" s="198"/>
      <c r="AX72" s="198"/>
      <c r="AY72" s="198"/>
      <c r="AZ72" s="198"/>
      <c r="BA72" s="198"/>
      <c r="BB72" s="198"/>
      <c r="BC72" s="198"/>
      <c r="BD72" s="198"/>
      <c r="BE72" s="198"/>
      <c r="BF72" s="198"/>
      <c r="BG72" s="198"/>
      <c r="BH72" s="198"/>
      <c r="BI72" s="198"/>
      <c r="BJ72" s="198"/>
      <c r="BK72" s="198"/>
      <c r="BL72" s="198"/>
      <c r="BM72" s="198"/>
      <c r="BN72" s="198"/>
      <c r="BO72" s="198"/>
      <c r="BP72" s="198"/>
      <c r="BQ72" s="198"/>
      <c r="BR72" s="198"/>
      <c r="BS72" s="198"/>
      <c r="BT72" s="198"/>
      <c r="BU72" s="198"/>
      <c r="BV72" s="198"/>
      <c r="BW72" s="198"/>
      <c r="BX72" s="198"/>
      <c r="BY72" s="198"/>
      <c r="BZ72" s="198"/>
      <c r="CA72" s="198"/>
      <c r="CB72" s="198"/>
      <c r="CC72" s="198"/>
      <c r="CD72" s="198"/>
      <c r="CE72" s="198"/>
      <c r="CF72" s="198"/>
      <c r="CG72" s="198"/>
      <c r="CH72" s="198"/>
      <c r="CI72" s="198"/>
      <c r="CJ72" s="198"/>
      <c r="CK72" s="198"/>
      <c r="CL72" s="198"/>
      <c r="CM72" s="198"/>
      <c r="CN72" s="198"/>
      <c r="CO72" s="198"/>
      <c r="CP72" s="198"/>
      <c r="CQ72" s="198"/>
      <c r="CR72" s="198"/>
      <c r="CS72" s="198"/>
      <c r="CT72" s="198"/>
      <c r="CU72" s="198"/>
      <c r="CV72" s="198"/>
      <c r="CW72" s="198"/>
      <c r="CX72" s="198"/>
      <c r="CY72" s="198"/>
      <c r="CZ72" s="198"/>
      <c r="DA72" s="198"/>
      <c r="DB72" s="198"/>
      <c r="DC72" s="198"/>
      <c r="DD72" s="198"/>
      <c r="DE72" s="198"/>
      <c r="DF72" s="198"/>
      <c r="DG72" s="198"/>
      <c r="DH72" s="198"/>
      <c r="DI72" s="198"/>
      <c r="DJ72" s="198"/>
      <c r="DK72" s="198"/>
      <c r="DL72" s="198"/>
      <c r="DM72" s="198"/>
      <c r="DN72" s="198"/>
      <c r="DO72" s="198"/>
      <c r="DP72" s="198"/>
      <c r="DQ72" s="198"/>
      <c r="DR72" s="198"/>
      <c r="DS72" s="198"/>
      <c r="DT72" s="198"/>
      <c r="DU72" s="198"/>
      <c r="DV72" s="198"/>
      <c r="DW72" s="198"/>
      <c r="DX72" s="198"/>
      <c r="DY72" s="198"/>
      <c r="DZ72" s="198"/>
      <c r="EA72" s="198"/>
      <c r="EB72" s="198"/>
      <c r="EC72" s="198"/>
      <c r="ED72" s="198"/>
      <c r="EE72" s="198"/>
      <c r="EF72" s="198"/>
      <c r="EG72" s="198"/>
      <c r="EH72" s="198"/>
      <c r="EI72" s="198"/>
      <c r="EJ72" s="198"/>
      <c r="EK72" s="198"/>
      <c r="EL72" s="198"/>
      <c r="EM72" s="198"/>
      <c r="EN72" s="198"/>
      <c r="EO72" s="198"/>
      <c r="EP72" s="198"/>
      <c r="EQ72" s="198"/>
      <c r="ER72" s="198"/>
      <c r="ES72" s="198"/>
      <c r="ET72" s="198"/>
      <c r="EU72" s="198"/>
      <c r="EV72" s="198"/>
      <c r="EW72" s="198"/>
      <c r="EX72" s="198"/>
      <c r="EY72" s="198"/>
      <c r="EZ72" s="198"/>
      <c r="FA72" s="198"/>
      <c r="FB72" s="198"/>
      <c r="FC72" s="198"/>
      <c r="FD72" s="198"/>
      <c r="FE72" s="198"/>
      <c r="FF72" s="198"/>
      <c r="FG72" s="198"/>
      <c r="FH72" s="198"/>
      <c r="FI72" s="200">
        <f>40-40</f>
        <v>0</v>
      </c>
      <c r="FJ72" s="198"/>
      <c r="FK72" s="198"/>
      <c r="FL72" s="198"/>
      <c r="FM72" s="198"/>
      <c r="FN72" s="198"/>
      <c r="FO72" s="198"/>
      <c r="FP72" s="201"/>
      <c r="FQ72" s="202" t="s">
        <v>756</v>
      </c>
      <c r="FR72" s="203" t="s">
        <v>389</v>
      </c>
      <c r="FS72" s="203" t="s">
        <v>436</v>
      </c>
      <c r="FT72" s="203" t="s">
        <v>420</v>
      </c>
      <c r="FU72" s="204">
        <f t="shared" si="0"/>
        <v>0</v>
      </c>
      <c r="FV72" s="205" t="s">
        <v>421</v>
      </c>
    </row>
    <row r="73" spans="1:178" s="174" customFormat="1" ht="11.4">
      <c r="A73" s="196" t="s">
        <v>393</v>
      </c>
      <c r="B73" s="196" t="s">
        <v>385</v>
      </c>
      <c r="C73" s="196" t="s">
        <v>411</v>
      </c>
      <c r="D73" s="196" t="s">
        <v>291</v>
      </c>
      <c r="E73" s="197" t="s">
        <v>437</v>
      </c>
      <c r="F73" s="196" t="s">
        <v>388</v>
      </c>
      <c r="G73" s="196"/>
      <c r="H73" s="198"/>
      <c r="I73" s="198"/>
      <c r="J73" s="198"/>
      <c r="K73" s="198"/>
      <c r="L73" s="198"/>
      <c r="M73" s="198"/>
      <c r="N73" s="200">
        <f>200-200</f>
        <v>0</v>
      </c>
      <c r="O73" s="198"/>
      <c r="P73" s="198"/>
      <c r="Q73" s="200">
        <f>200-200</f>
        <v>0</v>
      </c>
      <c r="R73" s="198"/>
      <c r="S73" s="198"/>
      <c r="T73" s="198"/>
      <c r="U73" s="198"/>
      <c r="V73" s="198"/>
      <c r="W73" s="198"/>
      <c r="X73" s="198"/>
      <c r="Y73" s="198"/>
      <c r="Z73" s="198"/>
      <c r="AA73" s="198"/>
      <c r="AB73" s="198"/>
      <c r="AC73" s="198"/>
      <c r="AD73" s="198"/>
      <c r="AE73" s="198"/>
      <c r="AF73" s="198"/>
      <c r="AG73" s="200">
        <f>200-200</f>
        <v>0</v>
      </c>
      <c r="AH73" s="198">
        <f>0+20</f>
        <v>20</v>
      </c>
      <c r="AI73" s="198"/>
      <c r="AJ73" s="198"/>
      <c r="AK73" s="198"/>
      <c r="AL73" s="198"/>
      <c r="AM73" s="198"/>
      <c r="AN73" s="198"/>
      <c r="AO73" s="198"/>
      <c r="AP73" s="198"/>
      <c r="AQ73" s="198"/>
      <c r="AR73" s="200">
        <f>100-100</f>
        <v>0</v>
      </c>
      <c r="AS73" s="198"/>
      <c r="AT73" s="198"/>
      <c r="AU73" s="198"/>
      <c r="AV73" s="198"/>
      <c r="AW73" s="198"/>
      <c r="AX73" s="198"/>
      <c r="AY73" s="198"/>
      <c r="AZ73" s="198"/>
      <c r="BA73" s="198"/>
      <c r="BB73" s="198"/>
      <c r="BC73" s="198"/>
      <c r="BD73" s="198"/>
      <c r="BE73" s="198"/>
      <c r="BF73" s="198"/>
      <c r="BG73" s="198"/>
      <c r="BH73" s="198"/>
      <c r="BI73" s="198"/>
      <c r="BJ73" s="198"/>
      <c r="BK73" s="198"/>
      <c r="BL73" s="198"/>
      <c r="BM73" s="198"/>
      <c r="BN73" s="198"/>
      <c r="BO73" s="198"/>
      <c r="BP73" s="198"/>
      <c r="BQ73" s="198"/>
      <c r="BR73" s="198"/>
      <c r="BS73" s="198"/>
      <c r="BT73" s="198"/>
      <c r="BU73" s="198"/>
      <c r="BV73" s="198"/>
      <c r="BW73" s="198"/>
      <c r="BX73" s="198"/>
      <c r="BY73" s="198"/>
      <c r="BZ73" s="198"/>
      <c r="CA73" s="198"/>
      <c r="CB73" s="198"/>
      <c r="CC73" s="198"/>
      <c r="CD73" s="198"/>
      <c r="CE73" s="198"/>
      <c r="CF73" s="198"/>
      <c r="CG73" s="198"/>
      <c r="CH73" s="198"/>
      <c r="CI73" s="198"/>
      <c r="CJ73" s="198"/>
      <c r="CK73" s="198"/>
      <c r="CL73" s="198"/>
      <c r="CM73" s="198"/>
      <c r="CN73" s="198"/>
      <c r="CO73" s="198"/>
      <c r="CP73" s="198"/>
      <c r="CQ73" s="198"/>
      <c r="CR73" s="198"/>
      <c r="CS73" s="198"/>
      <c r="CT73" s="198"/>
      <c r="CU73" s="198"/>
      <c r="CV73" s="198"/>
      <c r="CW73" s="198"/>
      <c r="CX73" s="198"/>
      <c r="CY73" s="198"/>
      <c r="CZ73" s="198"/>
      <c r="DA73" s="198"/>
      <c r="DB73" s="198"/>
      <c r="DC73" s="198"/>
      <c r="DD73" s="198"/>
      <c r="DE73" s="198"/>
      <c r="DF73" s="198"/>
      <c r="DG73" s="198"/>
      <c r="DH73" s="198"/>
      <c r="DI73" s="198"/>
      <c r="DJ73" s="198"/>
      <c r="DK73" s="198"/>
      <c r="DL73" s="198"/>
      <c r="DM73" s="198"/>
      <c r="DN73" s="198"/>
      <c r="DO73" s="198"/>
      <c r="DP73" s="198"/>
      <c r="DQ73" s="198"/>
      <c r="DR73" s="198"/>
      <c r="DS73" s="198"/>
      <c r="DT73" s="198"/>
      <c r="DU73" s="198"/>
      <c r="DV73" s="198"/>
      <c r="DW73" s="198"/>
      <c r="DX73" s="198"/>
      <c r="DY73" s="198"/>
      <c r="DZ73" s="198"/>
      <c r="EA73" s="198"/>
      <c r="EB73" s="198"/>
      <c r="EC73" s="198"/>
      <c r="ED73" s="198"/>
      <c r="EE73" s="198"/>
      <c r="EF73" s="198"/>
      <c r="EG73" s="198"/>
      <c r="EH73" s="198"/>
      <c r="EI73" s="198"/>
      <c r="EJ73" s="198"/>
      <c r="EK73" s="198"/>
      <c r="EL73" s="198"/>
      <c r="EM73" s="198"/>
      <c r="EN73" s="198"/>
      <c r="EO73" s="198"/>
      <c r="EP73" s="198"/>
      <c r="EQ73" s="198"/>
      <c r="ER73" s="198"/>
      <c r="ES73" s="198"/>
      <c r="ET73" s="198"/>
      <c r="EU73" s="198"/>
      <c r="EV73" s="198"/>
      <c r="EW73" s="198"/>
      <c r="EX73" s="198"/>
      <c r="EY73" s="198"/>
      <c r="EZ73" s="198"/>
      <c r="FA73" s="198"/>
      <c r="FB73" s="198"/>
      <c r="FC73" s="198"/>
      <c r="FD73" s="198"/>
      <c r="FE73" s="198"/>
      <c r="FF73" s="198"/>
      <c r="FG73" s="198"/>
      <c r="FH73" s="198"/>
      <c r="FI73" s="198"/>
      <c r="FJ73" s="198"/>
      <c r="FK73" s="198"/>
      <c r="FL73" s="198"/>
      <c r="FM73" s="198"/>
      <c r="FN73" s="198"/>
      <c r="FO73" s="198"/>
      <c r="FP73" s="201"/>
      <c r="FQ73" s="202" t="s">
        <v>756</v>
      </c>
      <c r="FR73" s="203" t="s">
        <v>389</v>
      </c>
      <c r="FS73" s="203" t="s">
        <v>438</v>
      </c>
      <c r="FT73" s="203" t="s">
        <v>439</v>
      </c>
      <c r="FU73" s="204">
        <f t="shared" si="0"/>
        <v>20</v>
      </c>
      <c r="FV73" s="205" t="s">
        <v>421</v>
      </c>
    </row>
    <row r="74" spans="1:178" s="174" customFormat="1" ht="11.4">
      <c r="A74" s="196" t="s">
        <v>393</v>
      </c>
      <c r="B74" s="196" t="s">
        <v>385</v>
      </c>
      <c r="C74" s="196" t="s">
        <v>411</v>
      </c>
      <c r="D74" s="196" t="s">
        <v>1</v>
      </c>
      <c r="E74" s="197" t="s">
        <v>437</v>
      </c>
      <c r="F74" s="196" t="s">
        <v>388</v>
      </c>
      <c r="G74" s="196"/>
      <c r="H74" s="198"/>
      <c r="I74" s="198"/>
      <c r="J74" s="198"/>
      <c r="K74" s="198"/>
      <c r="L74" s="198"/>
      <c r="M74" s="198"/>
      <c r="N74" s="206">
        <f>0+20</f>
        <v>20</v>
      </c>
      <c r="O74" s="198"/>
      <c r="P74" s="198"/>
      <c r="Q74" s="198"/>
      <c r="R74" s="198"/>
      <c r="S74" s="198"/>
      <c r="T74" s="198"/>
      <c r="U74" s="198"/>
      <c r="V74" s="198"/>
      <c r="W74" s="198"/>
      <c r="X74" s="198"/>
      <c r="Y74" s="198"/>
      <c r="Z74" s="198"/>
      <c r="AA74" s="198"/>
      <c r="AB74" s="198"/>
      <c r="AC74" s="198"/>
      <c r="AD74" s="198"/>
      <c r="AE74" s="198"/>
      <c r="AF74" s="200">
        <f>200-200</f>
        <v>0</v>
      </c>
      <c r="AG74" s="198"/>
      <c r="AH74" s="200">
        <f>200-200</f>
        <v>0</v>
      </c>
      <c r="AI74" s="198"/>
      <c r="AJ74" s="198"/>
      <c r="AK74" s="198"/>
      <c r="AL74" s="198"/>
      <c r="AM74" s="198"/>
      <c r="AN74" s="198"/>
      <c r="AO74" s="198"/>
      <c r="AP74" s="198"/>
      <c r="AQ74" s="198"/>
      <c r="AR74" s="198"/>
      <c r="AS74" s="198"/>
      <c r="AT74" s="198"/>
      <c r="AU74" s="199">
        <f>200-200+40</f>
        <v>40</v>
      </c>
      <c r="AV74" s="198"/>
      <c r="AW74" s="198"/>
      <c r="AX74" s="198"/>
      <c r="AY74" s="198"/>
      <c r="AZ74" s="198"/>
      <c r="BA74" s="198"/>
      <c r="BB74" s="198"/>
      <c r="BC74" s="198"/>
      <c r="BD74" s="198"/>
      <c r="BE74" s="198"/>
      <c r="BF74" s="198"/>
      <c r="BG74" s="198"/>
      <c r="BH74" s="198"/>
      <c r="BI74" s="198"/>
      <c r="BJ74" s="198"/>
      <c r="BK74" s="198"/>
      <c r="BL74" s="198"/>
      <c r="BM74" s="198"/>
      <c r="BN74" s="198"/>
      <c r="BO74" s="198"/>
      <c r="BP74" s="200">
        <f t="shared" ref="BP74:BS74" si="60">100-100</f>
        <v>0</v>
      </c>
      <c r="BQ74" s="200">
        <f t="shared" si="60"/>
        <v>0</v>
      </c>
      <c r="BR74" s="200">
        <f t="shared" si="60"/>
        <v>0</v>
      </c>
      <c r="BS74" s="200">
        <f t="shared" si="60"/>
        <v>0</v>
      </c>
      <c r="BT74" s="198"/>
      <c r="BU74" s="200">
        <f>30-30</f>
        <v>0</v>
      </c>
      <c r="BV74" s="198"/>
      <c r="BW74" s="198"/>
      <c r="BX74" s="198"/>
      <c r="BY74" s="198"/>
      <c r="BZ74" s="200">
        <f>100-100</f>
        <v>0</v>
      </c>
      <c r="CA74" s="198"/>
      <c r="CB74" s="198"/>
      <c r="CC74" s="200">
        <f t="shared" ref="CC74:CG74" si="61">50-50</f>
        <v>0</v>
      </c>
      <c r="CD74" s="200">
        <f t="shared" si="61"/>
        <v>0</v>
      </c>
      <c r="CE74" s="200">
        <f t="shared" si="61"/>
        <v>0</v>
      </c>
      <c r="CF74" s="200">
        <f t="shared" si="61"/>
        <v>0</v>
      </c>
      <c r="CG74" s="200">
        <f t="shared" si="61"/>
        <v>0</v>
      </c>
      <c r="CH74" s="200">
        <f>30-30</f>
        <v>0</v>
      </c>
      <c r="CI74" s="198"/>
      <c r="CJ74" s="198"/>
      <c r="CK74" s="200">
        <f>30-30</f>
        <v>0</v>
      </c>
      <c r="CL74" s="198"/>
      <c r="CM74" s="198"/>
      <c r="CN74" s="200">
        <f>30-30</f>
        <v>0</v>
      </c>
      <c r="CO74" s="198"/>
      <c r="CP74" s="198"/>
      <c r="CQ74" s="198"/>
      <c r="CR74" s="198"/>
      <c r="CS74" s="198"/>
      <c r="CT74" s="198"/>
      <c r="CU74" s="198"/>
      <c r="CV74" s="198"/>
      <c r="CW74" s="198"/>
      <c r="CX74" s="198"/>
      <c r="CY74" s="200">
        <f t="shared" ref="CY74:DH74" si="62">20-20</f>
        <v>0</v>
      </c>
      <c r="CZ74" s="200">
        <f t="shared" si="62"/>
        <v>0</v>
      </c>
      <c r="DA74" s="200">
        <f t="shared" si="62"/>
        <v>0</v>
      </c>
      <c r="DB74" s="200">
        <f t="shared" si="62"/>
        <v>0</v>
      </c>
      <c r="DC74" s="200">
        <f t="shared" si="62"/>
        <v>0</v>
      </c>
      <c r="DD74" s="200">
        <f t="shared" si="62"/>
        <v>0</v>
      </c>
      <c r="DE74" s="200">
        <f t="shared" si="62"/>
        <v>0</v>
      </c>
      <c r="DF74" s="200">
        <f t="shared" si="62"/>
        <v>0</v>
      </c>
      <c r="DG74" s="200">
        <f t="shared" si="62"/>
        <v>0</v>
      </c>
      <c r="DH74" s="200">
        <f t="shared" si="62"/>
        <v>0</v>
      </c>
      <c r="DI74" s="198"/>
      <c r="DJ74" s="200">
        <f t="shared" ref="DJ74:DL74" si="63">20-20</f>
        <v>0</v>
      </c>
      <c r="DK74" s="200">
        <f t="shared" si="63"/>
        <v>0</v>
      </c>
      <c r="DL74" s="200">
        <f t="shared" si="63"/>
        <v>0</v>
      </c>
      <c r="DM74" s="198"/>
      <c r="DN74" s="198"/>
      <c r="DO74" s="198"/>
      <c r="DP74" s="198"/>
      <c r="DQ74" s="198"/>
      <c r="DR74" s="198"/>
      <c r="DS74" s="198"/>
      <c r="DT74" s="198"/>
      <c r="DU74" s="198"/>
      <c r="DV74" s="198"/>
      <c r="DW74" s="198"/>
      <c r="DX74" s="198"/>
      <c r="DY74" s="198"/>
      <c r="DZ74" s="198"/>
      <c r="EA74" s="200">
        <f>100-100</f>
        <v>0</v>
      </c>
      <c r="EB74" s="198"/>
      <c r="EC74" s="198"/>
      <c r="ED74" s="198"/>
      <c r="EE74" s="198"/>
      <c r="EF74" s="198"/>
      <c r="EG74" s="198"/>
      <c r="EH74" s="198"/>
      <c r="EI74" s="198"/>
      <c r="EJ74" s="198"/>
      <c r="EK74" s="198"/>
      <c r="EL74" s="198"/>
      <c r="EM74" s="198"/>
      <c r="EN74" s="198"/>
      <c r="EO74" s="198"/>
      <c r="EP74" s="200">
        <f t="shared" ref="EP74:EQ74" si="64">30-30</f>
        <v>0</v>
      </c>
      <c r="EQ74" s="200">
        <f t="shared" si="64"/>
        <v>0</v>
      </c>
      <c r="ER74" s="198"/>
      <c r="ES74" s="198"/>
      <c r="ET74" s="198"/>
      <c r="EU74" s="198"/>
      <c r="EV74" s="198"/>
      <c r="EW74" s="198"/>
      <c r="EX74" s="198"/>
      <c r="EY74" s="198"/>
      <c r="EZ74" s="200">
        <f>30-30</f>
        <v>0</v>
      </c>
      <c r="FA74" s="198"/>
      <c r="FB74" s="200">
        <f>30-30</f>
        <v>0</v>
      </c>
      <c r="FC74" s="198"/>
      <c r="FD74" s="200">
        <f>30-30</f>
        <v>0</v>
      </c>
      <c r="FE74" s="198"/>
      <c r="FF74" s="200">
        <f>30-30</f>
        <v>0</v>
      </c>
      <c r="FG74" s="200">
        <f>20-20</f>
        <v>0</v>
      </c>
      <c r="FH74" s="198"/>
      <c r="FI74" s="198"/>
      <c r="FJ74" s="200">
        <f>100-100</f>
        <v>0</v>
      </c>
      <c r="FK74" s="198"/>
      <c r="FL74" s="198"/>
      <c r="FM74" s="198"/>
      <c r="FN74" s="198"/>
      <c r="FO74" s="198"/>
      <c r="FP74" s="201"/>
      <c r="FQ74" s="202" t="s">
        <v>756</v>
      </c>
      <c r="FR74" s="203" t="s">
        <v>389</v>
      </c>
      <c r="FS74" s="203" t="s">
        <v>438</v>
      </c>
      <c r="FT74" s="203" t="s">
        <v>439</v>
      </c>
      <c r="FU74" s="204">
        <f t="shared" si="0"/>
        <v>60</v>
      </c>
      <c r="FV74" s="205" t="s">
        <v>421</v>
      </c>
    </row>
    <row r="75" spans="1:178" s="174" customFormat="1" ht="11.4">
      <c r="A75" s="196" t="s">
        <v>393</v>
      </c>
      <c r="B75" s="196" t="s">
        <v>385</v>
      </c>
      <c r="C75" s="196" t="s">
        <v>411</v>
      </c>
      <c r="D75" s="196" t="s">
        <v>293</v>
      </c>
      <c r="E75" s="197" t="s">
        <v>437</v>
      </c>
      <c r="F75" s="196" t="s">
        <v>388</v>
      </c>
      <c r="G75" s="196"/>
      <c r="H75" s="198"/>
      <c r="I75" s="198"/>
      <c r="J75" s="200">
        <f>200-200</f>
        <v>0</v>
      </c>
      <c r="K75" s="198"/>
      <c r="L75" s="198"/>
      <c r="M75" s="198"/>
      <c r="N75" s="198"/>
      <c r="O75" s="198"/>
      <c r="P75" s="198"/>
      <c r="Q75" s="198"/>
      <c r="R75" s="198"/>
      <c r="S75" s="198"/>
      <c r="T75" s="198"/>
      <c r="U75" s="198"/>
      <c r="V75" s="198"/>
      <c r="W75" s="198"/>
      <c r="X75" s="198"/>
      <c r="Y75" s="198"/>
      <c r="Z75" s="198"/>
      <c r="AA75" s="198"/>
      <c r="AB75" s="198"/>
      <c r="AC75" s="198"/>
      <c r="AD75" s="198"/>
      <c r="AE75" s="198"/>
      <c r="AF75" s="198"/>
      <c r="AG75" s="198"/>
      <c r="AH75" s="198"/>
      <c r="AI75" s="198"/>
      <c r="AJ75" s="198"/>
      <c r="AK75" s="198"/>
      <c r="AL75" s="198"/>
      <c r="AM75" s="198"/>
      <c r="AN75" s="198"/>
      <c r="AO75" s="198"/>
      <c r="AP75" s="198"/>
      <c r="AQ75" s="198"/>
      <c r="AR75" s="198"/>
      <c r="AS75" s="198"/>
      <c r="AT75" s="198"/>
      <c r="AU75" s="198"/>
      <c r="AV75" s="198"/>
      <c r="AW75" s="198"/>
      <c r="AX75" s="198"/>
      <c r="AY75" s="198"/>
      <c r="AZ75" s="198"/>
      <c r="BA75" s="198"/>
      <c r="BB75" s="198"/>
      <c r="BC75" s="198"/>
      <c r="BD75" s="198"/>
      <c r="BE75" s="198"/>
      <c r="BF75" s="198"/>
      <c r="BG75" s="198"/>
      <c r="BH75" s="198"/>
      <c r="BI75" s="198"/>
      <c r="BJ75" s="198"/>
      <c r="BK75" s="198"/>
      <c r="BL75" s="198"/>
      <c r="BM75" s="198"/>
      <c r="BN75" s="198"/>
      <c r="BO75" s="198"/>
      <c r="BP75" s="198"/>
      <c r="BQ75" s="198"/>
      <c r="BR75" s="198"/>
      <c r="BS75" s="198"/>
      <c r="BT75" s="198"/>
      <c r="BU75" s="198"/>
      <c r="BV75" s="198"/>
      <c r="BW75" s="198"/>
      <c r="BX75" s="198"/>
      <c r="BY75" s="198"/>
      <c r="BZ75" s="198"/>
      <c r="CA75" s="198"/>
      <c r="CB75" s="198"/>
      <c r="CC75" s="198"/>
      <c r="CD75" s="198"/>
      <c r="CE75" s="198"/>
      <c r="CF75" s="198"/>
      <c r="CG75" s="198"/>
      <c r="CH75" s="198"/>
      <c r="CI75" s="198"/>
      <c r="CJ75" s="198"/>
      <c r="CK75" s="198"/>
      <c r="CL75" s="198"/>
      <c r="CM75" s="198"/>
      <c r="CN75" s="198"/>
      <c r="CO75" s="198"/>
      <c r="CP75" s="198"/>
      <c r="CQ75" s="198"/>
      <c r="CR75" s="198"/>
      <c r="CS75" s="198"/>
      <c r="CT75" s="198"/>
      <c r="CU75" s="198"/>
      <c r="CV75" s="198"/>
      <c r="CW75" s="198"/>
      <c r="CX75" s="198"/>
      <c r="CY75" s="198"/>
      <c r="CZ75" s="198"/>
      <c r="DA75" s="198"/>
      <c r="DB75" s="198"/>
      <c r="DC75" s="198"/>
      <c r="DD75" s="198"/>
      <c r="DE75" s="198"/>
      <c r="DF75" s="198"/>
      <c r="DG75" s="198"/>
      <c r="DH75" s="198"/>
      <c r="DI75" s="198"/>
      <c r="DJ75" s="198"/>
      <c r="DK75" s="198"/>
      <c r="DL75" s="198"/>
      <c r="DM75" s="198"/>
      <c r="DN75" s="198"/>
      <c r="DO75" s="198"/>
      <c r="DP75" s="198"/>
      <c r="DQ75" s="198"/>
      <c r="DR75" s="198"/>
      <c r="DS75" s="198"/>
      <c r="DT75" s="198"/>
      <c r="DU75" s="198"/>
      <c r="DV75" s="198"/>
      <c r="DW75" s="198"/>
      <c r="DX75" s="198"/>
      <c r="DY75" s="198"/>
      <c r="DZ75" s="198"/>
      <c r="EA75" s="198"/>
      <c r="EB75" s="198"/>
      <c r="EC75" s="198"/>
      <c r="ED75" s="198"/>
      <c r="EE75" s="198"/>
      <c r="EF75" s="198"/>
      <c r="EG75" s="198"/>
      <c r="EH75" s="198"/>
      <c r="EI75" s="198"/>
      <c r="EJ75" s="198"/>
      <c r="EK75" s="198"/>
      <c r="EL75" s="198"/>
      <c r="EM75" s="198"/>
      <c r="EN75" s="198"/>
      <c r="EO75" s="198"/>
      <c r="EP75" s="198"/>
      <c r="EQ75" s="198"/>
      <c r="ER75" s="198"/>
      <c r="ES75" s="198"/>
      <c r="ET75" s="198"/>
      <c r="EU75" s="198"/>
      <c r="EV75" s="198"/>
      <c r="EW75" s="198"/>
      <c r="EX75" s="198"/>
      <c r="EY75" s="198"/>
      <c r="EZ75" s="198"/>
      <c r="FA75" s="198"/>
      <c r="FB75" s="198"/>
      <c r="FC75" s="198"/>
      <c r="FD75" s="198"/>
      <c r="FE75" s="198"/>
      <c r="FF75" s="198"/>
      <c r="FG75" s="198"/>
      <c r="FH75" s="198"/>
      <c r="FI75" s="198"/>
      <c r="FJ75" s="198"/>
      <c r="FK75" s="198"/>
      <c r="FL75" s="198"/>
      <c r="FM75" s="198"/>
      <c r="FN75" s="198"/>
      <c r="FO75" s="198"/>
      <c r="FP75" s="201"/>
      <c r="FQ75" s="202" t="s">
        <v>756</v>
      </c>
      <c r="FR75" s="203" t="s">
        <v>389</v>
      </c>
      <c r="FS75" s="203" t="s">
        <v>438</v>
      </c>
      <c r="FT75" s="203" t="s">
        <v>439</v>
      </c>
      <c r="FU75" s="204">
        <f t="shared" si="0"/>
        <v>0</v>
      </c>
      <c r="FV75" s="205" t="s">
        <v>421</v>
      </c>
    </row>
    <row r="76" spans="1:178" s="174" customFormat="1" ht="11.4">
      <c r="A76" s="196" t="s">
        <v>393</v>
      </c>
      <c r="B76" s="196" t="s">
        <v>385</v>
      </c>
      <c r="C76" s="196" t="s">
        <v>411</v>
      </c>
      <c r="D76" s="196" t="s">
        <v>291</v>
      </c>
      <c r="E76" s="197" t="s">
        <v>440</v>
      </c>
      <c r="F76" s="196" t="s">
        <v>388</v>
      </c>
      <c r="G76" s="196"/>
      <c r="H76" s="198"/>
      <c r="I76" s="200">
        <f>300-300</f>
        <v>0</v>
      </c>
      <c r="J76" s="198"/>
      <c r="K76" s="200">
        <f>300-300</f>
        <v>0</v>
      </c>
      <c r="L76" s="198"/>
      <c r="M76" s="198"/>
      <c r="N76" s="200">
        <f>300-300</f>
        <v>0</v>
      </c>
      <c r="O76" s="198"/>
      <c r="P76" s="198"/>
      <c r="Q76" s="198"/>
      <c r="R76" s="198"/>
      <c r="S76" s="198"/>
      <c r="T76" s="198"/>
      <c r="U76" s="198"/>
      <c r="V76" s="198"/>
      <c r="W76" s="198"/>
      <c r="X76" s="198"/>
      <c r="Y76" s="198"/>
      <c r="Z76" s="198"/>
      <c r="AA76" s="198"/>
      <c r="AB76" s="198"/>
      <c r="AC76" s="198"/>
      <c r="AD76" s="198"/>
      <c r="AE76" s="198"/>
      <c r="AF76" s="198"/>
      <c r="AG76" s="200">
        <f>300-300</f>
        <v>0</v>
      </c>
      <c r="AH76" s="206">
        <f>0+80</f>
        <v>80</v>
      </c>
      <c r="AI76" s="198"/>
      <c r="AJ76" s="198"/>
      <c r="AK76" s="198"/>
      <c r="AL76" s="198"/>
      <c r="AM76" s="198"/>
      <c r="AN76" s="198"/>
      <c r="AO76" s="206">
        <f>0+20</f>
        <v>20</v>
      </c>
      <c r="AP76" s="198"/>
      <c r="AQ76" s="198"/>
      <c r="AR76" s="198"/>
      <c r="AS76" s="198"/>
      <c r="AT76" s="198"/>
      <c r="AU76" s="198"/>
      <c r="AV76" s="198"/>
      <c r="AW76" s="198"/>
      <c r="AX76" s="198"/>
      <c r="AY76" s="198"/>
      <c r="AZ76" s="198"/>
      <c r="BA76" s="198"/>
      <c r="BB76" s="198"/>
      <c r="BC76" s="198"/>
      <c r="BD76" s="198"/>
      <c r="BE76" s="198"/>
      <c r="BF76" s="198"/>
      <c r="BG76" s="200">
        <f>300-300</f>
        <v>0</v>
      </c>
      <c r="BH76" s="198"/>
      <c r="BI76" s="198"/>
      <c r="BJ76" s="198"/>
      <c r="BK76" s="198"/>
      <c r="BL76" s="198"/>
      <c r="BM76" s="198"/>
      <c r="BN76" s="198"/>
      <c r="BO76" s="198"/>
      <c r="BP76" s="198"/>
      <c r="BQ76" s="198"/>
      <c r="BR76" s="198"/>
      <c r="BS76" s="198"/>
      <c r="BT76" s="198"/>
      <c r="BU76" s="198"/>
      <c r="BV76" s="198"/>
      <c r="BW76" s="198"/>
      <c r="BX76" s="198"/>
      <c r="BY76" s="198"/>
      <c r="BZ76" s="198"/>
      <c r="CA76" s="198"/>
      <c r="CB76" s="198"/>
      <c r="CC76" s="198"/>
      <c r="CD76" s="198"/>
      <c r="CE76" s="198"/>
      <c r="CF76" s="198"/>
      <c r="CG76" s="198"/>
      <c r="CH76" s="198"/>
      <c r="CI76" s="198"/>
      <c r="CJ76" s="198"/>
      <c r="CK76" s="198"/>
      <c r="CL76" s="198"/>
      <c r="CM76" s="198"/>
      <c r="CN76" s="198"/>
      <c r="CO76" s="198"/>
      <c r="CP76" s="198"/>
      <c r="CQ76" s="198"/>
      <c r="CR76" s="198"/>
      <c r="CS76" s="198"/>
      <c r="CT76" s="198"/>
      <c r="CU76" s="198"/>
      <c r="CV76" s="198"/>
      <c r="CW76" s="198"/>
      <c r="CX76" s="198"/>
      <c r="CY76" s="198"/>
      <c r="CZ76" s="198"/>
      <c r="DA76" s="198"/>
      <c r="DB76" s="198"/>
      <c r="DC76" s="198"/>
      <c r="DD76" s="198"/>
      <c r="DE76" s="198"/>
      <c r="DF76" s="198"/>
      <c r="DG76" s="198"/>
      <c r="DH76" s="198"/>
      <c r="DI76" s="198"/>
      <c r="DJ76" s="198"/>
      <c r="DK76" s="198"/>
      <c r="DL76" s="198"/>
      <c r="DM76" s="198"/>
      <c r="DN76" s="198"/>
      <c r="DO76" s="198"/>
      <c r="DP76" s="198"/>
      <c r="DQ76" s="198"/>
      <c r="DR76" s="198"/>
      <c r="DS76" s="198"/>
      <c r="DT76" s="198"/>
      <c r="DU76" s="198"/>
      <c r="DV76" s="198"/>
      <c r="DW76" s="198"/>
      <c r="DX76" s="198"/>
      <c r="DY76" s="198"/>
      <c r="DZ76" s="198"/>
      <c r="EA76" s="198"/>
      <c r="EB76" s="198"/>
      <c r="EC76" s="198"/>
      <c r="ED76" s="198"/>
      <c r="EE76" s="198"/>
      <c r="EF76" s="198"/>
      <c r="EG76" s="198"/>
      <c r="EH76" s="198"/>
      <c r="EI76" s="198"/>
      <c r="EJ76" s="198"/>
      <c r="EK76" s="198"/>
      <c r="EL76" s="198"/>
      <c r="EM76" s="198"/>
      <c r="EN76" s="198"/>
      <c r="EO76" s="198"/>
      <c r="EP76" s="198"/>
      <c r="EQ76" s="198"/>
      <c r="ER76" s="198"/>
      <c r="ES76" s="198"/>
      <c r="ET76" s="198"/>
      <c r="EU76" s="198"/>
      <c r="EV76" s="198"/>
      <c r="EW76" s="198"/>
      <c r="EX76" s="198"/>
      <c r="EY76" s="198"/>
      <c r="EZ76" s="198"/>
      <c r="FA76" s="198"/>
      <c r="FB76" s="198"/>
      <c r="FC76" s="198"/>
      <c r="FD76" s="198"/>
      <c r="FE76" s="198"/>
      <c r="FF76" s="198"/>
      <c r="FG76" s="198"/>
      <c r="FH76" s="198"/>
      <c r="FI76" s="198"/>
      <c r="FJ76" s="198"/>
      <c r="FK76" s="198"/>
      <c r="FL76" s="198"/>
      <c r="FM76" s="198"/>
      <c r="FN76" s="198"/>
      <c r="FO76" s="198"/>
      <c r="FP76" s="201"/>
      <c r="FQ76" s="202" t="s">
        <v>756</v>
      </c>
      <c r="FR76" s="203" t="s">
        <v>389</v>
      </c>
      <c r="FS76" s="203"/>
      <c r="FT76" s="203" t="s">
        <v>423</v>
      </c>
      <c r="FU76" s="204">
        <f t="shared" si="0"/>
        <v>100</v>
      </c>
      <c r="FV76" s="205" t="s">
        <v>424</v>
      </c>
    </row>
    <row r="77" spans="1:178" s="174" customFormat="1" ht="11.4">
      <c r="A77" s="196" t="s">
        <v>393</v>
      </c>
      <c r="B77" s="196" t="s">
        <v>385</v>
      </c>
      <c r="C77" s="196" t="s">
        <v>411</v>
      </c>
      <c r="D77" s="196" t="s">
        <v>1</v>
      </c>
      <c r="E77" s="197" t="s">
        <v>440</v>
      </c>
      <c r="F77" s="196" t="s">
        <v>388</v>
      </c>
      <c r="G77" s="196"/>
      <c r="H77" s="198"/>
      <c r="I77" s="198"/>
      <c r="J77" s="198"/>
      <c r="K77" s="198"/>
      <c r="L77" s="199">
        <f>300-300+300</f>
        <v>300</v>
      </c>
      <c r="M77" s="198"/>
      <c r="N77" s="206">
        <f>0+20</f>
        <v>20</v>
      </c>
      <c r="O77" s="200">
        <f t="shared" ref="O77:P77" si="65">300-300</f>
        <v>0</v>
      </c>
      <c r="P77" s="200">
        <f t="shared" si="65"/>
        <v>0</v>
      </c>
      <c r="Q77" s="198"/>
      <c r="R77" s="198"/>
      <c r="S77" s="198"/>
      <c r="T77" s="198"/>
      <c r="U77" s="198"/>
      <c r="V77" s="198"/>
      <c r="W77" s="198"/>
      <c r="X77" s="198"/>
      <c r="Y77" s="200">
        <f t="shared" ref="Y77:Z77" si="66">300-300</f>
        <v>0</v>
      </c>
      <c r="Z77" s="200">
        <f t="shared" si="66"/>
        <v>0</v>
      </c>
      <c r="AA77" s="198"/>
      <c r="AB77" s="200">
        <f t="shared" ref="AB77:AF77" si="67">300-300</f>
        <v>0</v>
      </c>
      <c r="AC77" s="200">
        <f t="shared" si="67"/>
        <v>0</v>
      </c>
      <c r="AD77" s="200">
        <f t="shared" si="67"/>
        <v>0</v>
      </c>
      <c r="AE77" s="200">
        <f t="shared" si="67"/>
        <v>0</v>
      </c>
      <c r="AF77" s="200">
        <f t="shared" si="67"/>
        <v>0</v>
      </c>
      <c r="AG77" s="198"/>
      <c r="AH77" s="200">
        <f t="shared" ref="AH77:AI77" si="68">300-300</f>
        <v>0</v>
      </c>
      <c r="AI77" s="200">
        <f t="shared" si="68"/>
        <v>0</v>
      </c>
      <c r="AJ77" s="198"/>
      <c r="AK77" s="198"/>
      <c r="AL77" s="198"/>
      <c r="AM77" s="200">
        <f>300-300</f>
        <v>0</v>
      </c>
      <c r="AN77" s="198"/>
      <c r="AO77" s="200">
        <f>300-300</f>
        <v>0</v>
      </c>
      <c r="AP77" s="198"/>
      <c r="AQ77" s="198"/>
      <c r="AR77" s="198"/>
      <c r="AS77" s="198"/>
      <c r="AT77" s="198"/>
      <c r="AU77" s="199">
        <f>300-300+160</f>
        <v>160</v>
      </c>
      <c r="AV77" s="198"/>
      <c r="AW77" s="198"/>
      <c r="AX77" s="198"/>
      <c r="AY77" s="198"/>
      <c r="AZ77" s="198"/>
      <c r="BA77" s="198"/>
      <c r="BB77" s="198"/>
      <c r="BC77" s="200">
        <f>300-300</f>
        <v>0</v>
      </c>
      <c r="BD77" s="198"/>
      <c r="BE77" s="198"/>
      <c r="BF77" s="198"/>
      <c r="BG77" s="206">
        <f>0+100</f>
        <v>100</v>
      </c>
      <c r="BH77" s="198"/>
      <c r="BI77" s="198"/>
      <c r="BJ77" s="198"/>
      <c r="BK77" s="198"/>
      <c r="BL77" s="198"/>
      <c r="BM77" s="198"/>
      <c r="BN77" s="198"/>
      <c r="BO77" s="198"/>
      <c r="BP77" s="198"/>
      <c r="BQ77" s="198"/>
      <c r="BR77" s="198"/>
      <c r="BS77" s="198"/>
      <c r="BT77" s="198"/>
      <c r="BU77" s="198"/>
      <c r="BV77" s="198"/>
      <c r="BW77" s="198"/>
      <c r="BX77" s="198"/>
      <c r="BY77" s="198"/>
      <c r="BZ77" s="198"/>
      <c r="CA77" s="198"/>
      <c r="CB77" s="198"/>
      <c r="CC77" s="198"/>
      <c r="CD77" s="198"/>
      <c r="CE77" s="198"/>
      <c r="CF77" s="198"/>
      <c r="CG77" s="198"/>
      <c r="CH77" s="198"/>
      <c r="CI77" s="198"/>
      <c r="CJ77" s="198"/>
      <c r="CK77" s="198"/>
      <c r="CL77" s="198"/>
      <c r="CM77" s="198"/>
      <c r="CN77" s="198"/>
      <c r="CO77" s="198"/>
      <c r="CP77" s="198"/>
      <c r="CQ77" s="198"/>
      <c r="CR77" s="198"/>
      <c r="CS77" s="198"/>
      <c r="CT77" s="198"/>
      <c r="CU77" s="198"/>
      <c r="CV77" s="198"/>
      <c r="CW77" s="198"/>
      <c r="CX77" s="198"/>
      <c r="CY77" s="198"/>
      <c r="CZ77" s="198"/>
      <c r="DA77" s="198"/>
      <c r="DB77" s="198"/>
      <c r="DC77" s="198"/>
      <c r="DD77" s="198"/>
      <c r="DE77" s="198"/>
      <c r="DF77" s="198"/>
      <c r="DG77" s="198"/>
      <c r="DH77" s="198"/>
      <c r="DI77" s="198"/>
      <c r="DJ77" s="198"/>
      <c r="DK77" s="198"/>
      <c r="DL77" s="198"/>
      <c r="DM77" s="198"/>
      <c r="DN77" s="198"/>
      <c r="DO77" s="198"/>
      <c r="DP77" s="198"/>
      <c r="DQ77" s="198"/>
      <c r="DR77" s="198"/>
      <c r="DS77" s="198"/>
      <c r="DT77" s="198"/>
      <c r="DU77" s="198"/>
      <c r="DV77" s="198"/>
      <c r="DW77" s="198"/>
      <c r="DX77" s="198"/>
      <c r="DY77" s="198"/>
      <c r="DZ77" s="198"/>
      <c r="EA77" s="198"/>
      <c r="EB77" s="198"/>
      <c r="EC77" s="198"/>
      <c r="ED77" s="198"/>
      <c r="EE77" s="200">
        <f t="shared" ref="EE77:EF77" si="69">300-300</f>
        <v>0</v>
      </c>
      <c r="EF77" s="200">
        <f t="shared" si="69"/>
        <v>0</v>
      </c>
      <c r="EG77" s="198"/>
      <c r="EH77" s="198"/>
      <c r="EI77" s="200">
        <f t="shared" ref="EI77:EJ77" si="70">300-300</f>
        <v>0</v>
      </c>
      <c r="EJ77" s="200">
        <f t="shared" si="70"/>
        <v>0</v>
      </c>
      <c r="EK77" s="198"/>
      <c r="EL77" s="198"/>
      <c r="EM77" s="198"/>
      <c r="EN77" s="198"/>
      <c r="EO77" s="198"/>
      <c r="EP77" s="198"/>
      <c r="EQ77" s="200">
        <f t="shared" ref="EQ77:ES77" si="71">300-300</f>
        <v>0</v>
      </c>
      <c r="ER77" s="200">
        <f t="shared" si="71"/>
        <v>0</v>
      </c>
      <c r="ES77" s="200">
        <f t="shared" si="71"/>
        <v>0</v>
      </c>
      <c r="ET77" s="198"/>
      <c r="EU77" s="198"/>
      <c r="EV77" s="198"/>
      <c r="EW77" s="198"/>
      <c r="EX77" s="198"/>
      <c r="EY77" s="198"/>
      <c r="EZ77" s="198"/>
      <c r="FA77" s="198"/>
      <c r="FB77" s="198"/>
      <c r="FC77" s="198"/>
      <c r="FD77" s="198"/>
      <c r="FE77" s="198"/>
      <c r="FF77" s="198"/>
      <c r="FG77" s="198"/>
      <c r="FH77" s="198"/>
      <c r="FI77" s="198"/>
      <c r="FJ77" s="198"/>
      <c r="FK77" s="200">
        <f>300-300</f>
        <v>0</v>
      </c>
      <c r="FL77" s="198"/>
      <c r="FM77" s="199">
        <f>300-300+10</f>
        <v>10</v>
      </c>
      <c r="FN77" s="198"/>
      <c r="FO77" s="198"/>
      <c r="FP77" s="201"/>
      <c r="FQ77" s="202" t="s">
        <v>756</v>
      </c>
      <c r="FR77" s="203" t="s">
        <v>389</v>
      </c>
      <c r="FS77" s="203"/>
      <c r="FT77" s="203" t="s">
        <v>423</v>
      </c>
      <c r="FU77" s="204">
        <f t="shared" si="0"/>
        <v>590</v>
      </c>
      <c r="FV77" s="205" t="s">
        <v>424</v>
      </c>
    </row>
    <row r="78" spans="1:178" s="174" customFormat="1" ht="11.4">
      <c r="A78" s="196" t="s">
        <v>393</v>
      </c>
      <c r="B78" s="196" t="s">
        <v>385</v>
      </c>
      <c r="C78" s="196" t="s">
        <v>411</v>
      </c>
      <c r="D78" s="196" t="s">
        <v>293</v>
      </c>
      <c r="E78" s="197" t="s">
        <v>440</v>
      </c>
      <c r="F78" s="196" t="s">
        <v>388</v>
      </c>
      <c r="G78" s="196"/>
      <c r="H78" s="198"/>
      <c r="I78" s="198"/>
      <c r="J78" s="200">
        <f>300-300</f>
        <v>0</v>
      </c>
      <c r="K78" s="198"/>
      <c r="L78" s="198"/>
      <c r="M78" s="198"/>
      <c r="N78" s="198"/>
      <c r="O78" s="198"/>
      <c r="P78" s="198"/>
      <c r="Q78" s="198"/>
      <c r="R78" s="198"/>
      <c r="S78" s="198"/>
      <c r="T78" s="198"/>
      <c r="U78" s="198"/>
      <c r="V78" s="198"/>
      <c r="W78" s="198"/>
      <c r="X78" s="198"/>
      <c r="Y78" s="198"/>
      <c r="Z78" s="198"/>
      <c r="AA78" s="198"/>
      <c r="AB78" s="198"/>
      <c r="AC78" s="198"/>
      <c r="AD78" s="198"/>
      <c r="AE78" s="198"/>
      <c r="AF78" s="198"/>
      <c r="AG78" s="198"/>
      <c r="AH78" s="198"/>
      <c r="AI78" s="198"/>
      <c r="AJ78" s="198"/>
      <c r="AK78" s="198"/>
      <c r="AL78" s="198"/>
      <c r="AM78" s="198"/>
      <c r="AN78" s="198"/>
      <c r="AO78" s="198"/>
      <c r="AP78" s="198"/>
      <c r="AQ78" s="198"/>
      <c r="AR78" s="198"/>
      <c r="AS78" s="198"/>
      <c r="AT78" s="198"/>
      <c r="AU78" s="198"/>
      <c r="AV78" s="198"/>
      <c r="AW78" s="198"/>
      <c r="AX78" s="198"/>
      <c r="AY78" s="198"/>
      <c r="AZ78" s="198"/>
      <c r="BA78" s="198"/>
      <c r="BB78" s="198"/>
      <c r="BC78" s="198"/>
      <c r="BD78" s="198"/>
      <c r="BE78" s="198"/>
      <c r="BF78" s="198"/>
      <c r="BG78" s="198"/>
      <c r="BH78" s="198"/>
      <c r="BI78" s="198"/>
      <c r="BJ78" s="198"/>
      <c r="BK78" s="198"/>
      <c r="BL78" s="198"/>
      <c r="BM78" s="198"/>
      <c r="BN78" s="198"/>
      <c r="BO78" s="198"/>
      <c r="BP78" s="198"/>
      <c r="BQ78" s="198"/>
      <c r="BR78" s="198"/>
      <c r="BS78" s="198"/>
      <c r="BT78" s="198"/>
      <c r="BU78" s="198"/>
      <c r="BV78" s="198"/>
      <c r="BW78" s="198"/>
      <c r="BX78" s="198"/>
      <c r="BY78" s="198"/>
      <c r="BZ78" s="198"/>
      <c r="CA78" s="198"/>
      <c r="CB78" s="198"/>
      <c r="CC78" s="198"/>
      <c r="CD78" s="198"/>
      <c r="CE78" s="198"/>
      <c r="CF78" s="198"/>
      <c r="CG78" s="198"/>
      <c r="CH78" s="198"/>
      <c r="CI78" s="198"/>
      <c r="CJ78" s="198"/>
      <c r="CK78" s="198"/>
      <c r="CL78" s="198"/>
      <c r="CM78" s="198"/>
      <c r="CN78" s="198"/>
      <c r="CO78" s="198"/>
      <c r="CP78" s="198"/>
      <c r="CQ78" s="198"/>
      <c r="CR78" s="198"/>
      <c r="CS78" s="198"/>
      <c r="CT78" s="198"/>
      <c r="CU78" s="198"/>
      <c r="CV78" s="198"/>
      <c r="CW78" s="198"/>
      <c r="CX78" s="198"/>
      <c r="CY78" s="198"/>
      <c r="CZ78" s="198"/>
      <c r="DA78" s="198"/>
      <c r="DB78" s="198"/>
      <c r="DC78" s="198"/>
      <c r="DD78" s="198"/>
      <c r="DE78" s="198"/>
      <c r="DF78" s="198"/>
      <c r="DG78" s="198"/>
      <c r="DH78" s="198"/>
      <c r="DI78" s="198"/>
      <c r="DJ78" s="198"/>
      <c r="DK78" s="198"/>
      <c r="DL78" s="198"/>
      <c r="DM78" s="198"/>
      <c r="DN78" s="198"/>
      <c r="DO78" s="198"/>
      <c r="DP78" s="198"/>
      <c r="DQ78" s="198"/>
      <c r="DR78" s="198"/>
      <c r="DS78" s="198"/>
      <c r="DT78" s="198"/>
      <c r="DU78" s="198"/>
      <c r="DV78" s="198"/>
      <c r="DW78" s="198"/>
      <c r="DX78" s="198"/>
      <c r="DY78" s="198"/>
      <c r="DZ78" s="198"/>
      <c r="EA78" s="198"/>
      <c r="EB78" s="198"/>
      <c r="EC78" s="198"/>
      <c r="ED78" s="198"/>
      <c r="EE78" s="198"/>
      <c r="EF78" s="198"/>
      <c r="EG78" s="198"/>
      <c r="EH78" s="198"/>
      <c r="EI78" s="198"/>
      <c r="EJ78" s="198"/>
      <c r="EK78" s="198"/>
      <c r="EL78" s="198"/>
      <c r="EM78" s="198"/>
      <c r="EN78" s="198"/>
      <c r="EO78" s="198"/>
      <c r="EP78" s="198"/>
      <c r="EQ78" s="198"/>
      <c r="ER78" s="198"/>
      <c r="ES78" s="198"/>
      <c r="ET78" s="198"/>
      <c r="EU78" s="198"/>
      <c r="EV78" s="198"/>
      <c r="EW78" s="198"/>
      <c r="EX78" s="198"/>
      <c r="EY78" s="198"/>
      <c r="EZ78" s="198"/>
      <c r="FA78" s="198"/>
      <c r="FB78" s="198"/>
      <c r="FC78" s="198"/>
      <c r="FD78" s="198"/>
      <c r="FE78" s="198"/>
      <c r="FF78" s="198"/>
      <c r="FG78" s="198"/>
      <c r="FH78" s="198"/>
      <c r="FI78" s="198"/>
      <c r="FJ78" s="198"/>
      <c r="FK78" s="198"/>
      <c r="FL78" s="198"/>
      <c r="FM78" s="198"/>
      <c r="FN78" s="198"/>
      <c r="FO78" s="198"/>
      <c r="FP78" s="201"/>
      <c r="FQ78" s="202" t="s">
        <v>756</v>
      </c>
      <c r="FR78" s="203" t="s">
        <v>389</v>
      </c>
      <c r="FS78" s="203"/>
      <c r="FT78" s="203" t="s">
        <v>423</v>
      </c>
      <c r="FU78" s="204">
        <f t="shared" si="0"/>
        <v>0</v>
      </c>
      <c r="FV78" s="205" t="s">
        <v>424</v>
      </c>
    </row>
    <row r="79" spans="1:178" s="174" customFormat="1" ht="11.4">
      <c r="A79" s="196" t="s">
        <v>393</v>
      </c>
      <c r="B79" s="196" t="s">
        <v>385</v>
      </c>
      <c r="C79" s="196" t="s">
        <v>411</v>
      </c>
      <c r="D79" s="196" t="s">
        <v>291</v>
      </c>
      <c r="E79" s="197" t="s">
        <v>441</v>
      </c>
      <c r="F79" s="196" t="s">
        <v>388</v>
      </c>
      <c r="G79" s="196"/>
      <c r="H79" s="198"/>
      <c r="I79" s="198"/>
      <c r="J79" s="198"/>
      <c r="K79" s="198"/>
      <c r="L79" s="198"/>
      <c r="M79" s="198"/>
      <c r="N79" s="198"/>
      <c r="O79" s="198"/>
      <c r="P79" s="198"/>
      <c r="Q79" s="200">
        <f>100-100</f>
        <v>0</v>
      </c>
      <c r="R79" s="198"/>
      <c r="S79" s="198"/>
      <c r="T79" s="200">
        <f>20-20</f>
        <v>0</v>
      </c>
      <c r="U79" s="198"/>
      <c r="V79" s="198"/>
      <c r="W79" s="198"/>
      <c r="X79" s="198"/>
      <c r="Y79" s="198"/>
      <c r="Z79" s="198"/>
      <c r="AA79" s="198"/>
      <c r="AB79" s="198"/>
      <c r="AC79" s="198"/>
      <c r="AD79" s="198"/>
      <c r="AE79" s="198"/>
      <c r="AF79" s="198"/>
      <c r="AG79" s="200">
        <f>200-200</f>
        <v>0</v>
      </c>
      <c r="AH79" s="206">
        <f>0+80</f>
        <v>80</v>
      </c>
      <c r="AI79" s="198"/>
      <c r="AJ79" s="198"/>
      <c r="AK79" s="198"/>
      <c r="AL79" s="198"/>
      <c r="AM79" s="198"/>
      <c r="AN79" s="198"/>
      <c r="AO79" s="206">
        <f>0+20</f>
        <v>20</v>
      </c>
      <c r="AP79" s="198"/>
      <c r="AQ79" s="198"/>
      <c r="AR79" s="198"/>
      <c r="AS79" s="198"/>
      <c r="AT79" s="198"/>
      <c r="AU79" s="198"/>
      <c r="AV79" s="198"/>
      <c r="AW79" s="198"/>
      <c r="AX79" s="198"/>
      <c r="AY79" s="198"/>
      <c r="AZ79" s="198"/>
      <c r="BA79" s="198"/>
      <c r="BB79" s="198"/>
      <c r="BC79" s="198"/>
      <c r="BD79" s="198"/>
      <c r="BE79" s="198"/>
      <c r="BF79" s="198"/>
      <c r="BG79" s="200">
        <f>100-100</f>
        <v>0</v>
      </c>
      <c r="BH79" s="198"/>
      <c r="BI79" s="198"/>
      <c r="BJ79" s="198"/>
      <c r="BK79" s="198"/>
      <c r="BL79" s="198"/>
      <c r="BM79" s="198"/>
      <c r="BN79" s="198"/>
      <c r="BO79" s="198"/>
      <c r="BP79" s="198"/>
      <c r="BQ79" s="198"/>
      <c r="BR79" s="198"/>
      <c r="BS79" s="198"/>
      <c r="BT79" s="198"/>
      <c r="BU79" s="198"/>
      <c r="BV79" s="198"/>
      <c r="BW79" s="198"/>
      <c r="BX79" s="198"/>
      <c r="BY79" s="198"/>
      <c r="BZ79" s="198"/>
      <c r="CA79" s="198"/>
      <c r="CB79" s="198"/>
      <c r="CC79" s="198"/>
      <c r="CD79" s="198"/>
      <c r="CE79" s="198"/>
      <c r="CF79" s="198"/>
      <c r="CG79" s="198"/>
      <c r="CH79" s="198"/>
      <c r="CI79" s="198"/>
      <c r="CJ79" s="198"/>
      <c r="CK79" s="198"/>
      <c r="CL79" s="198"/>
      <c r="CM79" s="198"/>
      <c r="CN79" s="198"/>
      <c r="CO79" s="198"/>
      <c r="CP79" s="198"/>
      <c r="CQ79" s="198"/>
      <c r="CR79" s="198"/>
      <c r="CS79" s="198"/>
      <c r="CT79" s="198"/>
      <c r="CU79" s="198"/>
      <c r="CV79" s="198"/>
      <c r="CW79" s="198"/>
      <c r="CX79" s="198"/>
      <c r="CY79" s="198"/>
      <c r="CZ79" s="198"/>
      <c r="DA79" s="198"/>
      <c r="DB79" s="198"/>
      <c r="DC79" s="198"/>
      <c r="DD79" s="198"/>
      <c r="DE79" s="198"/>
      <c r="DF79" s="198"/>
      <c r="DG79" s="198"/>
      <c r="DH79" s="198"/>
      <c r="DI79" s="198"/>
      <c r="DJ79" s="198"/>
      <c r="DK79" s="198"/>
      <c r="DL79" s="198"/>
      <c r="DM79" s="198"/>
      <c r="DN79" s="198"/>
      <c r="DO79" s="198"/>
      <c r="DP79" s="198"/>
      <c r="DQ79" s="198"/>
      <c r="DR79" s="198"/>
      <c r="DS79" s="198"/>
      <c r="DT79" s="198"/>
      <c r="DU79" s="198"/>
      <c r="DV79" s="198"/>
      <c r="DW79" s="198"/>
      <c r="DX79" s="198"/>
      <c r="DY79" s="198"/>
      <c r="DZ79" s="198"/>
      <c r="EA79" s="198"/>
      <c r="EB79" s="198"/>
      <c r="EC79" s="198"/>
      <c r="ED79" s="198"/>
      <c r="EE79" s="198"/>
      <c r="EF79" s="198"/>
      <c r="EG79" s="198"/>
      <c r="EH79" s="198"/>
      <c r="EI79" s="198"/>
      <c r="EJ79" s="198"/>
      <c r="EK79" s="198"/>
      <c r="EL79" s="198"/>
      <c r="EM79" s="198"/>
      <c r="EN79" s="198"/>
      <c r="EO79" s="198"/>
      <c r="EP79" s="198"/>
      <c r="EQ79" s="198"/>
      <c r="ER79" s="198"/>
      <c r="ES79" s="198"/>
      <c r="ET79" s="198"/>
      <c r="EU79" s="198"/>
      <c r="EV79" s="198"/>
      <c r="EW79" s="198"/>
      <c r="EX79" s="198"/>
      <c r="EY79" s="198"/>
      <c r="EZ79" s="198"/>
      <c r="FA79" s="198"/>
      <c r="FB79" s="198"/>
      <c r="FC79" s="198"/>
      <c r="FD79" s="198"/>
      <c r="FE79" s="198"/>
      <c r="FF79" s="198"/>
      <c r="FG79" s="198"/>
      <c r="FH79" s="198"/>
      <c r="FI79" s="198"/>
      <c r="FJ79" s="198"/>
      <c r="FK79" s="198"/>
      <c r="FL79" s="198"/>
      <c r="FM79" s="198"/>
      <c r="FN79" s="198"/>
      <c r="FO79" s="198"/>
      <c r="FP79" s="201"/>
      <c r="FQ79" s="202" t="s">
        <v>756</v>
      </c>
      <c r="FR79" s="203" t="s">
        <v>389</v>
      </c>
      <c r="FS79" s="203"/>
      <c r="FT79" s="203" t="s">
        <v>423</v>
      </c>
      <c r="FU79" s="204">
        <f t="shared" si="0"/>
        <v>100</v>
      </c>
      <c r="FV79" s="205" t="s">
        <v>424</v>
      </c>
    </row>
    <row r="80" spans="1:178" s="174" customFormat="1" ht="11.4">
      <c r="A80" s="196" t="s">
        <v>393</v>
      </c>
      <c r="B80" s="196" t="s">
        <v>385</v>
      </c>
      <c r="C80" s="196" t="s">
        <v>411</v>
      </c>
      <c r="D80" s="196" t="s">
        <v>1</v>
      </c>
      <c r="E80" s="197" t="s">
        <v>441</v>
      </c>
      <c r="F80" s="196" t="s">
        <v>388</v>
      </c>
      <c r="G80" s="196"/>
      <c r="H80" s="198"/>
      <c r="I80" s="198"/>
      <c r="J80" s="198"/>
      <c r="K80" s="198"/>
      <c r="L80" s="198"/>
      <c r="M80" s="198"/>
      <c r="N80" s="198"/>
      <c r="O80" s="198"/>
      <c r="P80" s="198"/>
      <c r="Q80" s="198"/>
      <c r="R80" s="198"/>
      <c r="S80" s="200">
        <f>20-20</f>
        <v>0</v>
      </c>
      <c r="T80" s="198"/>
      <c r="U80" s="200">
        <f t="shared" ref="U80:V80" si="72">100-100</f>
        <v>0</v>
      </c>
      <c r="V80" s="200">
        <f t="shared" si="72"/>
        <v>0</v>
      </c>
      <c r="W80" s="198"/>
      <c r="X80" s="198"/>
      <c r="Y80" s="200">
        <f t="shared" ref="Y80:Z80" si="73">100-100</f>
        <v>0</v>
      </c>
      <c r="Z80" s="200">
        <f t="shared" si="73"/>
        <v>0</v>
      </c>
      <c r="AA80" s="200">
        <f t="shared" ref="AA80:AB80" si="74">200-200</f>
        <v>0</v>
      </c>
      <c r="AB80" s="200">
        <f t="shared" si="74"/>
        <v>0</v>
      </c>
      <c r="AC80" s="200">
        <f t="shared" ref="AC80:AD80" si="75">100-100</f>
        <v>0</v>
      </c>
      <c r="AD80" s="200">
        <f t="shared" si="75"/>
        <v>0</v>
      </c>
      <c r="AE80" s="200">
        <f>200-200</f>
        <v>0</v>
      </c>
      <c r="AF80" s="200">
        <f>100-100</f>
        <v>0</v>
      </c>
      <c r="AG80" s="198"/>
      <c r="AH80" s="200">
        <f>200-200</f>
        <v>0</v>
      </c>
      <c r="AI80" s="200">
        <f>100-100</f>
        <v>0</v>
      </c>
      <c r="AJ80" s="198"/>
      <c r="AK80" s="198"/>
      <c r="AL80" s="198"/>
      <c r="AM80" s="200">
        <f>100-100</f>
        <v>0</v>
      </c>
      <c r="AN80" s="198"/>
      <c r="AO80" s="200">
        <f>100-100</f>
        <v>0</v>
      </c>
      <c r="AP80" s="198"/>
      <c r="AQ80" s="198"/>
      <c r="AR80" s="198"/>
      <c r="AS80" s="198"/>
      <c r="AT80" s="198"/>
      <c r="AU80" s="199">
        <f>200-200+100</f>
        <v>100</v>
      </c>
      <c r="AV80" s="198"/>
      <c r="AW80" s="198"/>
      <c r="AX80" s="198"/>
      <c r="AY80" s="198"/>
      <c r="AZ80" s="198"/>
      <c r="BA80" s="198"/>
      <c r="BB80" s="198"/>
      <c r="BC80" s="198"/>
      <c r="BD80" s="198"/>
      <c r="BE80" s="198"/>
      <c r="BF80" s="198"/>
      <c r="BG80" s="206">
        <f>0+80</f>
        <v>80</v>
      </c>
      <c r="BH80" s="198"/>
      <c r="BI80" s="198"/>
      <c r="BJ80" s="198"/>
      <c r="BK80" s="198"/>
      <c r="BL80" s="198"/>
      <c r="BM80" s="198"/>
      <c r="BN80" s="198"/>
      <c r="BO80" s="198"/>
      <c r="BP80" s="198"/>
      <c r="BQ80" s="198"/>
      <c r="BR80" s="198"/>
      <c r="BS80" s="198"/>
      <c r="BT80" s="198"/>
      <c r="BU80" s="198"/>
      <c r="BV80" s="198"/>
      <c r="BW80" s="198"/>
      <c r="BX80" s="198"/>
      <c r="BY80" s="198"/>
      <c r="BZ80" s="198"/>
      <c r="CA80" s="198"/>
      <c r="CB80" s="198"/>
      <c r="CC80" s="198"/>
      <c r="CD80" s="198"/>
      <c r="CE80" s="198"/>
      <c r="CF80" s="198"/>
      <c r="CG80" s="198"/>
      <c r="CH80" s="198"/>
      <c r="CI80" s="198"/>
      <c r="CJ80" s="198"/>
      <c r="CK80" s="198"/>
      <c r="CL80" s="198"/>
      <c r="CM80" s="198"/>
      <c r="CN80" s="198"/>
      <c r="CO80" s="198"/>
      <c r="CP80" s="198"/>
      <c r="CQ80" s="198"/>
      <c r="CR80" s="198"/>
      <c r="CS80" s="198"/>
      <c r="CT80" s="198"/>
      <c r="CU80" s="198"/>
      <c r="CV80" s="198"/>
      <c r="CW80" s="198"/>
      <c r="CX80" s="198"/>
      <c r="CY80" s="198"/>
      <c r="CZ80" s="198"/>
      <c r="DA80" s="198"/>
      <c r="DB80" s="198"/>
      <c r="DC80" s="198"/>
      <c r="DD80" s="198"/>
      <c r="DE80" s="198"/>
      <c r="DF80" s="198"/>
      <c r="DG80" s="198"/>
      <c r="DH80" s="198"/>
      <c r="DI80" s="198"/>
      <c r="DJ80" s="198"/>
      <c r="DK80" s="198"/>
      <c r="DL80" s="198"/>
      <c r="DM80" s="198"/>
      <c r="DN80" s="198"/>
      <c r="DO80" s="198"/>
      <c r="DP80" s="198"/>
      <c r="DQ80" s="198"/>
      <c r="DR80" s="198"/>
      <c r="DS80" s="198"/>
      <c r="DT80" s="198"/>
      <c r="DU80" s="198"/>
      <c r="DV80" s="198"/>
      <c r="DW80" s="198"/>
      <c r="DX80" s="198"/>
      <c r="DY80" s="198"/>
      <c r="DZ80" s="198"/>
      <c r="EA80" s="198"/>
      <c r="EB80" s="198"/>
      <c r="EC80" s="198"/>
      <c r="ED80" s="198"/>
      <c r="EE80" s="200">
        <f t="shared" ref="EE80:EF80" si="76">30-30</f>
        <v>0</v>
      </c>
      <c r="EF80" s="200">
        <f t="shared" si="76"/>
        <v>0</v>
      </c>
      <c r="EG80" s="198"/>
      <c r="EH80" s="198"/>
      <c r="EI80" s="200">
        <f t="shared" ref="EI80:EJ80" si="77">30-30</f>
        <v>0</v>
      </c>
      <c r="EJ80" s="200">
        <f t="shared" si="77"/>
        <v>0</v>
      </c>
      <c r="EK80" s="198"/>
      <c r="EL80" s="198"/>
      <c r="EM80" s="198"/>
      <c r="EN80" s="200">
        <f>30-30</f>
        <v>0</v>
      </c>
      <c r="EO80" s="198"/>
      <c r="EP80" s="200">
        <f t="shared" ref="EP80:ES80" si="78">30-30</f>
        <v>0</v>
      </c>
      <c r="EQ80" s="200">
        <f t="shared" si="78"/>
        <v>0</v>
      </c>
      <c r="ER80" s="200">
        <f t="shared" si="78"/>
        <v>0</v>
      </c>
      <c r="ES80" s="200">
        <f t="shared" si="78"/>
        <v>0</v>
      </c>
      <c r="ET80" s="198"/>
      <c r="EU80" s="198"/>
      <c r="EV80" s="198"/>
      <c r="EW80" s="198"/>
      <c r="EX80" s="198"/>
      <c r="EY80" s="198"/>
      <c r="EZ80" s="198"/>
      <c r="FA80" s="198"/>
      <c r="FB80" s="198"/>
      <c r="FC80" s="198"/>
      <c r="FD80" s="198"/>
      <c r="FE80" s="198"/>
      <c r="FF80" s="198"/>
      <c r="FG80" s="198"/>
      <c r="FH80" s="198"/>
      <c r="FI80" s="198"/>
      <c r="FJ80" s="198"/>
      <c r="FK80" s="198"/>
      <c r="FL80" s="198"/>
      <c r="FM80" s="198"/>
      <c r="FN80" s="198"/>
      <c r="FO80" s="198"/>
      <c r="FP80" s="201"/>
      <c r="FQ80" s="202" t="s">
        <v>756</v>
      </c>
      <c r="FR80" s="203" t="s">
        <v>389</v>
      </c>
      <c r="FS80" s="203"/>
      <c r="FT80" s="203" t="s">
        <v>423</v>
      </c>
      <c r="FU80" s="204">
        <f t="shared" si="0"/>
        <v>180</v>
      </c>
      <c r="FV80" s="205" t="s">
        <v>424</v>
      </c>
    </row>
    <row r="81" spans="1:178" s="174" customFormat="1" ht="11.4">
      <c r="A81" s="196" t="s">
        <v>393</v>
      </c>
      <c r="B81" s="196" t="s">
        <v>385</v>
      </c>
      <c r="C81" s="196" t="s">
        <v>411</v>
      </c>
      <c r="D81" s="196" t="s">
        <v>291</v>
      </c>
      <c r="E81" s="197" t="s">
        <v>442</v>
      </c>
      <c r="F81" s="196" t="s">
        <v>388</v>
      </c>
      <c r="G81" s="196"/>
      <c r="H81" s="198"/>
      <c r="I81" s="198"/>
      <c r="J81" s="198"/>
      <c r="K81" s="198"/>
      <c r="L81" s="198"/>
      <c r="M81" s="198"/>
      <c r="N81" s="198"/>
      <c r="O81" s="198"/>
      <c r="P81" s="198"/>
      <c r="Q81" s="198"/>
      <c r="R81" s="198"/>
      <c r="S81" s="198"/>
      <c r="T81" s="198"/>
      <c r="U81" s="198"/>
      <c r="V81" s="198"/>
      <c r="W81" s="198"/>
      <c r="X81" s="198"/>
      <c r="Y81" s="198"/>
      <c r="Z81" s="198"/>
      <c r="AA81" s="198"/>
      <c r="AB81" s="198"/>
      <c r="AC81" s="198"/>
      <c r="AD81" s="198"/>
      <c r="AE81" s="198"/>
      <c r="AF81" s="198"/>
      <c r="AG81" s="200">
        <f>500-500</f>
        <v>0</v>
      </c>
      <c r="AH81" s="198">
        <f>0+20</f>
        <v>20</v>
      </c>
      <c r="AI81" s="198"/>
      <c r="AJ81" s="198"/>
      <c r="AK81" s="198"/>
      <c r="AL81" s="198"/>
      <c r="AM81" s="198"/>
      <c r="AN81" s="198"/>
      <c r="AO81" s="198"/>
      <c r="AP81" s="198"/>
      <c r="AQ81" s="200">
        <f t="shared" ref="AQ81:AR81" si="79">500-500</f>
        <v>0</v>
      </c>
      <c r="AR81" s="200">
        <f t="shared" si="79"/>
        <v>0</v>
      </c>
      <c r="AS81" s="198"/>
      <c r="AT81" s="198"/>
      <c r="AU81" s="198"/>
      <c r="AV81" s="198"/>
      <c r="AW81" s="198"/>
      <c r="AX81" s="198"/>
      <c r="AY81" s="198"/>
      <c r="AZ81" s="198"/>
      <c r="BA81" s="198"/>
      <c r="BB81" s="198"/>
      <c r="BC81" s="198"/>
      <c r="BD81" s="198"/>
      <c r="BE81" s="198"/>
      <c r="BF81" s="198"/>
      <c r="BG81" s="198"/>
      <c r="BH81" s="198"/>
      <c r="BI81" s="198"/>
      <c r="BJ81" s="198"/>
      <c r="BK81" s="198"/>
      <c r="BL81" s="198"/>
      <c r="BM81" s="198"/>
      <c r="BN81" s="198"/>
      <c r="BO81" s="198"/>
      <c r="BP81" s="198"/>
      <c r="BQ81" s="198"/>
      <c r="BR81" s="198"/>
      <c r="BS81" s="198"/>
      <c r="BT81" s="198"/>
      <c r="BU81" s="198"/>
      <c r="BV81" s="198"/>
      <c r="BW81" s="198"/>
      <c r="BX81" s="198"/>
      <c r="BY81" s="198"/>
      <c r="BZ81" s="198"/>
      <c r="CA81" s="198"/>
      <c r="CB81" s="198"/>
      <c r="CC81" s="198"/>
      <c r="CD81" s="198"/>
      <c r="CE81" s="198"/>
      <c r="CF81" s="198"/>
      <c r="CG81" s="198"/>
      <c r="CH81" s="198"/>
      <c r="CI81" s="198"/>
      <c r="CJ81" s="198"/>
      <c r="CK81" s="198"/>
      <c r="CL81" s="198"/>
      <c r="CM81" s="198"/>
      <c r="CN81" s="198"/>
      <c r="CO81" s="198"/>
      <c r="CP81" s="198"/>
      <c r="CQ81" s="198"/>
      <c r="CR81" s="198"/>
      <c r="CS81" s="198"/>
      <c r="CT81" s="198"/>
      <c r="CU81" s="198"/>
      <c r="CV81" s="198"/>
      <c r="CW81" s="198"/>
      <c r="CX81" s="198"/>
      <c r="CY81" s="198"/>
      <c r="CZ81" s="198"/>
      <c r="DA81" s="198"/>
      <c r="DB81" s="198"/>
      <c r="DC81" s="198"/>
      <c r="DD81" s="198"/>
      <c r="DE81" s="198"/>
      <c r="DF81" s="198"/>
      <c r="DG81" s="198"/>
      <c r="DH81" s="198"/>
      <c r="DI81" s="198"/>
      <c r="DJ81" s="198"/>
      <c r="DK81" s="198"/>
      <c r="DL81" s="198"/>
      <c r="DM81" s="198"/>
      <c r="DN81" s="198"/>
      <c r="DO81" s="198"/>
      <c r="DP81" s="198"/>
      <c r="DQ81" s="198"/>
      <c r="DR81" s="198"/>
      <c r="DS81" s="198"/>
      <c r="DT81" s="198"/>
      <c r="DU81" s="198"/>
      <c r="DV81" s="198"/>
      <c r="DW81" s="198"/>
      <c r="DX81" s="198"/>
      <c r="DY81" s="198"/>
      <c r="DZ81" s="198"/>
      <c r="EA81" s="198"/>
      <c r="EB81" s="198"/>
      <c r="EC81" s="198"/>
      <c r="ED81" s="198"/>
      <c r="EE81" s="198"/>
      <c r="EF81" s="198"/>
      <c r="EG81" s="198"/>
      <c r="EH81" s="198"/>
      <c r="EI81" s="198"/>
      <c r="EJ81" s="198"/>
      <c r="EK81" s="198"/>
      <c r="EL81" s="198"/>
      <c r="EM81" s="198"/>
      <c r="EN81" s="198"/>
      <c r="EO81" s="198"/>
      <c r="EP81" s="198"/>
      <c r="EQ81" s="198"/>
      <c r="ER81" s="198"/>
      <c r="ES81" s="198"/>
      <c r="ET81" s="198"/>
      <c r="EU81" s="198"/>
      <c r="EV81" s="198"/>
      <c r="EW81" s="198"/>
      <c r="EX81" s="198"/>
      <c r="EY81" s="198"/>
      <c r="EZ81" s="198"/>
      <c r="FA81" s="198"/>
      <c r="FB81" s="198"/>
      <c r="FC81" s="198"/>
      <c r="FD81" s="198"/>
      <c r="FE81" s="198"/>
      <c r="FF81" s="198"/>
      <c r="FG81" s="198"/>
      <c r="FH81" s="198"/>
      <c r="FI81" s="198"/>
      <c r="FJ81" s="198"/>
      <c r="FK81" s="198"/>
      <c r="FL81" s="198"/>
      <c r="FM81" s="198"/>
      <c r="FN81" s="198"/>
      <c r="FO81" s="198"/>
      <c r="FP81" s="201"/>
      <c r="FQ81" s="202" t="s">
        <v>756</v>
      </c>
      <c r="FR81" s="203" t="s">
        <v>389</v>
      </c>
      <c r="FS81" s="203"/>
      <c r="FT81" s="203" t="s">
        <v>413</v>
      </c>
      <c r="FU81" s="204">
        <f t="shared" si="0"/>
        <v>20</v>
      </c>
      <c r="FV81" s="205" t="s">
        <v>414</v>
      </c>
    </row>
    <row r="82" spans="1:178" s="174" customFormat="1" ht="11.4">
      <c r="A82" s="196" t="s">
        <v>393</v>
      </c>
      <c r="B82" s="196" t="s">
        <v>385</v>
      </c>
      <c r="C82" s="196" t="s">
        <v>411</v>
      </c>
      <c r="D82" s="196" t="s">
        <v>1</v>
      </c>
      <c r="E82" s="197" t="s">
        <v>442</v>
      </c>
      <c r="F82" s="196" t="s">
        <v>388</v>
      </c>
      <c r="G82" s="196"/>
      <c r="H82" s="198"/>
      <c r="I82" s="198"/>
      <c r="J82" s="198"/>
      <c r="K82" s="198"/>
      <c r="L82" s="198"/>
      <c r="M82" s="198"/>
      <c r="N82" s="198"/>
      <c r="O82" s="198"/>
      <c r="P82" s="198"/>
      <c r="Q82" s="198"/>
      <c r="R82" s="198"/>
      <c r="S82" s="198"/>
      <c r="T82" s="198"/>
      <c r="U82" s="198"/>
      <c r="V82" s="198"/>
      <c r="W82" s="198"/>
      <c r="X82" s="198"/>
      <c r="Y82" s="198"/>
      <c r="Z82" s="198"/>
      <c r="AA82" s="198"/>
      <c r="AB82" s="198"/>
      <c r="AC82" s="198"/>
      <c r="AD82" s="198"/>
      <c r="AE82" s="198"/>
      <c r="AF82" s="200">
        <f>500-500</f>
        <v>0</v>
      </c>
      <c r="AG82" s="198"/>
      <c r="AH82" s="200">
        <f>500-500</f>
        <v>0</v>
      </c>
      <c r="AI82" s="198"/>
      <c r="AJ82" s="198"/>
      <c r="AK82" s="198"/>
      <c r="AL82" s="198"/>
      <c r="AM82" s="198"/>
      <c r="AN82" s="198"/>
      <c r="AO82" s="198"/>
      <c r="AP82" s="198"/>
      <c r="AQ82" s="198"/>
      <c r="AR82" s="198"/>
      <c r="AS82" s="198"/>
      <c r="AT82" s="198"/>
      <c r="AU82" s="199">
        <f>500-500+20</f>
        <v>20</v>
      </c>
      <c r="AV82" s="198"/>
      <c r="AW82" s="198"/>
      <c r="AX82" s="198"/>
      <c r="AY82" s="198"/>
      <c r="AZ82" s="198"/>
      <c r="BA82" s="198"/>
      <c r="BB82" s="198"/>
      <c r="BC82" s="198"/>
      <c r="BD82" s="198"/>
      <c r="BE82" s="198"/>
      <c r="BF82" s="198"/>
      <c r="BG82" s="198"/>
      <c r="BH82" s="198"/>
      <c r="BI82" s="198"/>
      <c r="BJ82" s="198"/>
      <c r="BK82" s="198"/>
      <c r="BL82" s="198"/>
      <c r="BM82" s="198"/>
      <c r="BN82" s="198"/>
      <c r="BO82" s="198"/>
      <c r="BP82" s="198"/>
      <c r="BQ82" s="198"/>
      <c r="BR82" s="198"/>
      <c r="BS82" s="198"/>
      <c r="BT82" s="198"/>
      <c r="BU82" s="198"/>
      <c r="BV82" s="198"/>
      <c r="BW82" s="198"/>
      <c r="BX82" s="198"/>
      <c r="BY82" s="198"/>
      <c r="BZ82" s="198"/>
      <c r="CA82" s="198"/>
      <c r="CB82" s="198"/>
      <c r="CC82" s="198"/>
      <c r="CD82" s="198"/>
      <c r="CE82" s="198"/>
      <c r="CF82" s="198"/>
      <c r="CG82" s="198"/>
      <c r="CH82" s="198"/>
      <c r="CI82" s="198"/>
      <c r="CJ82" s="198"/>
      <c r="CK82" s="198"/>
      <c r="CL82" s="198"/>
      <c r="CM82" s="198"/>
      <c r="CN82" s="198"/>
      <c r="CO82" s="198"/>
      <c r="CP82" s="198"/>
      <c r="CQ82" s="198"/>
      <c r="CR82" s="198"/>
      <c r="CS82" s="198"/>
      <c r="CT82" s="198"/>
      <c r="CU82" s="198"/>
      <c r="CV82" s="198"/>
      <c r="CW82" s="198"/>
      <c r="CX82" s="198"/>
      <c r="CY82" s="198"/>
      <c r="CZ82" s="198"/>
      <c r="DA82" s="198"/>
      <c r="DB82" s="198"/>
      <c r="DC82" s="198"/>
      <c r="DD82" s="198"/>
      <c r="DE82" s="198"/>
      <c r="DF82" s="198"/>
      <c r="DG82" s="198"/>
      <c r="DH82" s="198"/>
      <c r="DI82" s="198"/>
      <c r="DJ82" s="198"/>
      <c r="DK82" s="198"/>
      <c r="DL82" s="198"/>
      <c r="DM82" s="198"/>
      <c r="DN82" s="198"/>
      <c r="DO82" s="198"/>
      <c r="DP82" s="198"/>
      <c r="DQ82" s="198"/>
      <c r="DR82" s="198"/>
      <c r="DS82" s="198"/>
      <c r="DT82" s="198"/>
      <c r="DU82" s="198"/>
      <c r="DV82" s="198"/>
      <c r="DW82" s="198"/>
      <c r="DX82" s="198"/>
      <c r="DY82" s="198"/>
      <c r="DZ82" s="198"/>
      <c r="EA82" s="198"/>
      <c r="EB82" s="198"/>
      <c r="EC82" s="198"/>
      <c r="ED82" s="198"/>
      <c r="EE82" s="198"/>
      <c r="EF82" s="198"/>
      <c r="EG82" s="198"/>
      <c r="EH82" s="198"/>
      <c r="EI82" s="198"/>
      <c r="EJ82" s="198"/>
      <c r="EK82" s="198"/>
      <c r="EL82" s="198"/>
      <c r="EM82" s="198"/>
      <c r="EN82" s="198"/>
      <c r="EO82" s="198"/>
      <c r="EP82" s="198"/>
      <c r="EQ82" s="200">
        <f>200-200</f>
        <v>0</v>
      </c>
      <c r="ER82" s="198"/>
      <c r="ES82" s="200">
        <f>200-200</f>
        <v>0</v>
      </c>
      <c r="ET82" s="198"/>
      <c r="EU82" s="198"/>
      <c r="EV82" s="198"/>
      <c r="EW82" s="198"/>
      <c r="EX82" s="198"/>
      <c r="EY82" s="198"/>
      <c r="EZ82" s="198"/>
      <c r="FA82" s="198"/>
      <c r="FB82" s="198"/>
      <c r="FC82" s="198"/>
      <c r="FD82" s="198"/>
      <c r="FE82" s="198"/>
      <c r="FF82" s="198"/>
      <c r="FG82" s="198"/>
      <c r="FH82" s="198"/>
      <c r="FI82" s="198"/>
      <c r="FJ82" s="198"/>
      <c r="FK82" s="198"/>
      <c r="FL82" s="198"/>
      <c r="FM82" s="198"/>
      <c r="FN82" s="198"/>
      <c r="FO82" s="198"/>
      <c r="FP82" s="201"/>
      <c r="FQ82" s="202" t="s">
        <v>756</v>
      </c>
      <c r="FR82" s="203" t="s">
        <v>389</v>
      </c>
      <c r="FS82" s="203"/>
      <c r="FT82" s="203" t="s">
        <v>413</v>
      </c>
      <c r="FU82" s="204">
        <f t="shared" si="0"/>
        <v>20</v>
      </c>
      <c r="FV82" s="205" t="s">
        <v>414</v>
      </c>
    </row>
    <row r="83" spans="1:178" s="174" customFormat="1" ht="11.4">
      <c r="A83" s="196" t="s">
        <v>393</v>
      </c>
      <c r="B83" s="196" t="s">
        <v>385</v>
      </c>
      <c r="C83" s="196" t="s">
        <v>411</v>
      </c>
      <c r="D83" s="196" t="s">
        <v>291</v>
      </c>
      <c r="E83" s="197" t="s">
        <v>443</v>
      </c>
      <c r="F83" s="196" t="s">
        <v>388</v>
      </c>
      <c r="G83" s="196"/>
      <c r="H83" s="198"/>
      <c r="I83" s="198"/>
      <c r="J83" s="198"/>
      <c r="K83" s="198"/>
      <c r="L83" s="198"/>
      <c r="M83" s="198"/>
      <c r="N83" s="198"/>
      <c r="O83" s="198"/>
      <c r="P83" s="198"/>
      <c r="Q83" s="198"/>
      <c r="R83" s="198"/>
      <c r="S83" s="198"/>
      <c r="T83" s="198"/>
      <c r="U83" s="198"/>
      <c r="V83" s="198"/>
      <c r="W83" s="198"/>
      <c r="X83" s="198"/>
      <c r="Y83" s="198"/>
      <c r="Z83" s="198"/>
      <c r="AA83" s="198"/>
      <c r="AB83" s="198"/>
      <c r="AC83" s="198"/>
      <c r="AD83" s="198"/>
      <c r="AE83" s="198"/>
      <c r="AF83" s="198"/>
      <c r="AG83" s="198"/>
      <c r="AH83" s="198"/>
      <c r="AI83" s="198"/>
      <c r="AJ83" s="198"/>
      <c r="AK83" s="198"/>
      <c r="AL83" s="198"/>
      <c r="AM83" s="198"/>
      <c r="AN83" s="198"/>
      <c r="AO83" s="198"/>
      <c r="AP83" s="198"/>
      <c r="AQ83" s="198"/>
      <c r="AR83" s="200">
        <f>100-100</f>
        <v>0</v>
      </c>
      <c r="AS83" s="198"/>
      <c r="AT83" s="198"/>
      <c r="AU83" s="198"/>
      <c r="AV83" s="198"/>
      <c r="AW83" s="198"/>
      <c r="AX83" s="198"/>
      <c r="AY83" s="198"/>
      <c r="AZ83" s="198"/>
      <c r="BA83" s="198"/>
      <c r="BB83" s="198"/>
      <c r="BC83" s="198"/>
      <c r="BD83" s="198"/>
      <c r="BE83" s="198"/>
      <c r="BF83" s="198"/>
      <c r="BG83" s="200">
        <f>500-500</f>
        <v>0</v>
      </c>
      <c r="BH83" s="198"/>
      <c r="BI83" s="198"/>
      <c r="BJ83" s="198"/>
      <c r="BK83" s="198"/>
      <c r="BL83" s="198"/>
      <c r="BM83" s="198"/>
      <c r="BN83" s="198"/>
      <c r="BO83" s="198"/>
      <c r="BP83" s="198"/>
      <c r="BQ83" s="198"/>
      <c r="BR83" s="198"/>
      <c r="BS83" s="198"/>
      <c r="BT83" s="198"/>
      <c r="BU83" s="198"/>
      <c r="BV83" s="198"/>
      <c r="BW83" s="198"/>
      <c r="BX83" s="198"/>
      <c r="BY83" s="198"/>
      <c r="BZ83" s="198"/>
      <c r="CA83" s="198"/>
      <c r="CB83" s="198"/>
      <c r="CC83" s="198"/>
      <c r="CD83" s="198"/>
      <c r="CE83" s="198"/>
      <c r="CF83" s="198"/>
      <c r="CG83" s="198"/>
      <c r="CH83" s="198"/>
      <c r="CI83" s="198"/>
      <c r="CJ83" s="198"/>
      <c r="CK83" s="198"/>
      <c r="CL83" s="198"/>
      <c r="CM83" s="198"/>
      <c r="CN83" s="198"/>
      <c r="CO83" s="198"/>
      <c r="CP83" s="198"/>
      <c r="CQ83" s="198"/>
      <c r="CR83" s="198"/>
      <c r="CS83" s="198"/>
      <c r="CT83" s="198"/>
      <c r="CU83" s="198"/>
      <c r="CV83" s="198"/>
      <c r="CW83" s="198"/>
      <c r="CX83" s="198"/>
      <c r="CY83" s="198"/>
      <c r="CZ83" s="198"/>
      <c r="DA83" s="198"/>
      <c r="DB83" s="198"/>
      <c r="DC83" s="198"/>
      <c r="DD83" s="198"/>
      <c r="DE83" s="198"/>
      <c r="DF83" s="198"/>
      <c r="DG83" s="198"/>
      <c r="DH83" s="198"/>
      <c r="DI83" s="198"/>
      <c r="DJ83" s="198"/>
      <c r="DK83" s="198"/>
      <c r="DL83" s="198"/>
      <c r="DM83" s="198"/>
      <c r="DN83" s="198"/>
      <c r="DO83" s="198"/>
      <c r="DP83" s="198"/>
      <c r="DQ83" s="198"/>
      <c r="DR83" s="198"/>
      <c r="DS83" s="198"/>
      <c r="DT83" s="198"/>
      <c r="DU83" s="198"/>
      <c r="DV83" s="198"/>
      <c r="DW83" s="198"/>
      <c r="DX83" s="198"/>
      <c r="DY83" s="198"/>
      <c r="DZ83" s="198"/>
      <c r="EA83" s="198"/>
      <c r="EB83" s="198"/>
      <c r="EC83" s="198"/>
      <c r="ED83" s="198"/>
      <c r="EE83" s="198"/>
      <c r="EF83" s="198"/>
      <c r="EG83" s="198"/>
      <c r="EH83" s="198"/>
      <c r="EI83" s="198"/>
      <c r="EJ83" s="198"/>
      <c r="EK83" s="198"/>
      <c r="EL83" s="198"/>
      <c r="EM83" s="198"/>
      <c r="EN83" s="198"/>
      <c r="EO83" s="198"/>
      <c r="EP83" s="198"/>
      <c r="EQ83" s="198"/>
      <c r="ER83" s="198"/>
      <c r="ES83" s="198"/>
      <c r="ET83" s="198"/>
      <c r="EU83" s="198"/>
      <c r="EV83" s="198"/>
      <c r="EW83" s="198"/>
      <c r="EX83" s="198"/>
      <c r="EY83" s="198"/>
      <c r="EZ83" s="198"/>
      <c r="FA83" s="198"/>
      <c r="FB83" s="198"/>
      <c r="FC83" s="198"/>
      <c r="FD83" s="198"/>
      <c r="FE83" s="198"/>
      <c r="FF83" s="198"/>
      <c r="FG83" s="198"/>
      <c r="FH83" s="198"/>
      <c r="FI83" s="198"/>
      <c r="FJ83" s="198"/>
      <c r="FK83" s="198"/>
      <c r="FL83" s="198"/>
      <c r="FM83" s="198"/>
      <c r="FN83" s="198"/>
      <c r="FO83" s="198"/>
      <c r="FP83" s="201"/>
      <c r="FQ83" s="202" t="s">
        <v>756</v>
      </c>
      <c r="FR83" s="203" t="s">
        <v>389</v>
      </c>
      <c r="FS83" s="203" t="s">
        <v>444</v>
      </c>
      <c r="FT83" s="203" t="s">
        <v>445</v>
      </c>
      <c r="FU83" s="204">
        <f t="shared" si="0"/>
        <v>0</v>
      </c>
      <c r="FV83" s="205" t="s">
        <v>433</v>
      </c>
    </row>
    <row r="84" spans="1:178" s="174" customFormat="1" ht="11.4">
      <c r="A84" s="196" t="s">
        <v>393</v>
      </c>
      <c r="B84" s="196" t="s">
        <v>385</v>
      </c>
      <c r="C84" s="196" t="s">
        <v>411</v>
      </c>
      <c r="D84" s="196" t="s">
        <v>1</v>
      </c>
      <c r="E84" s="197" t="s">
        <v>443</v>
      </c>
      <c r="F84" s="196" t="s">
        <v>388</v>
      </c>
      <c r="G84" s="196"/>
      <c r="H84" s="198"/>
      <c r="I84" s="198"/>
      <c r="J84" s="198"/>
      <c r="K84" s="198"/>
      <c r="L84" s="198"/>
      <c r="M84" s="198"/>
      <c r="N84" s="198"/>
      <c r="O84" s="198"/>
      <c r="P84" s="198"/>
      <c r="Q84" s="198"/>
      <c r="R84" s="198"/>
      <c r="S84" s="198"/>
      <c r="T84" s="198"/>
      <c r="U84" s="198"/>
      <c r="V84" s="198"/>
      <c r="W84" s="198"/>
      <c r="X84" s="198"/>
      <c r="Y84" s="198"/>
      <c r="Z84" s="198"/>
      <c r="AA84" s="198"/>
      <c r="AB84" s="198"/>
      <c r="AC84" s="198"/>
      <c r="AD84" s="198"/>
      <c r="AE84" s="198"/>
      <c r="AF84" s="198"/>
      <c r="AG84" s="198"/>
      <c r="AH84" s="198"/>
      <c r="AI84" s="198"/>
      <c r="AJ84" s="198"/>
      <c r="AK84" s="198"/>
      <c r="AL84" s="198"/>
      <c r="AM84" s="198"/>
      <c r="AN84" s="198"/>
      <c r="AO84" s="198"/>
      <c r="AP84" s="198"/>
      <c r="AQ84" s="198"/>
      <c r="AR84" s="198"/>
      <c r="AS84" s="198"/>
      <c r="AT84" s="198"/>
      <c r="AU84" s="199">
        <f>100-100+20</f>
        <v>20</v>
      </c>
      <c r="AV84" s="198"/>
      <c r="AW84" s="198"/>
      <c r="AX84" s="198"/>
      <c r="AY84" s="198"/>
      <c r="AZ84" s="198"/>
      <c r="BA84" s="198"/>
      <c r="BB84" s="198"/>
      <c r="BC84" s="198"/>
      <c r="BD84" s="198"/>
      <c r="BE84" s="198"/>
      <c r="BF84" s="198"/>
      <c r="BG84" s="206">
        <f>0+100</f>
        <v>100</v>
      </c>
      <c r="BH84" s="198"/>
      <c r="BI84" s="198"/>
      <c r="BJ84" s="200">
        <f>500-500</f>
        <v>0</v>
      </c>
      <c r="BK84" s="198"/>
      <c r="BL84" s="198"/>
      <c r="BM84" s="198"/>
      <c r="BN84" s="198"/>
      <c r="BO84" s="198"/>
      <c r="BP84" s="198"/>
      <c r="BQ84" s="200">
        <f t="shared" ref="BQ84:BR84" si="80">500-500</f>
        <v>0</v>
      </c>
      <c r="BR84" s="200">
        <f t="shared" si="80"/>
        <v>0</v>
      </c>
      <c r="BS84" s="198"/>
      <c r="BT84" s="198"/>
      <c r="BU84" s="198"/>
      <c r="BV84" s="198"/>
      <c r="BW84" s="198"/>
      <c r="BX84" s="198"/>
      <c r="BY84" s="198"/>
      <c r="BZ84" s="198"/>
      <c r="CA84" s="198"/>
      <c r="CB84" s="198"/>
      <c r="CC84" s="200">
        <f>500-500</f>
        <v>0</v>
      </c>
      <c r="CD84" s="198"/>
      <c r="CE84" s="200">
        <f t="shared" ref="CE84:CF84" si="81">500-500</f>
        <v>0</v>
      </c>
      <c r="CF84" s="200">
        <f t="shared" si="81"/>
        <v>0</v>
      </c>
      <c r="CG84" s="198"/>
      <c r="CH84" s="200">
        <f>500-500</f>
        <v>0</v>
      </c>
      <c r="CI84" s="198"/>
      <c r="CJ84" s="198"/>
      <c r="CK84" s="198"/>
      <c r="CL84" s="198"/>
      <c r="CM84" s="198"/>
      <c r="CN84" s="200">
        <f>200-200</f>
        <v>0</v>
      </c>
      <c r="CO84" s="198"/>
      <c r="CP84" s="198"/>
      <c r="CQ84" s="198"/>
      <c r="CR84" s="198"/>
      <c r="CS84" s="198"/>
      <c r="CT84" s="198"/>
      <c r="CU84" s="198"/>
      <c r="CV84" s="198"/>
      <c r="CW84" s="198"/>
      <c r="CX84" s="200">
        <f>300-300</f>
        <v>0</v>
      </c>
      <c r="CY84" s="198"/>
      <c r="CZ84" s="198"/>
      <c r="DA84" s="198"/>
      <c r="DB84" s="198"/>
      <c r="DC84" s="198"/>
      <c r="DD84" s="198"/>
      <c r="DE84" s="198"/>
      <c r="DF84" s="198"/>
      <c r="DG84" s="198"/>
      <c r="DH84" s="198"/>
      <c r="DI84" s="198"/>
      <c r="DJ84" s="200">
        <f>10-10</f>
        <v>0</v>
      </c>
      <c r="DK84" s="198"/>
      <c r="DL84" s="198"/>
      <c r="DM84" s="198"/>
      <c r="DN84" s="198"/>
      <c r="DO84" s="198"/>
      <c r="DP84" s="198"/>
      <c r="DQ84" s="198"/>
      <c r="DR84" s="198"/>
      <c r="DS84" s="198"/>
      <c r="DT84" s="198"/>
      <c r="DU84" s="198"/>
      <c r="DV84" s="198"/>
      <c r="DW84" s="200">
        <f>100-100</f>
        <v>0</v>
      </c>
      <c r="DX84" s="198"/>
      <c r="DY84" s="198"/>
      <c r="DZ84" s="198"/>
      <c r="EA84" s="198"/>
      <c r="EB84" s="198"/>
      <c r="EC84" s="198"/>
      <c r="ED84" s="198"/>
      <c r="EE84" s="198"/>
      <c r="EF84" s="198"/>
      <c r="EG84" s="198"/>
      <c r="EH84" s="198"/>
      <c r="EI84" s="198"/>
      <c r="EJ84" s="198"/>
      <c r="EK84" s="198"/>
      <c r="EL84" s="198"/>
      <c r="EM84" s="198"/>
      <c r="EN84" s="198"/>
      <c r="EO84" s="198"/>
      <c r="EP84" s="198"/>
      <c r="EQ84" s="198"/>
      <c r="ER84" s="198"/>
      <c r="ES84" s="198"/>
      <c r="ET84" s="198"/>
      <c r="EU84" s="198"/>
      <c r="EV84" s="198"/>
      <c r="EW84" s="198"/>
      <c r="EX84" s="198"/>
      <c r="EY84" s="198"/>
      <c r="EZ84" s="198"/>
      <c r="FA84" s="198"/>
      <c r="FB84" s="198"/>
      <c r="FC84" s="198"/>
      <c r="FD84" s="198"/>
      <c r="FE84" s="198"/>
      <c r="FF84" s="198"/>
      <c r="FG84" s="198"/>
      <c r="FH84" s="198"/>
      <c r="FI84" s="198"/>
      <c r="FJ84" s="198"/>
      <c r="FK84" s="198"/>
      <c r="FL84" s="198"/>
      <c r="FM84" s="198"/>
      <c r="FN84" s="198"/>
      <c r="FO84" s="198"/>
      <c r="FP84" s="201"/>
      <c r="FQ84" s="202" t="s">
        <v>756</v>
      </c>
      <c r="FR84" s="203" t="s">
        <v>389</v>
      </c>
      <c r="FS84" s="203" t="s">
        <v>444</v>
      </c>
      <c r="FT84" s="203" t="s">
        <v>445</v>
      </c>
      <c r="FU84" s="204">
        <f t="shared" si="0"/>
        <v>120</v>
      </c>
      <c r="FV84" s="205" t="s">
        <v>433</v>
      </c>
    </row>
    <row r="85" spans="1:178" s="174" customFormat="1" ht="11.4">
      <c r="A85" s="196" t="s">
        <v>393</v>
      </c>
      <c r="B85" s="196" t="s">
        <v>385</v>
      </c>
      <c r="C85" s="196" t="s">
        <v>411</v>
      </c>
      <c r="D85" s="196" t="s">
        <v>291</v>
      </c>
      <c r="E85" s="197" t="s">
        <v>446</v>
      </c>
      <c r="F85" s="196" t="s">
        <v>388</v>
      </c>
      <c r="G85" s="196"/>
      <c r="H85" s="198"/>
      <c r="I85" s="200">
        <f>300-300</f>
        <v>0</v>
      </c>
      <c r="J85" s="198"/>
      <c r="K85" s="200">
        <f>300-300</f>
        <v>0</v>
      </c>
      <c r="L85" s="198"/>
      <c r="M85" s="198"/>
      <c r="N85" s="200">
        <f>500-500</f>
        <v>0</v>
      </c>
      <c r="O85" s="198"/>
      <c r="P85" s="198"/>
      <c r="Q85" s="198"/>
      <c r="R85" s="198"/>
      <c r="S85" s="198"/>
      <c r="T85" s="198"/>
      <c r="U85" s="198"/>
      <c r="V85" s="198"/>
      <c r="W85" s="198"/>
      <c r="X85" s="198"/>
      <c r="Y85" s="198"/>
      <c r="Z85" s="198"/>
      <c r="AA85" s="198"/>
      <c r="AB85" s="198"/>
      <c r="AC85" s="198"/>
      <c r="AD85" s="198"/>
      <c r="AE85" s="198"/>
      <c r="AF85" s="198"/>
      <c r="AG85" s="200">
        <f>1000-1000</f>
        <v>0</v>
      </c>
      <c r="AH85" s="206">
        <f>0+80</f>
        <v>80</v>
      </c>
      <c r="AI85" s="198"/>
      <c r="AJ85" s="198"/>
      <c r="AK85" s="198"/>
      <c r="AL85" s="198"/>
      <c r="AM85" s="198"/>
      <c r="AN85" s="198"/>
      <c r="AO85" s="206">
        <f>0+20</f>
        <v>20</v>
      </c>
      <c r="AP85" s="198"/>
      <c r="AQ85" s="200">
        <f>500-500</f>
        <v>0</v>
      </c>
      <c r="AR85" s="198"/>
      <c r="AS85" s="198"/>
      <c r="AT85" s="206">
        <f>0+20</f>
        <v>20</v>
      </c>
      <c r="AU85" s="198"/>
      <c r="AV85" s="198"/>
      <c r="AW85" s="198"/>
      <c r="AX85" s="198"/>
      <c r="AY85" s="200">
        <f>500-500</f>
        <v>0</v>
      </c>
      <c r="AZ85" s="198"/>
      <c r="BA85" s="200">
        <f>500-500</f>
        <v>0</v>
      </c>
      <c r="BB85" s="198"/>
      <c r="BC85" s="198"/>
      <c r="BD85" s="198"/>
      <c r="BE85" s="198"/>
      <c r="BF85" s="198"/>
      <c r="BG85" s="200">
        <f>500-500</f>
        <v>0</v>
      </c>
      <c r="BH85" s="198"/>
      <c r="BI85" s="198"/>
      <c r="BJ85" s="198"/>
      <c r="BK85" s="198"/>
      <c r="BL85" s="198"/>
      <c r="BM85" s="198"/>
      <c r="BN85" s="198"/>
      <c r="BO85" s="198"/>
      <c r="BP85" s="198"/>
      <c r="BQ85" s="198"/>
      <c r="BR85" s="198"/>
      <c r="BS85" s="198"/>
      <c r="BT85" s="198"/>
      <c r="BU85" s="198"/>
      <c r="BV85" s="198"/>
      <c r="BW85" s="198"/>
      <c r="BX85" s="198"/>
      <c r="BY85" s="198"/>
      <c r="BZ85" s="198"/>
      <c r="CA85" s="198"/>
      <c r="CB85" s="198"/>
      <c r="CC85" s="198"/>
      <c r="CD85" s="198"/>
      <c r="CE85" s="198"/>
      <c r="CF85" s="198"/>
      <c r="CG85" s="198"/>
      <c r="CH85" s="198"/>
      <c r="CI85" s="198"/>
      <c r="CJ85" s="198"/>
      <c r="CK85" s="198"/>
      <c r="CL85" s="198"/>
      <c r="CM85" s="198"/>
      <c r="CN85" s="198"/>
      <c r="CO85" s="198"/>
      <c r="CP85" s="198"/>
      <c r="CQ85" s="198"/>
      <c r="CR85" s="198"/>
      <c r="CS85" s="198"/>
      <c r="CT85" s="198"/>
      <c r="CU85" s="198"/>
      <c r="CV85" s="198"/>
      <c r="CW85" s="198"/>
      <c r="CX85" s="198"/>
      <c r="CY85" s="198"/>
      <c r="CZ85" s="198"/>
      <c r="DA85" s="198"/>
      <c r="DB85" s="198"/>
      <c r="DC85" s="198"/>
      <c r="DD85" s="198"/>
      <c r="DE85" s="198"/>
      <c r="DF85" s="198"/>
      <c r="DG85" s="198"/>
      <c r="DH85" s="198"/>
      <c r="DI85" s="198"/>
      <c r="DJ85" s="198"/>
      <c r="DK85" s="198"/>
      <c r="DL85" s="198"/>
      <c r="DM85" s="198"/>
      <c r="DN85" s="198"/>
      <c r="DO85" s="198"/>
      <c r="DP85" s="198"/>
      <c r="DQ85" s="198"/>
      <c r="DR85" s="198"/>
      <c r="DS85" s="198"/>
      <c r="DT85" s="198"/>
      <c r="DU85" s="198"/>
      <c r="DV85" s="198"/>
      <c r="DW85" s="198"/>
      <c r="DX85" s="198"/>
      <c r="DY85" s="198"/>
      <c r="DZ85" s="198"/>
      <c r="EA85" s="198"/>
      <c r="EB85" s="198"/>
      <c r="EC85" s="198"/>
      <c r="ED85" s="198"/>
      <c r="EE85" s="198"/>
      <c r="EF85" s="198"/>
      <c r="EG85" s="198"/>
      <c r="EH85" s="198"/>
      <c r="EI85" s="198"/>
      <c r="EJ85" s="198"/>
      <c r="EK85" s="198"/>
      <c r="EL85" s="198"/>
      <c r="EM85" s="198"/>
      <c r="EN85" s="198"/>
      <c r="EO85" s="198"/>
      <c r="EP85" s="198"/>
      <c r="EQ85" s="198"/>
      <c r="ER85" s="198"/>
      <c r="ES85" s="198"/>
      <c r="ET85" s="198"/>
      <c r="EU85" s="198"/>
      <c r="EV85" s="198"/>
      <c r="EW85" s="198"/>
      <c r="EX85" s="198"/>
      <c r="EY85" s="198"/>
      <c r="EZ85" s="198"/>
      <c r="FA85" s="198"/>
      <c r="FB85" s="198"/>
      <c r="FC85" s="198"/>
      <c r="FD85" s="198"/>
      <c r="FE85" s="198"/>
      <c r="FF85" s="198"/>
      <c r="FG85" s="198"/>
      <c r="FH85" s="198"/>
      <c r="FI85" s="198"/>
      <c r="FJ85" s="198"/>
      <c r="FK85" s="198"/>
      <c r="FL85" s="198"/>
      <c r="FM85" s="198"/>
      <c r="FN85" s="198"/>
      <c r="FO85" s="198"/>
      <c r="FP85" s="201"/>
      <c r="FQ85" s="202" t="s">
        <v>756</v>
      </c>
      <c r="FR85" s="203" t="s">
        <v>389</v>
      </c>
      <c r="FS85" s="203"/>
      <c r="FT85" s="203" t="s">
        <v>423</v>
      </c>
      <c r="FU85" s="204">
        <f t="shared" si="0"/>
        <v>120</v>
      </c>
      <c r="FV85" s="205" t="s">
        <v>424</v>
      </c>
    </row>
    <row r="86" spans="1:178" s="174" customFormat="1" ht="11.4">
      <c r="A86" s="196" t="s">
        <v>393</v>
      </c>
      <c r="B86" s="196" t="s">
        <v>385</v>
      </c>
      <c r="C86" s="196" t="s">
        <v>411</v>
      </c>
      <c r="D86" s="196" t="s">
        <v>1</v>
      </c>
      <c r="E86" s="197" t="s">
        <v>446</v>
      </c>
      <c r="F86" s="196" t="s">
        <v>388</v>
      </c>
      <c r="G86" s="196"/>
      <c r="H86" s="198"/>
      <c r="I86" s="198"/>
      <c r="J86" s="198"/>
      <c r="K86" s="198"/>
      <c r="L86" s="198"/>
      <c r="M86" s="198"/>
      <c r="N86" s="206">
        <f>0+20</f>
        <v>20</v>
      </c>
      <c r="O86" s="200">
        <f t="shared" ref="O86:P86" si="82">500-500</f>
        <v>0</v>
      </c>
      <c r="P86" s="200">
        <f t="shared" si="82"/>
        <v>0</v>
      </c>
      <c r="Q86" s="198"/>
      <c r="R86" s="198"/>
      <c r="S86" s="200">
        <f>300-300</f>
        <v>0</v>
      </c>
      <c r="T86" s="198"/>
      <c r="U86" s="198"/>
      <c r="V86" s="198"/>
      <c r="W86" s="198"/>
      <c r="X86" s="198"/>
      <c r="Y86" s="198"/>
      <c r="Z86" s="198"/>
      <c r="AA86" s="198"/>
      <c r="AB86" s="198"/>
      <c r="AC86" s="200">
        <f>300-300</f>
        <v>0</v>
      </c>
      <c r="AD86" s="198"/>
      <c r="AE86" s="200">
        <f>500-500</f>
        <v>0</v>
      </c>
      <c r="AF86" s="198"/>
      <c r="AG86" s="198"/>
      <c r="AH86" s="200">
        <f>1000-1000</f>
        <v>0</v>
      </c>
      <c r="AI86" s="198"/>
      <c r="AJ86" s="198"/>
      <c r="AK86" s="198"/>
      <c r="AL86" s="198"/>
      <c r="AM86" s="198"/>
      <c r="AN86" s="198"/>
      <c r="AO86" s="200">
        <f>500-500</f>
        <v>0</v>
      </c>
      <c r="AP86" s="198"/>
      <c r="AQ86" s="198"/>
      <c r="AR86" s="198"/>
      <c r="AS86" s="200">
        <f>300-300</f>
        <v>0</v>
      </c>
      <c r="AT86" s="200">
        <f>300-300</f>
        <v>0</v>
      </c>
      <c r="AU86" s="199">
        <f>1000-1000+200</f>
        <v>200</v>
      </c>
      <c r="AV86" s="198"/>
      <c r="AW86" s="198"/>
      <c r="AX86" s="200">
        <f>500-500</f>
        <v>0</v>
      </c>
      <c r="AY86" s="198"/>
      <c r="AZ86" s="198"/>
      <c r="BA86" s="198"/>
      <c r="BB86" s="198"/>
      <c r="BC86" s="198"/>
      <c r="BD86" s="198"/>
      <c r="BE86" s="198"/>
      <c r="BF86" s="198"/>
      <c r="BG86" s="206">
        <f>0+120</f>
        <v>120</v>
      </c>
      <c r="BH86" s="198"/>
      <c r="BI86" s="198"/>
      <c r="BJ86" s="198"/>
      <c r="BK86" s="198"/>
      <c r="BL86" s="198"/>
      <c r="BM86" s="198"/>
      <c r="BN86" s="200">
        <f>300-300</f>
        <v>0</v>
      </c>
      <c r="BO86" s="198"/>
      <c r="BP86" s="198"/>
      <c r="BQ86" s="198"/>
      <c r="BR86" s="198"/>
      <c r="BS86" s="198"/>
      <c r="BT86" s="198"/>
      <c r="BU86" s="198"/>
      <c r="BV86" s="198"/>
      <c r="BW86" s="198"/>
      <c r="BX86" s="198"/>
      <c r="BY86" s="198"/>
      <c r="BZ86" s="198"/>
      <c r="CA86" s="198"/>
      <c r="CB86" s="198"/>
      <c r="CC86" s="198"/>
      <c r="CD86" s="198"/>
      <c r="CE86" s="198"/>
      <c r="CF86" s="198"/>
      <c r="CG86" s="198"/>
      <c r="CH86" s="198"/>
      <c r="CI86" s="198"/>
      <c r="CJ86" s="198"/>
      <c r="CK86" s="198"/>
      <c r="CL86" s="198"/>
      <c r="CM86" s="198"/>
      <c r="CN86" s="198"/>
      <c r="CO86" s="198"/>
      <c r="CP86" s="198"/>
      <c r="CQ86" s="198"/>
      <c r="CR86" s="198"/>
      <c r="CS86" s="198"/>
      <c r="CT86" s="198"/>
      <c r="CU86" s="198"/>
      <c r="CV86" s="198"/>
      <c r="CW86" s="198"/>
      <c r="CX86" s="198"/>
      <c r="CY86" s="198"/>
      <c r="CZ86" s="198"/>
      <c r="DA86" s="198"/>
      <c r="DB86" s="198"/>
      <c r="DC86" s="198"/>
      <c r="DD86" s="198"/>
      <c r="DE86" s="198"/>
      <c r="DF86" s="198"/>
      <c r="DG86" s="198"/>
      <c r="DH86" s="198"/>
      <c r="DI86" s="198"/>
      <c r="DJ86" s="198"/>
      <c r="DK86" s="198"/>
      <c r="DL86" s="198"/>
      <c r="DM86" s="198"/>
      <c r="DN86" s="198"/>
      <c r="DO86" s="198"/>
      <c r="DP86" s="198"/>
      <c r="DQ86" s="198"/>
      <c r="DR86" s="198"/>
      <c r="DS86" s="198"/>
      <c r="DT86" s="198"/>
      <c r="DU86" s="198"/>
      <c r="DV86" s="198"/>
      <c r="DW86" s="198"/>
      <c r="DX86" s="198"/>
      <c r="DY86" s="198"/>
      <c r="DZ86" s="198"/>
      <c r="EA86" s="198"/>
      <c r="EB86" s="198"/>
      <c r="EC86" s="198"/>
      <c r="ED86" s="198"/>
      <c r="EE86" s="198"/>
      <c r="EF86" s="198"/>
      <c r="EG86" s="198"/>
      <c r="EH86" s="200">
        <f>500-500</f>
        <v>0</v>
      </c>
      <c r="EI86" s="200">
        <f>1000-1000</f>
        <v>0</v>
      </c>
      <c r="EJ86" s="200">
        <f>500-500</f>
        <v>0</v>
      </c>
      <c r="EK86" s="200">
        <f>2000-2000</f>
        <v>0</v>
      </c>
      <c r="EL86" s="198"/>
      <c r="EM86" s="200">
        <f t="shared" ref="EM86:EN86" si="83">1000-1000</f>
        <v>0</v>
      </c>
      <c r="EN86" s="200">
        <f t="shared" si="83"/>
        <v>0</v>
      </c>
      <c r="EO86" s="198"/>
      <c r="EP86" s="200">
        <f t="shared" ref="EP86:EQ86" si="84">1000-1000</f>
        <v>0</v>
      </c>
      <c r="EQ86" s="200">
        <f t="shared" si="84"/>
        <v>0</v>
      </c>
      <c r="ER86" s="198"/>
      <c r="ES86" s="200">
        <f>1000-1000</f>
        <v>0</v>
      </c>
      <c r="ET86" s="198"/>
      <c r="EU86" s="198"/>
      <c r="EV86" s="198"/>
      <c r="EW86" s="198"/>
      <c r="EX86" s="198"/>
      <c r="EY86" s="200">
        <f>500-500</f>
        <v>0</v>
      </c>
      <c r="EZ86" s="198"/>
      <c r="FA86" s="198"/>
      <c r="FB86" s="198"/>
      <c r="FC86" s="198"/>
      <c r="FD86" s="198"/>
      <c r="FE86" s="198"/>
      <c r="FF86" s="198"/>
      <c r="FG86" s="198"/>
      <c r="FH86" s="198"/>
      <c r="FI86" s="198"/>
      <c r="FJ86" s="198"/>
      <c r="FK86" s="200">
        <f>1000-1000</f>
        <v>0</v>
      </c>
      <c r="FL86" s="198"/>
      <c r="FM86" s="199">
        <f>1000-1000+10</f>
        <v>10</v>
      </c>
      <c r="FN86" s="198"/>
      <c r="FO86" s="198"/>
      <c r="FP86" s="201"/>
      <c r="FQ86" s="202" t="s">
        <v>756</v>
      </c>
      <c r="FR86" s="203" t="s">
        <v>389</v>
      </c>
      <c r="FS86" s="203"/>
      <c r="FT86" s="203" t="s">
        <v>423</v>
      </c>
      <c r="FU86" s="204">
        <f t="shared" si="0"/>
        <v>350</v>
      </c>
      <c r="FV86" s="205" t="s">
        <v>424</v>
      </c>
    </row>
    <row r="87" spans="1:178" s="174" customFormat="1" ht="11.4">
      <c r="A87" s="196" t="s">
        <v>393</v>
      </c>
      <c r="B87" s="196" t="s">
        <v>385</v>
      </c>
      <c r="C87" s="196" t="s">
        <v>411</v>
      </c>
      <c r="D87" s="196" t="s">
        <v>293</v>
      </c>
      <c r="E87" s="197" t="s">
        <v>446</v>
      </c>
      <c r="F87" s="196" t="s">
        <v>388</v>
      </c>
      <c r="G87" s="196"/>
      <c r="H87" s="198"/>
      <c r="I87" s="198"/>
      <c r="J87" s="200">
        <f>200-200</f>
        <v>0</v>
      </c>
      <c r="K87" s="198"/>
      <c r="L87" s="198"/>
      <c r="M87" s="198"/>
      <c r="N87" s="198"/>
      <c r="O87" s="198"/>
      <c r="P87" s="198"/>
      <c r="Q87" s="198"/>
      <c r="R87" s="198"/>
      <c r="S87" s="198"/>
      <c r="T87" s="198"/>
      <c r="U87" s="198"/>
      <c r="V87" s="198"/>
      <c r="W87" s="198"/>
      <c r="X87" s="198"/>
      <c r="Y87" s="198"/>
      <c r="Z87" s="198"/>
      <c r="AA87" s="198"/>
      <c r="AB87" s="198"/>
      <c r="AC87" s="198"/>
      <c r="AD87" s="198"/>
      <c r="AE87" s="198"/>
      <c r="AF87" s="198"/>
      <c r="AG87" s="198"/>
      <c r="AH87" s="198"/>
      <c r="AI87" s="198"/>
      <c r="AJ87" s="198"/>
      <c r="AK87" s="198"/>
      <c r="AL87" s="198"/>
      <c r="AM87" s="198"/>
      <c r="AN87" s="198"/>
      <c r="AO87" s="198"/>
      <c r="AP87" s="198"/>
      <c r="AQ87" s="198"/>
      <c r="AR87" s="198"/>
      <c r="AS87" s="198"/>
      <c r="AT87" s="198"/>
      <c r="AU87" s="198"/>
      <c r="AV87" s="198"/>
      <c r="AW87" s="198"/>
      <c r="AX87" s="198"/>
      <c r="AY87" s="198"/>
      <c r="AZ87" s="198"/>
      <c r="BA87" s="198"/>
      <c r="BB87" s="198"/>
      <c r="BC87" s="198"/>
      <c r="BD87" s="198"/>
      <c r="BE87" s="198"/>
      <c r="BF87" s="198"/>
      <c r="BG87" s="198"/>
      <c r="BH87" s="198"/>
      <c r="BI87" s="198"/>
      <c r="BJ87" s="198"/>
      <c r="BK87" s="198"/>
      <c r="BL87" s="198"/>
      <c r="BM87" s="198"/>
      <c r="BN87" s="198"/>
      <c r="BO87" s="198"/>
      <c r="BP87" s="198"/>
      <c r="BQ87" s="198"/>
      <c r="BR87" s="198"/>
      <c r="BS87" s="198"/>
      <c r="BT87" s="198"/>
      <c r="BU87" s="198"/>
      <c r="BV87" s="198"/>
      <c r="BW87" s="198"/>
      <c r="BX87" s="198"/>
      <c r="BY87" s="198"/>
      <c r="BZ87" s="198"/>
      <c r="CA87" s="198"/>
      <c r="CB87" s="198"/>
      <c r="CC87" s="198"/>
      <c r="CD87" s="198"/>
      <c r="CE87" s="198"/>
      <c r="CF87" s="198"/>
      <c r="CG87" s="198"/>
      <c r="CH87" s="198"/>
      <c r="CI87" s="198"/>
      <c r="CJ87" s="198"/>
      <c r="CK87" s="198"/>
      <c r="CL87" s="198"/>
      <c r="CM87" s="198"/>
      <c r="CN87" s="198"/>
      <c r="CO87" s="198"/>
      <c r="CP87" s="198"/>
      <c r="CQ87" s="198"/>
      <c r="CR87" s="198"/>
      <c r="CS87" s="198"/>
      <c r="CT87" s="198"/>
      <c r="CU87" s="198"/>
      <c r="CV87" s="198"/>
      <c r="CW87" s="198"/>
      <c r="CX87" s="198"/>
      <c r="CY87" s="198"/>
      <c r="CZ87" s="198"/>
      <c r="DA87" s="198"/>
      <c r="DB87" s="198"/>
      <c r="DC87" s="198"/>
      <c r="DD87" s="198"/>
      <c r="DE87" s="198"/>
      <c r="DF87" s="198"/>
      <c r="DG87" s="198"/>
      <c r="DH87" s="198"/>
      <c r="DI87" s="198"/>
      <c r="DJ87" s="198"/>
      <c r="DK87" s="198"/>
      <c r="DL87" s="198"/>
      <c r="DM87" s="198"/>
      <c r="DN87" s="198"/>
      <c r="DO87" s="198"/>
      <c r="DP87" s="198"/>
      <c r="DQ87" s="198"/>
      <c r="DR87" s="198"/>
      <c r="DS87" s="198"/>
      <c r="DT87" s="198"/>
      <c r="DU87" s="198"/>
      <c r="DV87" s="198"/>
      <c r="DW87" s="198"/>
      <c r="DX87" s="198"/>
      <c r="DY87" s="198"/>
      <c r="DZ87" s="198"/>
      <c r="EA87" s="198"/>
      <c r="EB87" s="198"/>
      <c r="EC87" s="198"/>
      <c r="ED87" s="198"/>
      <c r="EE87" s="198"/>
      <c r="EF87" s="198"/>
      <c r="EG87" s="198"/>
      <c r="EH87" s="198"/>
      <c r="EI87" s="198"/>
      <c r="EJ87" s="198"/>
      <c r="EK87" s="198"/>
      <c r="EL87" s="198"/>
      <c r="EM87" s="198"/>
      <c r="EN87" s="198"/>
      <c r="EO87" s="198"/>
      <c r="EP87" s="198"/>
      <c r="EQ87" s="198"/>
      <c r="ER87" s="198"/>
      <c r="ES87" s="198"/>
      <c r="ET87" s="198"/>
      <c r="EU87" s="198"/>
      <c r="EV87" s="198"/>
      <c r="EW87" s="198"/>
      <c r="EX87" s="198"/>
      <c r="EY87" s="198"/>
      <c r="EZ87" s="198"/>
      <c r="FA87" s="198"/>
      <c r="FB87" s="198"/>
      <c r="FC87" s="198"/>
      <c r="FD87" s="198"/>
      <c r="FE87" s="198"/>
      <c r="FF87" s="198"/>
      <c r="FG87" s="198"/>
      <c r="FH87" s="198"/>
      <c r="FI87" s="198"/>
      <c r="FJ87" s="198"/>
      <c r="FK87" s="198"/>
      <c r="FL87" s="198"/>
      <c r="FM87" s="198"/>
      <c r="FN87" s="198"/>
      <c r="FO87" s="198"/>
      <c r="FP87" s="201"/>
      <c r="FQ87" s="202" t="s">
        <v>756</v>
      </c>
      <c r="FR87" s="203" t="s">
        <v>389</v>
      </c>
      <c r="FS87" s="203"/>
      <c r="FT87" s="203" t="s">
        <v>423</v>
      </c>
      <c r="FU87" s="204">
        <f t="shared" si="0"/>
        <v>0</v>
      </c>
      <c r="FV87" s="205" t="s">
        <v>424</v>
      </c>
    </row>
    <row r="88" spans="1:178" s="174" customFormat="1" ht="11.4">
      <c r="A88" s="196" t="s">
        <v>393</v>
      </c>
      <c r="B88" s="196" t="s">
        <v>385</v>
      </c>
      <c r="C88" s="196" t="s">
        <v>411</v>
      </c>
      <c r="D88" s="196" t="s">
        <v>291</v>
      </c>
      <c r="E88" s="197" t="s">
        <v>447</v>
      </c>
      <c r="F88" s="196" t="s">
        <v>388</v>
      </c>
      <c r="G88" s="196"/>
      <c r="H88" s="198"/>
      <c r="I88" s="198"/>
      <c r="J88" s="198"/>
      <c r="K88" s="200">
        <f>300-300</f>
        <v>0</v>
      </c>
      <c r="L88" s="198"/>
      <c r="M88" s="198"/>
      <c r="N88" s="198"/>
      <c r="O88" s="198"/>
      <c r="P88" s="198"/>
      <c r="Q88" s="198"/>
      <c r="R88" s="198"/>
      <c r="S88" s="198"/>
      <c r="T88" s="198"/>
      <c r="U88" s="198"/>
      <c r="V88" s="198"/>
      <c r="W88" s="198"/>
      <c r="X88" s="198"/>
      <c r="Y88" s="198"/>
      <c r="Z88" s="198"/>
      <c r="AA88" s="198"/>
      <c r="AB88" s="198"/>
      <c r="AC88" s="198"/>
      <c r="AD88" s="206">
        <f>0+15</f>
        <v>15</v>
      </c>
      <c r="AE88" s="198"/>
      <c r="AF88" s="198"/>
      <c r="AG88" s="200">
        <f>300-300</f>
        <v>0</v>
      </c>
      <c r="AH88" s="198">
        <f>0+20</f>
        <v>20</v>
      </c>
      <c r="AI88" s="198"/>
      <c r="AJ88" s="198"/>
      <c r="AK88" s="198"/>
      <c r="AL88" s="198"/>
      <c r="AM88" s="198"/>
      <c r="AN88" s="198"/>
      <c r="AO88" s="198"/>
      <c r="AP88" s="198"/>
      <c r="AQ88" s="198"/>
      <c r="AR88" s="198"/>
      <c r="AS88" s="198"/>
      <c r="AT88" s="198"/>
      <c r="AU88" s="198"/>
      <c r="AV88" s="198"/>
      <c r="AW88" s="198"/>
      <c r="AX88" s="198"/>
      <c r="AY88" s="198"/>
      <c r="AZ88" s="198"/>
      <c r="BA88" s="198"/>
      <c r="BB88" s="198"/>
      <c r="BC88" s="198"/>
      <c r="BD88" s="198"/>
      <c r="BE88" s="198"/>
      <c r="BF88" s="198"/>
      <c r="BG88" s="198"/>
      <c r="BH88" s="198"/>
      <c r="BI88" s="198"/>
      <c r="BJ88" s="198"/>
      <c r="BK88" s="198"/>
      <c r="BL88" s="198"/>
      <c r="BM88" s="198"/>
      <c r="BN88" s="198"/>
      <c r="BO88" s="198"/>
      <c r="BP88" s="198"/>
      <c r="BQ88" s="198"/>
      <c r="BR88" s="198"/>
      <c r="BS88" s="198"/>
      <c r="BT88" s="198"/>
      <c r="BU88" s="198"/>
      <c r="BV88" s="198"/>
      <c r="BW88" s="198"/>
      <c r="BX88" s="198"/>
      <c r="BY88" s="198"/>
      <c r="BZ88" s="198"/>
      <c r="CA88" s="198"/>
      <c r="CB88" s="198"/>
      <c r="CC88" s="198"/>
      <c r="CD88" s="198"/>
      <c r="CE88" s="198"/>
      <c r="CF88" s="198"/>
      <c r="CG88" s="198"/>
      <c r="CH88" s="198"/>
      <c r="CI88" s="198"/>
      <c r="CJ88" s="198"/>
      <c r="CK88" s="198"/>
      <c r="CL88" s="198"/>
      <c r="CM88" s="198"/>
      <c r="CN88" s="198"/>
      <c r="CO88" s="198"/>
      <c r="CP88" s="198"/>
      <c r="CQ88" s="198"/>
      <c r="CR88" s="198"/>
      <c r="CS88" s="198"/>
      <c r="CT88" s="198"/>
      <c r="CU88" s="198"/>
      <c r="CV88" s="198"/>
      <c r="CW88" s="198"/>
      <c r="CX88" s="198"/>
      <c r="CY88" s="198"/>
      <c r="CZ88" s="198"/>
      <c r="DA88" s="198"/>
      <c r="DB88" s="198"/>
      <c r="DC88" s="198"/>
      <c r="DD88" s="198"/>
      <c r="DE88" s="198"/>
      <c r="DF88" s="198"/>
      <c r="DG88" s="198"/>
      <c r="DH88" s="198"/>
      <c r="DI88" s="198"/>
      <c r="DJ88" s="198"/>
      <c r="DK88" s="198"/>
      <c r="DL88" s="198"/>
      <c r="DM88" s="198"/>
      <c r="DN88" s="198"/>
      <c r="DO88" s="198"/>
      <c r="DP88" s="198"/>
      <c r="DQ88" s="198"/>
      <c r="DR88" s="198"/>
      <c r="DS88" s="198"/>
      <c r="DT88" s="198"/>
      <c r="DU88" s="198"/>
      <c r="DV88" s="198"/>
      <c r="DW88" s="198"/>
      <c r="DX88" s="198"/>
      <c r="DY88" s="198"/>
      <c r="DZ88" s="199">
        <f>600-600+60</f>
        <v>60</v>
      </c>
      <c r="EA88" s="198"/>
      <c r="EB88" s="198"/>
      <c r="EC88" s="198"/>
      <c r="ED88" s="198"/>
      <c r="EE88" s="198"/>
      <c r="EF88" s="198"/>
      <c r="EG88" s="198"/>
      <c r="EH88" s="198"/>
      <c r="EI88" s="198"/>
      <c r="EJ88" s="198"/>
      <c r="EK88" s="198"/>
      <c r="EL88" s="198"/>
      <c r="EM88" s="198"/>
      <c r="EN88" s="198"/>
      <c r="EO88" s="198"/>
      <c r="EP88" s="198"/>
      <c r="EQ88" s="198"/>
      <c r="ER88" s="198"/>
      <c r="ES88" s="198"/>
      <c r="ET88" s="198"/>
      <c r="EU88" s="198"/>
      <c r="EV88" s="198"/>
      <c r="EW88" s="198"/>
      <c r="EX88" s="198"/>
      <c r="EY88" s="198"/>
      <c r="EZ88" s="198"/>
      <c r="FA88" s="198"/>
      <c r="FB88" s="198"/>
      <c r="FC88" s="198"/>
      <c r="FD88" s="198"/>
      <c r="FE88" s="198"/>
      <c r="FF88" s="198"/>
      <c r="FG88" s="198"/>
      <c r="FH88" s="198"/>
      <c r="FI88" s="198"/>
      <c r="FJ88" s="198"/>
      <c r="FK88" s="198"/>
      <c r="FL88" s="198"/>
      <c r="FM88" s="198"/>
      <c r="FN88" s="198"/>
      <c r="FO88" s="198"/>
      <c r="FP88" s="201"/>
      <c r="FQ88" s="202" t="s">
        <v>756</v>
      </c>
      <c r="FR88" s="203" t="s">
        <v>389</v>
      </c>
      <c r="FS88" s="203" t="s">
        <v>448</v>
      </c>
      <c r="FT88" s="203" t="s">
        <v>449</v>
      </c>
      <c r="FU88" s="204">
        <f t="shared" si="0"/>
        <v>95</v>
      </c>
      <c r="FV88" s="205" t="s">
        <v>433</v>
      </c>
    </row>
    <row r="89" spans="1:178" s="174" customFormat="1" ht="11.4">
      <c r="A89" s="196" t="s">
        <v>393</v>
      </c>
      <c r="B89" s="196" t="s">
        <v>385</v>
      </c>
      <c r="C89" s="196" t="s">
        <v>411</v>
      </c>
      <c r="D89" s="196" t="s">
        <v>1</v>
      </c>
      <c r="E89" s="197" t="s">
        <v>447</v>
      </c>
      <c r="F89" s="196" t="s">
        <v>388</v>
      </c>
      <c r="G89" s="196"/>
      <c r="H89" s="198"/>
      <c r="I89" s="198"/>
      <c r="J89" s="198"/>
      <c r="K89" s="198"/>
      <c r="L89" s="198"/>
      <c r="M89" s="198"/>
      <c r="N89" s="198"/>
      <c r="O89" s="198"/>
      <c r="P89" s="198"/>
      <c r="Q89" s="198"/>
      <c r="R89" s="198"/>
      <c r="S89" s="198"/>
      <c r="T89" s="198"/>
      <c r="U89" s="198"/>
      <c r="V89" s="198"/>
      <c r="W89" s="198"/>
      <c r="X89" s="198"/>
      <c r="Y89" s="198"/>
      <c r="Z89" s="200">
        <f>150-150</f>
        <v>0</v>
      </c>
      <c r="AA89" s="198"/>
      <c r="AB89" s="198"/>
      <c r="AC89" s="198"/>
      <c r="AD89" s="200">
        <f>300-300</f>
        <v>0</v>
      </c>
      <c r="AE89" s="200">
        <f t="shared" ref="AE89:AF89" si="85">150-150</f>
        <v>0</v>
      </c>
      <c r="AF89" s="200">
        <f t="shared" si="85"/>
        <v>0</v>
      </c>
      <c r="AG89" s="198"/>
      <c r="AH89" s="200">
        <f>150-150</f>
        <v>0</v>
      </c>
      <c r="AI89" s="198"/>
      <c r="AJ89" s="198"/>
      <c r="AK89" s="198"/>
      <c r="AL89" s="198"/>
      <c r="AM89" s="198"/>
      <c r="AN89" s="198"/>
      <c r="AO89" s="198"/>
      <c r="AP89" s="198"/>
      <c r="AQ89" s="198"/>
      <c r="AR89" s="198"/>
      <c r="AS89" s="198"/>
      <c r="AT89" s="198"/>
      <c r="AU89" s="199">
        <f>100-100+20</f>
        <v>20</v>
      </c>
      <c r="AV89" s="198"/>
      <c r="AW89" s="198"/>
      <c r="AX89" s="198"/>
      <c r="AY89" s="198"/>
      <c r="AZ89" s="198"/>
      <c r="BA89" s="198"/>
      <c r="BB89" s="198"/>
      <c r="BC89" s="198"/>
      <c r="BD89" s="198"/>
      <c r="BE89" s="198"/>
      <c r="BF89" s="198"/>
      <c r="BG89" s="198"/>
      <c r="BH89" s="198"/>
      <c r="BI89" s="198"/>
      <c r="BJ89" s="198"/>
      <c r="BK89" s="198"/>
      <c r="BL89" s="198"/>
      <c r="BM89" s="198"/>
      <c r="BN89" s="198"/>
      <c r="BO89" s="198"/>
      <c r="BP89" s="198"/>
      <c r="BQ89" s="198"/>
      <c r="BR89" s="198"/>
      <c r="BS89" s="198"/>
      <c r="BT89" s="198"/>
      <c r="BU89" s="198"/>
      <c r="BV89" s="198"/>
      <c r="BW89" s="198"/>
      <c r="BX89" s="198"/>
      <c r="BY89" s="198"/>
      <c r="BZ89" s="198"/>
      <c r="CA89" s="198"/>
      <c r="CB89" s="198"/>
      <c r="CC89" s="198"/>
      <c r="CD89" s="198"/>
      <c r="CE89" s="198"/>
      <c r="CF89" s="198"/>
      <c r="CG89" s="198"/>
      <c r="CH89" s="198"/>
      <c r="CI89" s="198"/>
      <c r="CJ89" s="198"/>
      <c r="CK89" s="198"/>
      <c r="CL89" s="200">
        <f>700-700</f>
        <v>0</v>
      </c>
      <c r="CM89" s="198"/>
      <c r="CN89" s="198"/>
      <c r="CO89" s="198"/>
      <c r="CP89" s="198"/>
      <c r="CQ89" s="198"/>
      <c r="CR89" s="198"/>
      <c r="CS89" s="198"/>
      <c r="CT89" s="198"/>
      <c r="CU89" s="198"/>
      <c r="CV89" s="198"/>
      <c r="CW89" s="198"/>
      <c r="CX89" s="198"/>
      <c r="CY89" s="198"/>
      <c r="CZ89" s="198"/>
      <c r="DA89" s="198"/>
      <c r="DB89" s="198"/>
      <c r="DC89" s="198"/>
      <c r="DD89" s="198"/>
      <c r="DE89" s="198"/>
      <c r="DF89" s="198"/>
      <c r="DG89" s="198"/>
      <c r="DH89" s="198"/>
      <c r="DI89" s="198"/>
      <c r="DJ89" s="198"/>
      <c r="DK89" s="198"/>
      <c r="DL89" s="198"/>
      <c r="DM89" s="200">
        <f>1500-1500</f>
        <v>0</v>
      </c>
      <c r="DN89" s="198"/>
      <c r="DO89" s="198"/>
      <c r="DP89" s="198"/>
      <c r="DQ89" s="198"/>
      <c r="DR89" s="198"/>
      <c r="DS89" s="198"/>
      <c r="DT89" s="198"/>
      <c r="DU89" s="198"/>
      <c r="DV89" s="198"/>
      <c r="DW89" s="198"/>
      <c r="DX89" s="198"/>
      <c r="DY89" s="198"/>
      <c r="DZ89" s="198"/>
      <c r="EA89" s="198"/>
      <c r="EB89" s="198"/>
      <c r="EC89" s="198"/>
      <c r="ED89" s="198"/>
      <c r="EE89" s="198"/>
      <c r="EF89" s="198"/>
      <c r="EG89" s="198"/>
      <c r="EH89" s="198"/>
      <c r="EI89" s="198"/>
      <c r="EJ89" s="198"/>
      <c r="EK89" s="198"/>
      <c r="EL89" s="198"/>
      <c r="EM89" s="198"/>
      <c r="EN89" s="198"/>
      <c r="EO89" s="198"/>
      <c r="EP89" s="198"/>
      <c r="EQ89" s="198"/>
      <c r="ER89" s="198"/>
      <c r="ES89" s="198"/>
      <c r="ET89" s="198"/>
      <c r="EU89" s="198"/>
      <c r="EV89" s="198"/>
      <c r="EW89" s="198"/>
      <c r="EX89" s="198"/>
      <c r="EY89" s="198"/>
      <c r="EZ89" s="198"/>
      <c r="FA89" s="198"/>
      <c r="FB89" s="198"/>
      <c r="FC89" s="198"/>
      <c r="FD89" s="198"/>
      <c r="FE89" s="198"/>
      <c r="FF89" s="198"/>
      <c r="FG89" s="198"/>
      <c r="FH89" s="198"/>
      <c r="FI89" s="198"/>
      <c r="FJ89" s="198"/>
      <c r="FK89" s="198"/>
      <c r="FL89" s="198"/>
      <c r="FM89" s="198"/>
      <c r="FN89" s="198"/>
      <c r="FO89" s="198"/>
      <c r="FP89" s="201"/>
      <c r="FQ89" s="202" t="s">
        <v>756</v>
      </c>
      <c r="FR89" s="203" t="s">
        <v>389</v>
      </c>
      <c r="FS89" s="203" t="s">
        <v>448</v>
      </c>
      <c r="FT89" s="203" t="s">
        <v>449</v>
      </c>
      <c r="FU89" s="204">
        <f t="shared" si="0"/>
        <v>20</v>
      </c>
      <c r="FV89" s="205" t="s">
        <v>433</v>
      </c>
    </row>
    <row r="90" spans="1:178" s="174" customFormat="1" ht="11.4">
      <c r="A90" s="196" t="s">
        <v>417</v>
      </c>
      <c r="B90" s="196" t="s">
        <v>385</v>
      </c>
      <c r="C90" s="196" t="s">
        <v>411</v>
      </c>
      <c r="D90" s="196" t="s">
        <v>1</v>
      </c>
      <c r="E90" s="197" t="s">
        <v>450</v>
      </c>
      <c r="F90" s="196" t="s">
        <v>388</v>
      </c>
      <c r="G90" s="196"/>
      <c r="H90" s="198"/>
      <c r="I90" s="198"/>
      <c r="J90" s="198"/>
      <c r="K90" s="198"/>
      <c r="L90" s="198"/>
      <c r="M90" s="198"/>
      <c r="N90" s="198"/>
      <c r="O90" s="198"/>
      <c r="P90" s="198"/>
      <c r="Q90" s="198"/>
      <c r="R90" s="198"/>
      <c r="S90" s="198"/>
      <c r="T90" s="198"/>
      <c r="U90" s="198"/>
      <c r="V90" s="198"/>
      <c r="W90" s="198"/>
      <c r="X90" s="198"/>
      <c r="Y90" s="198"/>
      <c r="Z90" s="198"/>
      <c r="AA90" s="198"/>
      <c r="AB90" s="198"/>
      <c r="AC90" s="198"/>
      <c r="AD90" s="198"/>
      <c r="AE90" s="198"/>
      <c r="AF90" s="198"/>
      <c r="AG90" s="198"/>
      <c r="AH90" s="198"/>
      <c r="AI90" s="198"/>
      <c r="AJ90" s="198"/>
      <c r="AK90" s="198"/>
      <c r="AL90" s="198"/>
      <c r="AM90" s="198"/>
      <c r="AN90" s="198"/>
      <c r="AO90" s="198"/>
      <c r="AP90" s="198"/>
      <c r="AQ90" s="198"/>
      <c r="AR90" s="198"/>
      <c r="AS90" s="198"/>
      <c r="AT90" s="198"/>
      <c r="AU90" s="199">
        <f>30-30+10</f>
        <v>10</v>
      </c>
      <c r="AV90" s="198"/>
      <c r="AW90" s="198"/>
      <c r="AX90" s="198"/>
      <c r="AY90" s="198"/>
      <c r="AZ90" s="198"/>
      <c r="BA90" s="198"/>
      <c r="BB90" s="198"/>
      <c r="BC90" s="198"/>
      <c r="BD90" s="198"/>
      <c r="BE90" s="198"/>
      <c r="BF90" s="198"/>
      <c r="BG90" s="198"/>
      <c r="BH90" s="198"/>
      <c r="BI90" s="198"/>
      <c r="BJ90" s="198"/>
      <c r="BK90" s="198"/>
      <c r="BL90" s="198"/>
      <c r="BM90" s="198"/>
      <c r="BN90" s="198"/>
      <c r="BO90" s="198"/>
      <c r="BP90" s="198"/>
      <c r="BQ90" s="198"/>
      <c r="BR90" s="198"/>
      <c r="BS90" s="198"/>
      <c r="BT90" s="198"/>
      <c r="BU90" s="198"/>
      <c r="BV90" s="198"/>
      <c r="BW90" s="198"/>
      <c r="BX90" s="198"/>
      <c r="BY90" s="198"/>
      <c r="BZ90" s="198"/>
      <c r="CA90" s="198"/>
      <c r="CB90" s="198"/>
      <c r="CC90" s="198"/>
      <c r="CD90" s="198"/>
      <c r="CE90" s="198"/>
      <c r="CF90" s="198"/>
      <c r="CG90" s="198"/>
      <c r="CH90" s="198"/>
      <c r="CI90" s="198"/>
      <c r="CJ90" s="198"/>
      <c r="CK90" s="198"/>
      <c r="CL90" s="198"/>
      <c r="CM90" s="198"/>
      <c r="CN90" s="198"/>
      <c r="CO90" s="198"/>
      <c r="CP90" s="198"/>
      <c r="CQ90" s="198"/>
      <c r="CR90" s="198"/>
      <c r="CS90" s="198"/>
      <c r="CT90" s="198"/>
      <c r="CU90" s="198"/>
      <c r="CV90" s="198"/>
      <c r="CW90" s="198"/>
      <c r="CX90" s="198"/>
      <c r="CY90" s="198"/>
      <c r="CZ90" s="198"/>
      <c r="DA90" s="198"/>
      <c r="DB90" s="198"/>
      <c r="DC90" s="198"/>
      <c r="DD90" s="198"/>
      <c r="DE90" s="198"/>
      <c r="DF90" s="198"/>
      <c r="DG90" s="198"/>
      <c r="DH90" s="198"/>
      <c r="DI90" s="198"/>
      <c r="DJ90" s="198"/>
      <c r="DK90" s="198"/>
      <c r="DL90" s="198"/>
      <c r="DM90" s="198"/>
      <c r="DN90" s="198"/>
      <c r="DO90" s="198"/>
      <c r="DP90" s="198"/>
      <c r="DQ90" s="198"/>
      <c r="DR90" s="198"/>
      <c r="DS90" s="198"/>
      <c r="DT90" s="198"/>
      <c r="DU90" s="198"/>
      <c r="DV90" s="198"/>
      <c r="DW90" s="198"/>
      <c r="DX90" s="198"/>
      <c r="DY90" s="198"/>
      <c r="DZ90" s="198"/>
      <c r="EA90" s="198"/>
      <c r="EB90" s="198"/>
      <c r="EC90" s="198"/>
      <c r="ED90" s="198"/>
      <c r="EE90" s="198"/>
      <c r="EF90" s="198"/>
      <c r="EG90" s="198"/>
      <c r="EH90" s="198"/>
      <c r="EI90" s="198"/>
      <c r="EJ90" s="198"/>
      <c r="EK90" s="198"/>
      <c r="EL90" s="198"/>
      <c r="EM90" s="198"/>
      <c r="EN90" s="198"/>
      <c r="EO90" s="198"/>
      <c r="EP90" s="198"/>
      <c r="EQ90" s="198"/>
      <c r="ER90" s="198"/>
      <c r="ES90" s="198"/>
      <c r="ET90" s="198"/>
      <c r="EU90" s="198"/>
      <c r="EV90" s="198"/>
      <c r="EW90" s="198"/>
      <c r="EX90" s="198"/>
      <c r="EY90" s="198"/>
      <c r="EZ90" s="198"/>
      <c r="FA90" s="198"/>
      <c r="FB90" s="198"/>
      <c r="FC90" s="198"/>
      <c r="FD90" s="198"/>
      <c r="FE90" s="198"/>
      <c r="FF90" s="198"/>
      <c r="FG90" s="198"/>
      <c r="FH90" s="198"/>
      <c r="FI90" s="198"/>
      <c r="FJ90" s="198"/>
      <c r="FK90" s="198"/>
      <c r="FL90" s="198"/>
      <c r="FM90" s="198"/>
      <c r="FN90" s="198"/>
      <c r="FO90" s="198"/>
      <c r="FP90" s="201"/>
      <c r="FQ90" s="202" t="s">
        <v>756</v>
      </c>
      <c r="FR90" s="203" t="s">
        <v>389</v>
      </c>
      <c r="FS90" s="203" t="s">
        <v>451</v>
      </c>
      <c r="FT90" s="203" t="s">
        <v>432</v>
      </c>
      <c r="FU90" s="204">
        <f t="shared" si="0"/>
        <v>10</v>
      </c>
      <c r="FV90" s="205" t="s">
        <v>433</v>
      </c>
    </row>
    <row r="91" spans="1:178" s="174" customFormat="1" ht="11.4">
      <c r="A91" s="210"/>
      <c r="B91" s="210"/>
      <c r="C91" s="210"/>
      <c r="D91" s="210"/>
      <c r="E91" s="211" t="s">
        <v>41</v>
      </c>
      <c r="F91" s="210"/>
      <c r="G91" s="210"/>
      <c r="H91" s="207"/>
      <c r="I91" s="207"/>
      <c r="J91" s="207"/>
      <c r="K91" s="207"/>
      <c r="L91" s="207"/>
      <c r="M91" s="207"/>
      <c r="N91" s="207"/>
      <c r="O91" s="207"/>
      <c r="P91" s="207"/>
      <c r="Q91" s="207"/>
      <c r="R91" s="207"/>
      <c r="S91" s="207"/>
      <c r="T91" s="207"/>
      <c r="U91" s="207"/>
      <c r="V91" s="207"/>
      <c r="W91" s="207"/>
      <c r="X91" s="207"/>
      <c r="Y91" s="207"/>
      <c r="Z91" s="207"/>
      <c r="AA91" s="207"/>
      <c r="AB91" s="207"/>
      <c r="AC91" s="207"/>
      <c r="AD91" s="207"/>
      <c r="AE91" s="207"/>
      <c r="AF91" s="207"/>
      <c r="AG91" s="207"/>
      <c r="AH91" s="207"/>
      <c r="AI91" s="207"/>
      <c r="AJ91" s="207"/>
      <c r="AK91" s="207"/>
      <c r="AL91" s="207"/>
      <c r="AM91" s="207"/>
      <c r="AN91" s="207"/>
      <c r="AO91" s="207"/>
      <c r="AP91" s="207"/>
      <c r="AQ91" s="207"/>
      <c r="AR91" s="207"/>
      <c r="AS91" s="207"/>
      <c r="AT91" s="207"/>
      <c r="AU91" s="207">
        <f>SUBTOTAL(9,AU26:AU90)</f>
        <v>1100</v>
      </c>
      <c r="AV91" s="207"/>
      <c r="AW91" s="207"/>
      <c r="AX91" s="207"/>
      <c r="AY91" s="207"/>
      <c r="AZ91" s="207"/>
      <c r="BA91" s="207"/>
      <c r="BB91" s="207"/>
      <c r="BC91" s="207"/>
      <c r="BD91" s="207"/>
      <c r="BE91" s="207"/>
      <c r="BF91" s="207"/>
      <c r="BG91" s="207">
        <f>SUBTOTAL(9,BG26:BG90)</f>
        <v>860</v>
      </c>
      <c r="BH91" s="207"/>
      <c r="BI91" s="207"/>
      <c r="BJ91" s="207"/>
      <c r="BK91" s="207"/>
      <c r="BL91" s="207"/>
      <c r="BM91" s="207"/>
      <c r="BN91" s="207"/>
      <c r="BO91" s="207">
        <v>220</v>
      </c>
      <c r="BP91" s="207"/>
      <c r="BQ91" s="207">
        <v>480</v>
      </c>
      <c r="BR91" s="207">
        <v>2130</v>
      </c>
      <c r="BS91" s="207"/>
      <c r="BT91" s="207"/>
      <c r="BU91" s="212">
        <v>110</v>
      </c>
      <c r="BV91" s="207">
        <v>2</v>
      </c>
      <c r="BW91" s="207"/>
      <c r="BX91" s="207"/>
      <c r="BY91" s="207">
        <v>260</v>
      </c>
      <c r="BZ91" s="207"/>
      <c r="CA91" s="207"/>
      <c r="CB91" s="207"/>
      <c r="CC91" s="207">
        <v>280</v>
      </c>
      <c r="CD91" s="207">
        <v>8</v>
      </c>
      <c r="CE91" s="207"/>
      <c r="CF91" s="207">
        <v>550</v>
      </c>
      <c r="CG91" s="207">
        <v>160</v>
      </c>
      <c r="CH91" s="207"/>
      <c r="CI91" s="207"/>
      <c r="CJ91" s="207"/>
      <c r="CK91" s="207"/>
      <c r="CL91" s="207"/>
      <c r="CM91" s="207">
        <v>1</v>
      </c>
      <c r="CN91" s="207">
        <v>180</v>
      </c>
      <c r="CO91" s="207"/>
      <c r="CP91" s="207"/>
      <c r="CQ91" s="207"/>
      <c r="CR91" s="207"/>
      <c r="CS91" s="207"/>
      <c r="CT91" s="207"/>
      <c r="CU91" s="207"/>
      <c r="CV91" s="207"/>
      <c r="CW91" s="207">
        <v>70</v>
      </c>
      <c r="CX91" s="207">
        <v>90</v>
      </c>
      <c r="CY91" s="207"/>
      <c r="CZ91" s="207"/>
      <c r="DA91" s="207"/>
      <c r="DB91" s="207"/>
      <c r="DC91" s="207"/>
      <c r="DD91" s="207"/>
      <c r="DE91" s="207"/>
      <c r="DF91" s="207"/>
      <c r="DG91" s="207"/>
      <c r="DH91" s="207">
        <v>45</v>
      </c>
      <c r="DI91" s="207">
        <v>10</v>
      </c>
      <c r="DJ91" s="207"/>
      <c r="DK91" s="207"/>
      <c r="DL91" s="207"/>
      <c r="DM91" s="207"/>
      <c r="DN91" s="207"/>
      <c r="DO91" s="207">
        <v>190</v>
      </c>
      <c r="DP91" s="207">
        <v>10</v>
      </c>
      <c r="DQ91" s="207"/>
      <c r="DR91" s="207"/>
      <c r="DS91" s="207"/>
      <c r="DT91" s="207"/>
      <c r="DU91" s="207"/>
      <c r="DV91" s="207"/>
      <c r="DW91" s="207">
        <v>80</v>
      </c>
      <c r="DX91" s="207"/>
      <c r="DY91" s="207"/>
      <c r="DZ91" s="207"/>
      <c r="EA91" s="207"/>
      <c r="EB91" s="207"/>
      <c r="EC91" s="207"/>
      <c r="ED91" s="207"/>
      <c r="EE91" s="207"/>
      <c r="EF91" s="207">
        <v>10</v>
      </c>
      <c r="EG91" s="207"/>
      <c r="EH91" s="207"/>
      <c r="EI91" s="207">
        <v>10</v>
      </c>
      <c r="EJ91" s="207"/>
      <c r="EK91" s="207"/>
      <c r="EL91" s="207"/>
      <c r="EM91" s="207"/>
      <c r="EN91" s="207"/>
      <c r="EO91" s="207">
        <v>1</v>
      </c>
      <c r="EP91" s="207">
        <v>1</v>
      </c>
      <c r="EQ91" s="207"/>
      <c r="ER91" s="207"/>
      <c r="ES91" s="207"/>
      <c r="ET91" s="207"/>
      <c r="EU91" s="207"/>
      <c r="EV91" s="207"/>
      <c r="EW91" s="207"/>
      <c r="EX91" s="207">
        <v>150</v>
      </c>
      <c r="EY91" s="207">
        <v>240</v>
      </c>
      <c r="EZ91" s="207"/>
      <c r="FA91" s="207"/>
      <c r="FB91" s="207">
        <v>10</v>
      </c>
      <c r="FC91" s="207"/>
      <c r="FD91" s="207"/>
      <c r="FE91" s="207"/>
      <c r="FF91" s="207">
        <v>20</v>
      </c>
      <c r="FG91" s="207"/>
      <c r="FH91" s="207"/>
      <c r="FI91" s="207"/>
      <c r="FJ91" s="207">
        <v>30</v>
      </c>
      <c r="FK91" s="207"/>
      <c r="FL91" s="207"/>
      <c r="FM91" s="207"/>
      <c r="FN91" s="207"/>
      <c r="FO91" s="207"/>
      <c r="FP91" s="213"/>
      <c r="FQ91" s="214"/>
      <c r="FR91" s="215"/>
      <c r="FS91" s="215"/>
      <c r="FT91" s="215"/>
      <c r="FU91" s="216">
        <f t="shared" si="0"/>
        <v>7308</v>
      </c>
      <c r="FV91" s="217"/>
    </row>
    <row r="93" spans="1:178">
      <c r="E93" s="9" t="s">
        <v>770</v>
      </c>
      <c r="BO93" s="9">
        <v>150</v>
      </c>
      <c r="BQ93" s="9">
        <v>320</v>
      </c>
      <c r="BR93" s="9">
        <v>1450</v>
      </c>
      <c r="BU93" s="9">
        <v>70</v>
      </c>
      <c r="BY93" s="9">
        <v>180</v>
      </c>
      <c r="CC93" s="9">
        <v>190</v>
      </c>
      <c r="CD93" s="9">
        <v>8</v>
      </c>
      <c r="CF93" s="9">
        <v>380</v>
      </c>
      <c r="CG93" s="9">
        <v>120</v>
      </c>
      <c r="CN93" s="9">
        <v>110</v>
      </c>
      <c r="CW93" s="9">
        <v>40</v>
      </c>
      <c r="CX93" s="9">
        <v>55</v>
      </c>
      <c r="DH93" s="9">
        <v>25</v>
      </c>
      <c r="DI93" s="9">
        <v>5</v>
      </c>
      <c r="DO93" s="9">
        <v>110</v>
      </c>
      <c r="DP93" s="9">
        <v>10</v>
      </c>
      <c r="DW93" s="9">
        <v>50</v>
      </c>
      <c r="EI93" s="9">
        <v>10</v>
      </c>
      <c r="EX93" s="9">
        <v>100</v>
      </c>
      <c r="EY93" s="9">
        <v>170</v>
      </c>
      <c r="FB93" s="9">
        <v>10</v>
      </c>
      <c r="FF93" s="9">
        <v>10</v>
      </c>
      <c r="FJ93" s="9">
        <v>10</v>
      </c>
      <c r="FP93" s="9">
        <f>SUBTOTAL(9,H93:FO93)</f>
        <v>3583</v>
      </c>
    </row>
    <row r="94" spans="1:178">
      <c r="E94" s="9" t="s">
        <v>769</v>
      </c>
      <c r="BO94" s="9">
        <v>10</v>
      </c>
      <c r="BQ94" s="9">
        <v>40</v>
      </c>
      <c r="BR94" s="9">
        <v>160</v>
      </c>
      <c r="BU94" s="9">
        <v>5</v>
      </c>
      <c r="BY94" s="9">
        <v>20</v>
      </c>
      <c r="CC94" s="9">
        <v>20</v>
      </c>
      <c r="CF94" s="9">
        <v>40</v>
      </c>
      <c r="CG94" s="9">
        <v>10</v>
      </c>
      <c r="CN94" s="9">
        <v>15</v>
      </c>
      <c r="CW94" s="9">
        <v>5</v>
      </c>
      <c r="CX94" s="9">
        <v>10</v>
      </c>
      <c r="DH94" s="9">
        <v>5</v>
      </c>
      <c r="DO94" s="9">
        <v>20</v>
      </c>
      <c r="DW94" s="9">
        <v>5</v>
      </c>
      <c r="EF94" s="9">
        <v>10</v>
      </c>
      <c r="EX94" s="9">
        <v>20</v>
      </c>
      <c r="EY94" s="9">
        <v>20</v>
      </c>
      <c r="FF94" s="9">
        <v>5</v>
      </c>
      <c r="FJ94" s="9">
        <v>5</v>
      </c>
      <c r="FP94" s="9">
        <f t="shared" ref="FP94:FP97" si="86">SUBTOTAL(9,H94:FO94)</f>
        <v>425</v>
      </c>
    </row>
    <row r="95" spans="1:178">
      <c r="E95" s="9" t="s">
        <v>768</v>
      </c>
      <c r="BO95" s="9">
        <v>20</v>
      </c>
      <c r="BQ95" s="9">
        <v>30</v>
      </c>
      <c r="BR95" s="9">
        <v>160</v>
      </c>
      <c r="BU95" s="9">
        <v>10</v>
      </c>
      <c r="BY95" s="9">
        <v>20</v>
      </c>
      <c r="CC95" s="9">
        <v>25</v>
      </c>
      <c r="CF95" s="9">
        <v>50</v>
      </c>
      <c r="CG95" s="9">
        <v>10</v>
      </c>
      <c r="CN95" s="9">
        <v>20</v>
      </c>
      <c r="CW95" s="9">
        <v>10</v>
      </c>
      <c r="CX95" s="9">
        <v>10</v>
      </c>
      <c r="DH95" s="9">
        <v>5</v>
      </c>
      <c r="DI95" s="9">
        <v>5</v>
      </c>
      <c r="DO95" s="9">
        <v>20</v>
      </c>
      <c r="DW95" s="9">
        <v>10</v>
      </c>
      <c r="EX95" s="9">
        <v>10</v>
      </c>
      <c r="EY95" s="9">
        <v>10</v>
      </c>
      <c r="FJ95" s="9">
        <v>5</v>
      </c>
      <c r="FP95" s="9">
        <f t="shared" si="86"/>
        <v>430</v>
      </c>
    </row>
    <row r="96" spans="1:178">
      <c r="E96" s="9" t="s">
        <v>766</v>
      </c>
      <c r="BO96" s="9">
        <v>30</v>
      </c>
      <c r="BQ96" s="9">
        <v>60</v>
      </c>
      <c r="BR96" s="9">
        <v>200</v>
      </c>
      <c r="BU96" s="9">
        <v>20</v>
      </c>
      <c r="BV96" s="9">
        <v>2</v>
      </c>
      <c r="BY96" s="9">
        <v>30</v>
      </c>
      <c r="CC96" s="9">
        <v>30</v>
      </c>
      <c r="CF96" s="9">
        <v>50</v>
      </c>
      <c r="CG96" s="9">
        <v>10</v>
      </c>
      <c r="CM96" s="9">
        <v>1</v>
      </c>
      <c r="CN96" s="9">
        <v>20</v>
      </c>
      <c r="CW96" s="9">
        <v>10</v>
      </c>
      <c r="CX96" s="9">
        <v>10</v>
      </c>
      <c r="DH96" s="9">
        <v>5</v>
      </c>
      <c r="DO96" s="9">
        <v>25</v>
      </c>
      <c r="DW96" s="9">
        <v>10</v>
      </c>
      <c r="EO96" s="9">
        <v>1</v>
      </c>
      <c r="EP96" s="9">
        <v>1</v>
      </c>
      <c r="EX96" s="9">
        <v>10</v>
      </c>
      <c r="EY96" s="9">
        <v>20</v>
      </c>
      <c r="FF96" s="9">
        <v>5</v>
      </c>
      <c r="FJ96" s="9">
        <v>5</v>
      </c>
      <c r="FP96" s="9">
        <f t="shared" si="86"/>
        <v>555</v>
      </c>
    </row>
    <row r="97" spans="1:178">
      <c r="A97" s="219"/>
      <c r="B97" s="219"/>
      <c r="C97" s="219"/>
      <c r="D97" s="219"/>
      <c r="E97" s="219" t="s">
        <v>767</v>
      </c>
      <c r="F97" s="219"/>
      <c r="G97" s="219"/>
      <c r="H97" s="219"/>
      <c r="I97" s="219"/>
      <c r="J97" s="219"/>
      <c r="K97" s="219"/>
      <c r="L97" s="219"/>
      <c r="M97" s="219"/>
      <c r="N97" s="219"/>
      <c r="O97" s="219"/>
      <c r="P97" s="219"/>
      <c r="Q97" s="219"/>
      <c r="R97" s="219"/>
      <c r="S97" s="219"/>
      <c r="T97" s="219"/>
      <c r="U97" s="219"/>
      <c r="V97" s="219"/>
      <c r="W97" s="219"/>
      <c r="X97" s="219"/>
      <c r="Y97" s="219"/>
      <c r="Z97" s="219"/>
      <c r="AA97" s="219"/>
      <c r="AB97" s="219"/>
      <c r="AC97" s="219"/>
      <c r="AD97" s="219"/>
      <c r="AE97" s="219"/>
      <c r="AF97" s="219"/>
      <c r="AG97" s="219"/>
      <c r="AH97" s="219"/>
      <c r="AI97" s="219"/>
      <c r="AJ97" s="219"/>
      <c r="AK97" s="219"/>
      <c r="AL97" s="219"/>
      <c r="AM97" s="219"/>
      <c r="AN97" s="219"/>
      <c r="AO97" s="219"/>
      <c r="AP97" s="219"/>
      <c r="AQ97" s="219"/>
      <c r="AR97" s="219"/>
      <c r="AS97" s="219"/>
      <c r="AT97" s="219"/>
      <c r="AU97" s="219"/>
      <c r="AV97" s="219"/>
      <c r="AW97" s="219"/>
      <c r="AX97" s="219"/>
      <c r="AY97" s="219"/>
      <c r="AZ97" s="219"/>
      <c r="BA97" s="219"/>
      <c r="BB97" s="219"/>
      <c r="BC97" s="219"/>
      <c r="BD97" s="219"/>
      <c r="BE97" s="219"/>
      <c r="BF97" s="219"/>
      <c r="BG97" s="219"/>
      <c r="BH97" s="219"/>
      <c r="BI97" s="219"/>
      <c r="BJ97" s="219"/>
      <c r="BK97" s="219"/>
      <c r="BL97" s="219"/>
      <c r="BM97" s="219"/>
      <c r="BN97" s="219"/>
      <c r="BO97" s="219">
        <v>10</v>
      </c>
      <c r="BP97" s="219"/>
      <c r="BQ97" s="219">
        <v>30</v>
      </c>
      <c r="BR97" s="219">
        <v>160</v>
      </c>
      <c r="BS97" s="219"/>
      <c r="BT97" s="219"/>
      <c r="BU97" s="219">
        <v>5</v>
      </c>
      <c r="BV97" s="219"/>
      <c r="BW97" s="219"/>
      <c r="BX97" s="219"/>
      <c r="BY97" s="219">
        <v>10</v>
      </c>
      <c r="BZ97" s="219"/>
      <c r="CA97" s="219"/>
      <c r="CB97" s="219"/>
      <c r="CC97" s="219">
        <v>15</v>
      </c>
      <c r="CD97" s="219"/>
      <c r="CE97" s="219"/>
      <c r="CF97" s="219">
        <v>30</v>
      </c>
      <c r="CG97" s="219">
        <v>10</v>
      </c>
      <c r="CH97" s="219"/>
      <c r="CI97" s="219"/>
      <c r="CJ97" s="219"/>
      <c r="CK97" s="219"/>
      <c r="CL97" s="219"/>
      <c r="CM97" s="219"/>
      <c r="CN97" s="219">
        <v>15</v>
      </c>
      <c r="CO97" s="219"/>
      <c r="CP97" s="219"/>
      <c r="CQ97" s="219"/>
      <c r="CR97" s="219"/>
      <c r="CS97" s="219"/>
      <c r="CT97" s="219"/>
      <c r="CU97" s="219"/>
      <c r="CV97" s="219"/>
      <c r="CW97" s="219">
        <v>5</v>
      </c>
      <c r="CX97" s="219">
        <v>5</v>
      </c>
      <c r="CY97" s="219"/>
      <c r="CZ97" s="219"/>
      <c r="DA97" s="219"/>
      <c r="DB97" s="219"/>
      <c r="DC97" s="219"/>
      <c r="DD97" s="219"/>
      <c r="DE97" s="219"/>
      <c r="DF97" s="219"/>
      <c r="DG97" s="219"/>
      <c r="DH97" s="219">
        <v>5</v>
      </c>
      <c r="DI97" s="219"/>
      <c r="DJ97" s="219"/>
      <c r="DK97" s="219"/>
      <c r="DL97" s="219"/>
      <c r="DM97" s="219"/>
      <c r="DN97" s="219"/>
      <c r="DO97" s="219">
        <v>15</v>
      </c>
      <c r="DP97" s="219"/>
      <c r="DQ97" s="219"/>
      <c r="DR97" s="219"/>
      <c r="DS97" s="219"/>
      <c r="DT97" s="219"/>
      <c r="DU97" s="219"/>
      <c r="DV97" s="219"/>
      <c r="DW97" s="219">
        <v>5</v>
      </c>
      <c r="DX97" s="219"/>
      <c r="DY97" s="219"/>
      <c r="DZ97" s="219"/>
      <c r="EA97" s="219"/>
      <c r="EB97" s="219"/>
      <c r="EC97" s="219"/>
      <c r="ED97" s="219"/>
      <c r="EE97" s="219"/>
      <c r="EF97" s="219"/>
      <c r="EG97" s="219"/>
      <c r="EH97" s="219"/>
      <c r="EI97" s="219"/>
      <c r="EJ97" s="219"/>
      <c r="EK97" s="219"/>
      <c r="EL97" s="219"/>
      <c r="EM97" s="219"/>
      <c r="EN97" s="219"/>
      <c r="EO97" s="219"/>
      <c r="EP97" s="219"/>
      <c r="EQ97" s="219"/>
      <c r="ER97" s="219"/>
      <c r="ES97" s="219"/>
      <c r="ET97" s="219"/>
      <c r="EU97" s="219"/>
      <c r="EV97" s="219"/>
      <c r="EW97" s="219"/>
      <c r="EX97" s="219">
        <v>10</v>
      </c>
      <c r="EY97" s="219">
        <v>20</v>
      </c>
      <c r="EZ97" s="219"/>
      <c r="FA97" s="219"/>
      <c r="FB97" s="219"/>
      <c r="FC97" s="219"/>
      <c r="FD97" s="219"/>
      <c r="FE97" s="219"/>
      <c r="FF97" s="219"/>
      <c r="FG97" s="219"/>
      <c r="FH97" s="219"/>
      <c r="FI97" s="219"/>
      <c r="FJ97" s="219">
        <v>5</v>
      </c>
      <c r="FK97" s="219"/>
      <c r="FL97" s="219"/>
      <c r="FM97" s="219"/>
      <c r="FN97" s="219"/>
      <c r="FO97" s="219"/>
      <c r="FP97" s="219">
        <f t="shared" si="86"/>
        <v>355</v>
      </c>
      <c r="FQ97" s="219"/>
      <c r="FR97" s="219"/>
      <c r="FS97" s="219"/>
      <c r="FT97" s="219"/>
      <c r="FU97" s="219"/>
      <c r="FV97" s="219"/>
    </row>
    <row r="98" spans="1:178" s="218" customFormat="1">
      <c r="E98" s="218" t="s">
        <v>771</v>
      </c>
      <c r="BO98" s="218">
        <f>SUBTOTAL(9,BO93:BO97)</f>
        <v>220</v>
      </c>
      <c r="BQ98" s="218">
        <f>SUBTOTAL(9,BQ93:BQ97)</f>
        <v>480</v>
      </c>
      <c r="BR98" s="218">
        <f>SUBTOTAL(9,BR93:BR97)</f>
        <v>2130</v>
      </c>
      <c r="BU98" s="218">
        <f>SUBTOTAL(9,BU93:BU97)</f>
        <v>110</v>
      </c>
      <c r="BV98" s="218">
        <f>SUBTOTAL(9,BV93:BV97)</f>
        <v>2</v>
      </c>
      <c r="BY98" s="218">
        <f>SUBTOTAL(9,BY93:BY97)</f>
        <v>260</v>
      </c>
      <c r="CC98" s="218">
        <f>SUBTOTAL(9,CC93:CC97)</f>
        <v>280</v>
      </c>
      <c r="CD98" s="218">
        <f>SUBTOTAL(9,CD93:CD97)</f>
        <v>8</v>
      </c>
      <c r="CF98" s="218">
        <f>SUBTOTAL(9,CF93:CF97)</f>
        <v>550</v>
      </c>
      <c r="CG98" s="218">
        <f>SUBTOTAL(9,CG93:CG97)</f>
        <v>160</v>
      </c>
      <c r="CM98" s="218">
        <f>SUBTOTAL(9,CM93:CM97)</f>
        <v>1</v>
      </c>
      <c r="CN98" s="218">
        <f>SUBTOTAL(9,CN93:CN97)</f>
        <v>180</v>
      </c>
      <c r="CW98" s="218">
        <f>SUBTOTAL(9,CW93:CW97)</f>
        <v>70</v>
      </c>
      <c r="CX98" s="218">
        <f>SUBTOTAL(9,CX93:CX97)</f>
        <v>90</v>
      </c>
      <c r="DH98" s="218">
        <f>SUBTOTAL(9,DH93:DH97)</f>
        <v>45</v>
      </c>
      <c r="DI98" s="218">
        <f>SUBTOTAL(9,DI93:DI97)</f>
        <v>10</v>
      </c>
      <c r="DO98" s="218">
        <f>SUBTOTAL(9,DO93:DO97)</f>
        <v>190</v>
      </c>
      <c r="DP98" s="218">
        <f>SUBTOTAL(9,DP93:DP97)</f>
        <v>10</v>
      </c>
      <c r="DW98" s="218">
        <f>SUBTOTAL(9,DW93:DW97)</f>
        <v>80</v>
      </c>
      <c r="EF98" s="218">
        <f>SUBTOTAL(9,EF93:EF97)</f>
        <v>10</v>
      </c>
      <c r="EI98" s="218">
        <f>SUBTOTAL(9,EI93:EI97)</f>
        <v>10</v>
      </c>
      <c r="EO98" s="218">
        <f>SUBTOTAL(9,EO93:EO97)</f>
        <v>1</v>
      </c>
      <c r="EP98" s="218">
        <f>SUBTOTAL(9,EP93:EP97)</f>
        <v>1</v>
      </c>
      <c r="EX98" s="218">
        <f>SUBTOTAL(9,EX93:EX97)</f>
        <v>150</v>
      </c>
      <c r="EY98" s="218">
        <f>SUBTOTAL(9,EY93:EY97)</f>
        <v>240</v>
      </c>
      <c r="FB98" s="218">
        <f>SUBTOTAL(9,FB93:FB97)</f>
        <v>10</v>
      </c>
      <c r="FF98" s="218">
        <f>SUBTOTAL(9,FF93:FF97)</f>
        <v>20</v>
      </c>
      <c r="FJ98" s="218">
        <f>SUBTOTAL(9,FJ93:FJ97)</f>
        <v>30</v>
      </c>
    </row>
  </sheetData>
  <autoFilter ref="A6:FV90">
    <filterColumn colId="2">
      <filters>
        <filter val="UA1J"/>
        <filter val="UA1K"/>
      </filters>
    </filterColumn>
  </autoFilter>
  <phoneticPr fontId="1" type="noConversion"/>
  <conditionalFormatting sqref="F5:F6">
    <cfRule type="cellIs" dxfId="2381" priority="1" stopIfTrue="1" operator="equal">
      <formula>"E7"</formula>
    </cfRule>
  </conditionalFormatting>
  <conditionalFormatting sqref="F5:F6">
    <cfRule type="cellIs" dxfId="2380" priority="2" stopIfTrue="1" operator="equal">
      <formula>"E7A"</formula>
    </cfRule>
  </conditionalFormatting>
  <conditionalFormatting sqref="F90">
    <cfRule type="cellIs" dxfId="2379" priority="3" stopIfTrue="1" operator="equal">
      <formula>"E7"</formula>
    </cfRule>
  </conditionalFormatting>
  <conditionalFormatting sqref="F90">
    <cfRule type="cellIs" dxfId="2378" priority="4" stopIfTrue="1" operator="equal">
      <formula>"E7A"</formula>
    </cfRule>
  </conditionalFormatting>
  <conditionalFormatting sqref="F91">
    <cfRule type="cellIs" dxfId="2377" priority="5" stopIfTrue="1" operator="equal">
      <formula>"E7"</formula>
    </cfRule>
  </conditionalFormatting>
  <conditionalFormatting sqref="F91">
    <cfRule type="cellIs" dxfId="2376" priority="6" stopIfTrue="1" operator="equal">
      <formula>"E7A"</formula>
    </cfRule>
  </conditionalFormatting>
  <conditionalFormatting sqref="F89">
    <cfRule type="cellIs" dxfId="2375" priority="7" stopIfTrue="1" operator="equal">
      <formula>"E7"</formula>
    </cfRule>
  </conditionalFormatting>
  <conditionalFormatting sqref="F89">
    <cfRule type="cellIs" dxfId="2374" priority="8" stopIfTrue="1" operator="equal">
      <formula>"E7A"</formula>
    </cfRule>
  </conditionalFormatting>
  <conditionalFormatting sqref="F7">
    <cfRule type="cellIs" dxfId="2373" priority="9" stopIfTrue="1" operator="equal">
      <formula>"E7"</formula>
    </cfRule>
  </conditionalFormatting>
  <conditionalFormatting sqref="F7">
    <cfRule type="cellIs" dxfId="2372" priority="10" stopIfTrue="1" operator="equal">
      <formula>"E7A"</formula>
    </cfRule>
  </conditionalFormatting>
  <conditionalFormatting sqref="F8">
    <cfRule type="cellIs" dxfId="2371" priority="11" stopIfTrue="1" operator="equal">
      <formula>"E7"</formula>
    </cfRule>
  </conditionalFormatting>
  <conditionalFormatting sqref="F8">
    <cfRule type="cellIs" dxfId="2370" priority="12" stopIfTrue="1" operator="equal">
      <formula>"E7A"</formula>
    </cfRule>
  </conditionalFormatting>
  <conditionalFormatting sqref="F62">
    <cfRule type="cellIs" dxfId="2369" priority="13" stopIfTrue="1" operator="equal">
      <formula>"E7"</formula>
    </cfRule>
  </conditionalFormatting>
  <conditionalFormatting sqref="F62">
    <cfRule type="cellIs" dxfId="2368" priority="14" stopIfTrue="1" operator="equal">
      <formula>"E7A"</formula>
    </cfRule>
  </conditionalFormatting>
  <conditionalFormatting sqref="F9">
    <cfRule type="cellIs" dxfId="2367" priority="15" stopIfTrue="1" operator="equal">
      <formula>"E7"</formula>
    </cfRule>
  </conditionalFormatting>
  <conditionalFormatting sqref="F9">
    <cfRule type="cellIs" dxfId="2366" priority="16" stopIfTrue="1" operator="equal">
      <formula>"E7A"</formula>
    </cfRule>
  </conditionalFormatting>
  <conditionalFormatting sqref="F61">
    <cfRule type="cellIs" dxfId="2365" priority="17" stopIfTrue="1" operator="equal">
      <formula>"E7"</formula>
    </cfRule>
  </conditionalFormatting>
  <conditionalFormatting sqref="F61">
    <cfRule type="cellIs" dxfId="2364" priority="18" stopIfTrue="1" operator="equal">
      <formula>"E7A"</formula>
    </cfRule>
  </conditionalFormatting>
  <conditionalFormatting sqref="F60">
    <cfRule type="cellIs" dxfId="2363" priority="19" stopIfTrue="1" operator="equal">
      <formula>"E7"</formula>
    </cfRule>
  </conditionalFormatting>
  <conditionalFormatting sqref="F60">
    <cfRule type="cellIs" dxfId="2362" priority="20" stopIfTrue="1" operator="equal">
      <formula>"E7A"</formula>
    </cfRule>
  </conditionalFormatting>
  <conditionalFormatting sqref="F63">
    <cfRule type="cellIs" dxfId="2361" priority="21" stopIfTrue="1" operator="equal">
      <formula>"E7"</formula>
    </cfRule>
  </conditionalFormatting>
  <conditionalFormatting sqref="F63">
    <cfRule type="cellIs" dxfId="2360" priority="22" stopIfTrue="1" operator="equal">
      <formula>"E7A"</formula>
    </cfRule>
  </conditionalFormatting>
  <conditionalFormatting sqref="F84">
    <cfRule type="cellIs" dxfId="2359" priority="23" stopIfTrue="1" operator="equal">
      <formula>"E7"</formula>
    </cfRule>
  </conditionalFormatting>
  <conditionalFormatting sqref="F84">
    <cfRule type="cellIs" dxfId="2358" priority="24" stopIfTrue="1" operator="equal">
      <formula>"E7A"</formula>
    </cfRule>
  </conditionalFormatting>
  <conditionalFormatting sqref="F88">
    <cfRule type="cellIs" dxfId="2357" priority="25" stopIfTrue="1" operator="equal">
      <formula>"E7"</formula>
    </cfRule>
  </conditionalFormatting>
  <conditionalFormatting sqref="F88">
    <cfRule type="cellIs" dxfId="2356" priority="26" stopIfTrue="1" operator="equal">
      <formula>"E7A"</formula>
    </cfRule>
  </conditionalFormatting>
  <conditionalFormatting sqref="F85">
    <cfRule type="cellIs" dxfId="2355" priority="27" stopIfTrue="1" operator="equal">
      <formula>"E7"</formula>
    </cfRule>
  </conditionalFormatting>
  <conditionalFormatting sqref="F85">
    <cfRule type="cellIs" dxfId="2354" priority="28" stopIfTrue="1" operator="equal">
      <formula>"E7A"</formula>
    </cfRule>
  </conditionalFormatting>
  <conditionalFormatting sqref="F86">
    <cfRule type="cellIs" dxfId="2353" priority="29" stopIfTrue="1" operator="equal">
      <formula>"E7"</formula>
    </cfRule>
  </conditionalFormatting>
  <conditionalFormatting sqref="F86">
    <cfRule type="cellIs" dxfId="2352" priority="30" stopIfTrue="1" operator="equal">
      <formula>"E7A"</formula>
    </cfRule>
  </conditionalFormatting>
  <conditionalFormatting sqref="F87">
    <cfRule type="cellIs" dxfId="2351" priority="31" stopIfTrue="1" operator="equal">
      <formula>"E7"</formula>
    </cfRule>
  </conditionalFormatting>
  <conditionalFormatting sqref="F87">
    <cfRule type="cellIs" dxfId="2350" priority="32" stopIfTrue="1" operator="equal">
      <formula>"E7A"</formula>
    </cfRule>
  </conditionalFormatting>
  <conditionalFormatting sqref="F81">
    <cfRule type="cellIs" dxfId="2349" priority="33" stopIfTrue="1" operator="equal">
      <formula>"E7"</formula>
    </cfRule>
  </conditionalFormatting>
  <conditionalFormatting sqref="F81">
    <cfRule type="cellIs" dxfId="2348" priority="34" stopIfTrue="1" operator="equal">
      <formula>"E7A"</formula>
    </cfRule>
  </conditionalFormatting>
  <conditionalFormatting sqref="F82">
    <cfRule type="cellIs" dxfId="2347" priority="35" stopIfTrue="1" operator="equal">
      <formula>"E7"</formula>
    </cfRule>
  </conditionalFormatting>
  <conditionalFormatting sqref="F82">
    <cfRule type="cellIs" dxfId="2346" priority="36" stopIfTrue="1" operator="equal">
      <formula>"E7A"</formula>
    </cfRule>
  </conditionalFormatting>
  <conditionalFormatting sqref="F83">
    <cfRule type="cellIs" dxfId="2345" priority="37" stopIfTrue="1" operator="equal">
      <formula>"E7"</formula>
    </cfRule>
  </conditionalFormatting>
  <conditionalFormatting sqref="F83">
    <cfRule type="cellIs" dxfId="2344" priority="38" stopIfTrue="1" operator="equal">
      <formula>"E7A"</formula>
    </cfRule>
  </conditionalFormatting>
  <conditionalFormatting sqref="B7 B71 B78:B91">
    <cfRule type="expression" dxfId="2343" priority="39">
      <formula>$B7="A"</formula>
    </cfRule>
  </conditionalFormatting>
  <conditionalFormatting sqref="B8:B9 B60:B63">
    <cfRule type="expression" dxfId="2342" priority="40">
      <formula>$B8="A"</formula>
    </cfRule>
  </conditionalFormatting>
  <conditionalFormatting sqref="H6 AT6:CA6 FI6:FO6 CC6:DG6 DI6:EN6 EP6:FA6">
    <cfRule type="expression" dxfId="2341" priority="41">
      <formula>H256=0</formula>
    </cfRule>
  </conditionalFormatting>
  <conditionalFormatting sqref="F71">
    <cfRule type="cellIs" dxfId="2340" priority="42" stopIfTrue="1" operator="equal">
      <formula>"E7"</formula>
    </cfRule>
  </conditionalFormatting>
  <conditionalFormatting sqref="F71">
    <cfRule type="cellIs" dxfId="2339" priority="43" stopIfTrue="1" operator="equal">
      <formula>"E7A"</formula>
    </cfRule>
  </conditionalFormatting>
  <conditionalFormatting sqref="F78">
    <cfRule type="cellIs" dxfId="2338" priority="44" stopIfTrue="1" operator="equal">
      <formula>"E7"</formula>
    </cfRule>
  </conditionalFormatting>
  <conditionalFormatting sqref="F78">
    <cfRule type="cellIs" dxfId="2337" priority="45" stopIfTrue="1" operator="equal">
      <formula>"E7A"</formula>
    </cfRule>
  </conditionalFormatting>
  <conditionalFormatting sqref="F79">
    <cfRule type="cellIs" dxfId="2336" priority="46" stopIfTrue="1" operator="equal">
      <formula>"E7"</formula>
    </cfRule>
  </conditionalFormatting>
  <conditionalFormatting sqref="F79">
    <cfRule type="cellIs" dxfId="2335" priority="47" stopIfTrue="1" operator="equal">
      <formula>"E7A"</formula>
    </cfRule>
  </conditionalFormatting>
  <conditionalFormatting sqref="F80">
    <cfRule type="cellIs" dxfId="2334" priority="48" stopIfTrue="1" operator="equal">
      <formula>"E7"</formula>
    </cfRule>
  </conditionalFormatting>
  <conditionalFormatting sqref="F80">
    <cfRule type="cellIs" dxfId="2333" priority="49" stopIfTrue="1" operator="equal">
      <formula>"E7A"</formula>
    </cfRule>
  </conditionalFormatting>
  <conditionalFormatting sqref="F75">
    <cfRule type="cellIs" dxfId="2332" priority="50" stopIfTrue="1" operator="equal">
      <formula>"E7"</formula>
    </cfRule>
  </conditionalFormatting>
  <conditionalFormatting sqref="F75">
    <cfRule type="cellIs" dxfId="2331" priority="51" stopIfTrue="1" operator="equal">
      <formula>"E7A"</formula>
    </cfRule>
  </conditionalFormatting>
  <conditionalFormatting sqref="F76">
    <cfRule type="cellIs" dxfId="2330" priority="52" stopIfTrue="1" operator="equal">
      <formula>"E7"</formula>
    </cfRule>
  </conditionalFormatting>
  <conditionalFormatting sqref="F76">
    <cfRule type="cellIs" dxfId="2329" priority="53" stopIfTrue="1" operator="equal">
      <formula>"E7A"</formula>
    </cfRule>
  </conditionalFormatting>
  <conditionalFormatting sqref="F77">
    <cfRule type="cellIs" dxfId="2328" priority="54" stopIfTrue="1" operator="equal">
      <formula>"E7"</formula>
    </cfRule>
  </conditionalFormatting>
  <conditionalFormatting sqref="F77">
    <cfRule type="cellIs" dxfId="2327" priority="55" stopIfTrue="1" operator="equal">
      <formula>"E7A"</formula>
    </cfRule>
  </conditionalFormatting>
  <conditionalFormatting sqref="B72:B77">
    <cfRule type="expression" dxfId="2326" priority="56">
      <formula>$B72="A"</formula>
    </cfRule>
  </conditionalFormatting>
  <conditionalFormatting sqref="F72">
    <cfRule type="cellIs" dxfId="2325" priority="57" stopIfTrue="1" operator="equal">
      <formula>"E7"</formula>
    </cfRule>
  </conditionalFormatting>
  <conditionalFormatting sqref="F72">
    <cfRule type="cellIs" dxfId="2324" priority="58" stopIfTrue="1" operator="equal">
      <formula>"E7A"</formula>
    </cfRule>
  </conditionalFormatting>
  <conditionalFormatting sqref="F73">
    <cfRule type="cellIs" dxfId="2323" priority="59" stopIfTrue="1" operator="equal">
      <formula>"E7"</formula>
    </cfRule>
  </conditionalFormatting>
  <conditionalFormatting sqref="F73">
    <cfRule type="cellIs" dxfId="2322" priority="60" stopIfTrue="1" operator="equal">
      <formula>"E7A"</formula>
    </cfRule>
  </conditionalFormatting>
  <conditionalFormatting sqref="F74">
    <cfRule type="cellIs" dxfId="2321" priority="61" stopIfTrue="1" operator="equal">
      <formula>"E7"</formula>
    </cfRule>
  </conditionalFormatting>
  <conditionalFormatting sqref="F74">
    <cfRule type="cellIs" dxfId="2320" priority="62" stopIfTrue="1" operator="equal">
      <formula>"E7A"</formula>
    </cfRule>
  </conditionalFormatting>
  <conditionalFormatting sqref="B64">
    <cfRule type="expression" dxfId="2319" priority="63">
      <formula>$B64="A"</formula>
    </cfRule>
  </conditionalFormatting>
  <conditionalFormatting sqref="F64">
    <cfRule type="cellIs" dxfId="2318" priority="64" stopIfTrue="1" operator="equal">
      <formula>"E7"</formula>
    </cfRule>
  </conditionalFormatting>
  <conditionalFormatting sqref="F64">
    <cfRule type="cellIs" dxfId="2317" priority="65" stopIfTrue="1" operator="equal">
      <formula>"E7A"</formula>
    </cfRule>
  </conditionalFormatting>
  <conditionalFormatting sqref="F68">
    <cfRule type="cellIs" dxfId="2316" priority="66" stopIfTrue="1" operator="equal">
      <formula>"E7"</formula>
    </cfRule>
  </conditionalFormatting>
  <conditionalFormatting sqref="F68">
    <cfRule type="cellIs" dxfId="2315" priority="67" stopIfTrue="1" operator="equal">
      <formula>"E7A"</formula>
    </cfRule>
  </conditionalFormatting>
  <conditionalFormatting sqref="F69">
    <cfRule type="cellIs" dxfId="2314" priority="68" stopIfTrue="1" operator="equal">
      <formula>"E7"</formula>
    </cfRule>
  </conditionalFormatting>
  <conditionalFormatting sqref="F69">
    <cfRule type="cellIs" dxfId="2313" priority="69" stopIfTrue="1" operator="equal">
      <formula>"E7A"</formula>
    </cfRule>
  </conditionalFormatting>
  <conditionalFormatting sqref="F70">
    <cfRule type="cellIs" dxfId="2312" priority="70" stopIfTrue="1" operator="equal">
      <formula>"E7"</formula>
    </cfRule>
  </conditionalFormatting>
  <conditionalFormatting sqref="F70">
    <cfRule type="cellIs" dxfId="2311" priority="71" stopIfTrue="1" operator="equal">
      <formula>"E7A"</formula>
    </cfRule>
  </conditionalFormatting>
  <conditionalFormatting sqref="B65:B70">
    <cfRule type="expression" dxfId="2310" priority="72">
      <formula>$B65="A"</formula>
    </cfRule>
  </conditionalFormatting>
  <conditionalFormatting sqref="F65">
    <cfRule type="cellIs" dxfId="2309" priority="73" stopIfTrue="1" operator="equal">
      <formula>"E7"</formula>
    </cfRule>
  </conditionalFormatting>
  <conditionalFormatting sqref="F65">
    <cfRule type="cellIs" dxfId="2308" priority="74" stopIfTrue="1" operator="equal">
      <formula>"E7A"</formula>
    </cfRule>
  </conditionalFormatting>
  <conditionalFormatting sqref="F66">
    <cfRule type="cellIs" dxfId="2307" priority="75" stopIfTrue="1" operator="equal">
      <formula>"E7"</formula>
    </cfRule>
  </conditionalFormatting>
  <conditionalFormatting sqref="F66">
    <cfRule type="cellIs" dxfId="2306" priority="76" stopIfTrue="1" operator="equal">
      <formula>"E7A"</formula>
    </cfRule>
  </conditionalFormatting>
  <conditionalFormatting sqref="F67">
    <cfRule type="cellIs" dxfId="2305" priority="77" stopIfTrue="1" operator="equal">
      <formula>"E7"</formula>
    </cfRule>
  </conditionalFormatting>
  <conditionalFormatting sqref="F67">
    <cfRule type="cellIs" dxfId="2304" priority="78" stopIfTrue="1" operator="equal">
      <formula>"E7A"</formula>
    </cfRule>
  </conditionalFormatting>
  <conditionalFormatting sqref="I6:L6">
    <cfRule type="expression" dxfId="2303" priority="79">
      <formula>I256=0</formula>
    </cfRule>
  </conditionalFormatting>
  <conditionalFormatting sqref="F12">
    <cfRule type="cellIs" dxfId="2302" priority="80" stopIfTrue="1" operator="equal">
      <formula>"E7"</formula>
    </cfRule>
  </conditionalFormatting>
  <conditionalFormatting sqref="F12">
    <cfRule type="cellIs" dxfId="2301" priority="81" stopIfTrue="1" operator="equal">
      <formula>"E7A"</formula>
    </cfRule>
  </conditionalFormatting>
  <conditionalFormatting sqref="F11">
    <cfRule type="cellIs" dxfId="2300" priority="82" stopIfTrue="1" operator="equal">
      <formula>"E7"</formula>
    </cfRule>
  </conditionalFormatting>
  <conditionalFormatting sqref="F11">
    <cfRule type="cellIs" dxfId="2299" priority="83" stopIfTrue="1" operator="equal">
      <formula>"E7A"</formula>
    </cfRule>
  </conditionalFormatting>
  <conditionalFormatting sqref="F10">
    <cfRule type="cellIs" dxfId="2298" priority="84" stopIfTrue="1" operator="equal">
      <formula>"E7"</formula>
    </cfRule>
  </conditionalFormatting>
  <conditionalFormatting sqref="F10">
    <cfRule type="cellIs" dxfId="2297" priority="85" stopIfTrue="1" operator="equal">
      <formula>"E7A"</formula>
    </cfRule>
  </conditionalFormatting>
  <conditionalFormatting sqref="F13">
    <cfRule type="cellIs" dxfId="2296" priority="86" stopIfTrue="1" operator="equal">
      <formula>"E7"</formula>
    </cfRule>
  </conditionalFormatting>
  <conditionalFormatting sqref="F13">
    <cfRule type="cellIs" dxfId="2295" priority="87" stopIfTrue="1" operator="equal">
      <formula>"E7A"</formula>
    </cfRule>
  </conditionalFormatting>
  <conditionalFormatting sqref="B10:B13">
    <cfRule type="expression" dxfId="2294" priority="88">
      <formula>$B10="A"</formula>
    </cfRule>
  </conditionalFormatting>
  <conditionalFormatting sqref="B54">
    <cfRule type="expression" dxfId="2293" priority="89">
      <formula>$B54="A"</formula>
    </cfRule>
  </conditionalFormatting>
  <conditionalFormatting sqref="F54">
    <cfRule type="cellIs" dxfId="2292" priority="90" stopIfTrue="1" operator="equal">
      <formula>"E7"</formula>
    </cfRule>
  </conditionalFormatting>
  <conditionalFormatting sqref="F54">
    <cfRule type="cellIs" dxfId="2291" priority="91" stopIfTrue="1" operator="equal">
      <formula>"E7A"</formula>
    </cfRule>
  </conditionalFormatting>
  <conditionalFormatting sqref="F58">
    <cfRule type="cellIs" dxfId="2290" priority="92" stopIfTrue="1" operator="equal">
      <formula>"E7"</formula>
    </cfRule>
  </conditionalFormatting>
  <conditionalFormatting sqref="F58">
    <cfRule type="cellIs" dxfId="2289" priority="93" stopIfTrue="1" operator="equal">
      <formula>"E7A"</formula>
    </cfRule>
  </conditionalFormatting>
  <conditionalFormatting sqref="F59">
    <cfRule type="cellIs" dxfId="2288" priority="94" stopIfTrue="1" operator="equal">
      <formula>"E7"</formula>
    </cfRule>
  </conditionalFormatting>
  <conditionalFormatting sqref="F59">
    <cfRule type="cellIs" dxfId="2287" priority="95" stopIfTrue="1" operator="equal">
      <formula>"E7A"</formula>
    </cfRule>
  </conditionalFormatting>
  <conditionalFormatting sqref="B55:B59">
    <cfRule type="expression" dxfId="2286" priority="96">
      <formula>$B55="A"</formula>
    </cfRule>
  </conditionalFormatting>
  <conditionalFormatting sqref="F55">
    <cfRule type="cellIs" dxfId="2285" priority="97" stopIfTrue="1" operator="equal">
      <formula>"E7"</formula>
    </cfRule>
  </conditionalFormatting>
  <conditionalFormatting sqref="F55">
    <cfRule type="cellIs" dxfId="2284" priority="98" stopIfTrue="1" operator="equal">
      <formula>"E7A"</formula>
    </cfRule>
  </conditionalFormatting>
  <conditionalFormatting sqref="F56">
    <cfRule type="cellIs" dxfId="2283" priority="99" stopIfTrue="1" operator="equal">
      <formula>"E7"</formula>
    </cfRule>
  </conditionalFormatting>
  <conditionalFormatting sqref="F56">
    <cfRule type="cellIs" dxfId="2282" priority="100" stopIfTrue="1" operator="equal">
      <formula>"E7A"</formula>
    </cfRule>
  </conditionalFormatting>
  <conditionalFormatting sqref="F57">
    <cfRule type="cellIs" dxfId="2281" priority="101" stopIfTrue="1" operator="equal">
      <formula>"E7"</formula>
    </cfRule>
  </conditionalFormatting>
  <conditionalFormatting sqref="F57">
    <cfRule type="cellIs" dxfId="2280" priority="102" stopIfTrue="1" operator="equal">
      <formula>"E7A"</formula>
    </cfRule>
  </conditionalFormatting>
  <conditionalFormatting sqref="AI6:AS6">
    <cfRule type="expression" dxfId="2279" priority="103">
      <formula>AI256=0</formula>
    </cfRule>
  </conditionalFormatting>
  <conditionalFormatting sqref="X6:AH6">
    <cfRule type="expression" dxfId="2278" priority="104">
      <formula>X256=0</formula>
    </cfRule>
  </conditionalFormatting>
  <conditionalFormatting sqref="M6:W6">
    <cfRule type="expression" dxfId="2277" priority="105">
      <formula>M256=0</formula>
    </cfRule>
  </conditionalFormatting>
  <conditionalFormatting sqref="F48">
    <cfRule type="cellIs" dxfId="2276" priority="106" stopIfTrue="1" operator="equal">
      <formula>"E7"</formula>
    </cfRule>
  </conditionalFormatting>
  <conditionalFormatting sqref="F48">
    <cfRule type="cellIs" dxfId="2275" priority="107" stopIfTrue="1" operator="equal">
      <formula>"E7A"</formula>
    </cfRule>
  </conditionalFormatting>
  <conditionalFormatting sqref="F47">
    <cfRule type="cellIs" dxfId="2274" priority="108" stopIfTrue="1" operator="equal">
      <formula>"E7"</formula>
    </cfRule>
  </conditionalFormatting>
  <conditionalFormatting sqref="F47">
    <cfRule type="cellIs" dxfId="2273" priority="109" stopIfTrue="1" operator="equal">
      <formula>"E7A"</formula>
    </cfRule>
  </conditionalFormatting>
  <conditionalFormatting sqref="F46">
    <cfRule type="cellIs" dxfId="2272" priority="110" stopIfTrue="1" operator="equal">
      <formula>"E7"</formula>
    </cfRule>
  </conditionalFormatting>
  <conditionalFormatting sqref="F46">
    <cfRule type="cellIs" dxfId="2271" priority="111" stopIfTrue="1" operator="equal">
      <formula>"E7A"</formula>
    </cfRule>
  </conditionalFormatting>
  <conditionalFormatting sqref="F49">
    <cfRule type="cellIs" dxfId="2270" priority="112" stopIfTrue="1" operator="equal">
      <formula>"E7"</formula>
    </cfRule>
  </conditionalFormatting>
  <conditionalFormatting sqref="F49">
    <cfRule type="cellIs" dxfId="2269" priority="113" stopIfTrue="1" operator="equal">
      <formula>"E7A"</formula>
    </cfRule>
  </conditionalFormatting>
  <conditionalFormatting sqref="B46:B49">
    <cfRule type="expression" dxfId="2268" priority="114">
      <formula>$B46="A"</formula>
    </cfRule>
  </conditionalFormatting>
  <conditionalFormatting sqref="B50">
    <cfRule type="expression" dxfId="2267" priority="115">
      <formula>$B50="A"</formula>
    </cfRule>
  </conditionalFormatting>
  <conditionalFormatting sqref="F50">
    <cfRule type="cellIs" dxfId="2266" priority="116" stopIfTrue="1" operator="equal">
      <formula>"E7"</formula>
    </cfRule>
  </conditionalFormatting>
  <conditionalFormatting sqref="F50">
    <cfRule type="cellIs" dxfId="2265" priority="117" stopIfTrue="1" operator="equal">
      <formula>"E7A"</formula>
    </cfRule>
  </conditionalFormatting>
  <conditionalFormatting sqref="B51:B53">
    <cfRule type="expression" dxfId="2264" priority="118">
      <formula>$B51="A"</formula>
    </cfRule>
  </conditionalFormatting>
  <conditionalFormatting sqref="F51">
    <cfRule type="cellIs" dxfId="2263" priority="119" stopIfTrue="1" operator="equal">
      <formula>"E7"</formula>
    </cfRule>
  </conditionalFormatting>
  <conditionalFormatting sqref="F51">
    <cfRule type="cellIs" dxfId="2262" priority="120" stopIfTrue="1" operator="equal">
      <formula>"E7A"</formula>
    </cfRule>
  </conditionalFormatting>
  <conditionalFormatting sqref="F52">
    <cfRule type="cellIs" dxfId="2261" priority="121" stopIfTrue="1" operator="equal">
      <formula>"E7"</formula>
    </cfRule>
  </conditionalFormatting>
  <conditionalFormatting sqref="F52">
    <cfRule type="cellIs" dxfId="2260" priority="122" stopIfTrue="1" operator="equal">
      <formula>"E7A"</formula>
    </cfRule>
  </conditionalFormatting>
  <conditionalFormatting sqref="F53">
    <cfRule type="cellIs" dxfId="2259" priority="123" stopIfTrue="1" operator="equal">
      <formula>"E7"</formula>
    </cfRule>
  </conditionalFormatting>
  <conditionalFormatting sqref="F53">
    <cfRule type="cellIs" dxfId="2258" priority="124" stopIfTrue="1" operator="equal">
      <formula>"E7A"</formula>
    </cfRule>
  </conditionalFormatting>
  <conditionalFormatting sqref="B14">
    <cfRule type="expression" dxfId="2257" priority="125">
      <formula>$B14="A"</formula>
    </cfRule>
  </conditionalFormatting>
  <conditionalFormatting sqref="F14">
    <cfRule type="cellIs" dxfId="2256" priority="126" stopIfTrue="1" operator="equal">
      <formula>"E7"</formula>
    </cfRule>
  </conditionalFormatting>
  <conditionalFormatting sqref="F14">
    <cfRule type="cellIs" dxfId="2255" priority="127" stopIfTrue="1" operator="equal">
      <formula>"E7A"</formula>
    </cfRule>
  </conditionalFormatting>
  <conditionalFormatting sqref="F44">
    <cfRule type="cellIs" dxfId="2254" priority="128" stopIfTrue="1" operator="equal">
      <formula>"E7"</formula>
    </cfRule>
  </conditionalFormatting>
  <conditionalFormatting sqref="F44">
    <cfRule type="cellIs" dxfId="2253" priority="129" stopIfTrue="1" operator="equal">
      <formula>"E7A"</formula>
    </cfRule>
  </conditionalFormatting>
  <conditionalFormatting sqref="F45">
    <cfRule type="cellIs" dxfId="2252" priority="130" stopIfTrue="1" operator="equal">
      <formula>"E7"</formula>
    </cfRule>
  </conditionalFormatting>
  <conditionalFormatting sqref="F45">
    <cfRule type="cellIs" dxfId="2251" priority="131" stopIfTrue="1" operator="equal">
      <formula>"E7A"</formula>
    </cfRule>
  </conditionalFormatting>
  <conditionalFormatting sqref="B15 B42:B45">
    <cfRule type="expression" dxfId="2250" priority="132">
      <formula>$B15="A"</formula>
    </cfRule>
  </conditionalFormatting>
  <conditionalFormatting sqref="F15">
    <cfRule type="cellIs" dxfId="2249" priority="133" stopIfTrue="1" operator="equal">
      <formula>"E7"</formula>
    </cfRule>
  </conditionalFormatting>
  <conditionalFormatting sqref="F15">
    <cfRule type="cellIs" dxfId="2248" priority="134" stopIfTrue="1" operator="equal">
      <formula>"E7A"</formula>
    </cfRule>
  </conditionalFormatting>
  <conditionalFormatting sqref="F42">
    <cfRule type="cellIs" dxfId="2247" priority="135" stopIfTrue="1" operator="equal">
      <formula>"E7"</formula>
    </cfRule>
  </conditionalFormatting>
  <conditionalFormatting sqref="F42">
    <cfRule type="cellIs" dxfId="2246" priority="136" stopIfTrue="1" operator="equal">
      <formula>"E7A"</formula>
    </cfRule>
  </conditionalFormatting>
  <conditionalFormatting sqref="F43">
    <cfRule type="cellIs" dxfId="2245" priority="137" stopIfTrue="1" operator="equal">
      <formula>"E7"</formula>
    </cfRule>
  </conditionalFormatting>
  <conditionalFormatting sqref="F43">
    <cfRule type="cellIs" dxfId="2244" priority="138" stopIfTrue="1" operator="equal">
      <formula>"E7A"</formula>
    </cfRule>
  </conditionalFormatting>
  <conditionalFormatting sqref="FB6:FH6">
    <cfRule type="expression" dxfId="2243" priority="139">
      <formula>FB256=0</formula>
    </cfRule>
  </conditionalFormatting>
  <conditionalFormatting sqref="F40">
    <cfRule type="cellIs" dxfId="2242" priority="140" stopIfTrue="1" operator="equal">
      <formula>"E7"</formula>
    </cfRule>
  </conditionalFormatting>
  <conditionalFormatting sqref="F40">
    <cfRule type="cellIs" dxfId="2241" priority="141" stopIfTrue="1" operator="equal">
      <formula>"E7A"</formula>
    </cfRule>
  </conditionalFormatting>
  <conditionalFormatting sqref="F39">
    <cfRule type="cellIs" dxfId="2240" priority="142" stopIfTrue="1" operator="equal">
      <formula>"E7"</formula>
    </cfRule>
  </conditionalFormatting>
  <conditionalFormatting sqref="F39">
    <cfRule type="cellIs" dxfId="2239" priority="143" stopIfTrue="1" operator="equal">
      <formula>"E7A"</formula>
    </cfRule>
  </conditionalFormatting>
  <conditionalFormatting sqref="F38">
    <cfRule type="cellIs" dxfId="2238" priority="144" stopIfTrue="1" operator="equal">
      <formula>"E7"</formula>
    </cfRule>
  </conditionalFormatting>
  <conditionalFormatting sqref="F38">
    <cfRule type="cellIs" dxfId="2237" priority="145" stopIfTrue="1" operator="equal">
      <formula>"E7A"</formula>
    </cfRule>
  </conditionalFormatting>
  <conditionalFormatting sqref="F41">
    <cfRule type="cellIs" dxfId="2236" priority="146" stopIfTrue="1" operator="equal">
      <formula>"E7"</formula>
    </cfRule>
  </conditionalFormatting>
  <conditionalFormatting sqref="F41">
    <cfRule type="cellIs" dxfId="2235" priority="147" stopIfTrue="1" operator="equal">
      <formula>"E7A"</formula>
    </cfRule>
  </conditionalFormatting>
  <conditionalFormatting sqref="B38:B41">
    <cfRule type="expression" dxfId="2234" priority="148">
      <formula>$B38="A"</formula>
    </cfRule>
  </conditionalFormatting>
  <conditionalFormatting sqref="B32">
    <cfRule type="expression" dxfId="2233" priority="149">
      <formula>$B32="A"</formula>
    </cfRule>
  </conditionalFormatting>
  <conditionalFormatting sqref="F32">
    <cfRule type="cellIs" dxfId="2232" priority="150" stopIfTrue="1" operator="equal">
      <formula>"E7"</formula>
    </cfRule>
  </conditionalFormatting>
  <conditionalFormatting sqref="F32">
    <cfRule type="cellIs" dxfId="2231" priority="151" stopIfTrue="1" operator="equal">
      <formula>"E7A"</formula>
    </cfRule>
  </conditionalFormatting>
  <conditionalFormatting sqref="F36">
    <cfRule type="cellIs" dxfId="2230" priority="152" stopIfTrue="1" operator="equal">
      <formula>"E7"</formula>
    </cfRule>
  </conditionalFormatting>
  <conditionalFormatting sqref="F36">
    <cfRule type="cellIs" dxfId="2229" priority="153" stopIfTrue="1" operator="equal">
      <formula>"E7A"</formula>
    </cfRule>
  </conditionalFormatting>
  <conditionalFormatting sqref="F37">
    <cfRule type="cellIs" dxfId="2228" priority="154" stopIfTrue="1" operator="equal">
      <formula>"E7"</formula>
    </cfRule>
  </conditionalFormatting>
  <conditionalFormatting sqref="F37">
    <cfRule type="cellIs" dxfId="2227" priority="155" stopIfTrue="1" operator="equal">
      <formula>"E7A"</formula>
    </cfRule>
  </conditionalFormatting>
  <conditionalFormatting sqref="B33:B37">
    <cfRule type="expression" dxfId="2226" priority="156">
      <formula>$B33="A"</formula>
    </cfRule>
  </conditionalFormatting>
  <conditionalFormatting sqref="F33">
    <cfRule type="cellIs" dxfId="2225" priority="157" stopIfTrue="1" operator="equal">
      <formula>"E7"</formula>
    </cfRule>
  </conditionalFormatting>
  <conditionalFormatting sqref="F33">
    <cfRule type="cellIs" dxfId="2224" priority="158" stopIfTrue="1" operator="equal">
      <formula>"E7A"</formula>
    </cfRule>
  </conditionalFormatting>
  <conditionalFormatting sqref="F34">
    <cfRule type="cellIs" dxfId="2223" priority="159" stopIfTrue="1" operator="equal">
      <formula>"E7"</formula>
    </cfRule>
  </conditionalFormatting>
  <conditionalFormatting sqref="F34">
    <cfRule type="cellIs" dxfId="2222" priority="160" stopIfTrue="1" operator="equal">
      <formula>"E7A"</formula>
    </cfRule>
  </conditionalFormatting>
  <conditionalFormatting sqref="F35">
    <cfRule type="cellIs" dxfId="2221" priority="161" stopIfTrue="1" operator="equal">
      <formula>"E7"</formula>
    </cfRule>
  </conditionalFormatting>
  <conditionalFormatting sqref="F35">
    <cfRule type="cellIs" dxfId="2220" priority="162" stopIfTrue="1" operator="equal">
      <formula>"E7A"</formula>
    </cfRule>
  </conditionalFormatting>
  <conditionalFormatting sqref="F26">
    <cfRule type="cellIs" dxfId="2219" priority="163" stopIfTrue="1" operator="equal">
      <formula>"E7"</formula>
    </cfRule>
  </conditionalFormatting>
  <conditionalFormatting sqref="F26">
    <cfRule type="cellIs" dxfId="2218" priority="164" stopIfTrue="1" operator="equal">
      <formula>"E7A"</formula>
    </cfRule>
  </conditionalFormatting>
  <conditionalFormatting sqref="F21">
    <cfRule type="cellIs" dxfId="2217" priority="165" stopIfTrue="1" operator="equal">
      <formula>"E7"</formula>
    </cfRule>
  </conditionalFormatting>
  <conditionalFormatting sqref="F21">
    <cfRule type="cellIs" dxfId="2216" priority="166" stopIfTrue="1" operator="equal">
      <formula>"E7A"</formula>
    </cfRule>
  </conditionalFormatting>
  <conditionalFormatting sqref="F20">
    <cfRule type="cellIs" dxfId="2215" priority="167" stopIfTrue="1" operator="equal">
      <formula>"E7"</formula>
    </cfRule>
  </conditionalFormatting>
  <conditionalFormatting sqref="F20">
    <cfRule type="cellIs" dxfId="2214" priority="168" stopIfTrue="1" operator="equal">
      <formula>"E7A"</formula>
    </cfRule>
  </conditionalFormatting>
  <conditionalFormatting sqref="F27">
    <cfRule type="cellIs" dxfId="2213" priority="169" stopIfTrue="1" operator="equal">
      <formula>"E7"</formula>
    </cfRule>
  </conditionalFormatting>
  <conditionalFormatting sqref="F27">
    <cfRule type="cellIs" dxfId="2212" priority="170" stopIfTrue="1" operator="equal">
      <formula>"E7A"</formula>
    </cfRule>
  </conditionalFormatting>
  <conditionalFormatting sqref="B20:B21 B26:B27">
    <cfRule type="expression" dxfId="2211" priority="171">
      <formula>$B20="A"</formula>
    </cfRule>
  </conditionalFormatting>
  <conditionalFormatting sqref="B28">
    <cfRule type="expression" dxfId="2210" priority="172">
      <formula>$B28="A"</formula>
    </cfRule>
  </conditionalFormatting>
  <conditionalFormatting sqref="F28">
    <cfRule type="cellIs" dxfId="2209" priority="173" stopIfTrue="1" operator="equal">
      <formula>"E7"</formula>
    </cfRule>
  </conditionalFormatting>
  <conditionalFormatting sqref="F28">
    <cfRule type="cellIs" dxfId="2208" priority="174" stopIfTrue="1" operator="equal">
      <formula>"E7A"</formula>
    </cfRule>
  </conditionalFormatting>
  <conditionalFormatting sqref="B29:B31">
    <cfRule type="expression" dxfId="2207" priority="175">
      <formula>$B29="A"</formula>
    </cfRule>
  </conditionalFormatting>
  <conditionalFormatting sqref="F29">
    <cfRule type="cellIs" dxfId="2206" priority="176" stopIfTrue="1" operator="equal">
      <formula>"E7"</formula>
    </cfRule>
  </conditionalFormatting>
  <conditionalFormatting sqref="F29">
    <cfRule type="cellIs" dxfId="2205" priority="177" stopIfTrue="1" operator="equal">
      <formula>"E7A"</formula>
    </cfRule>
  </conditionalFormatting>
  <conditionalFormatting sqref="F30">
    <cfRule type="cellIs" dxfId="2204" priority="178" stopIfTrue="1" operator="equal">
      <formula>"E7"</formula>
    </cfRule>
  </conditionalFormatting>
  <conditionalFormatting sqref="F30">
    <cfRule type="cellIs" dxfId="2203" priority="179" stopIfTrue="1" operator="equal">
      <formula>"E7A"</formula>
    </cfRule>
  </conditionalFormatting>
  <conditionalFormatting sqref="F31">
    <cfRule type="cellIs" dxfId="2202" priority="180" stopIfTrue="1" operator="equal">
      <formula>"E7"</formula>
    </cfRule>
  </conditionalFormatting>
  <conditionalFormatting sqref="F31">
    <cfRule type="cellIs" dxfId="2201" priority="181" stopIfTrue="1" operator="equal">
      <formula>"E7A"</formula>
    </cfRule>
  </conditionalFormatting>
  <conditionalFormatting sqref="F18">
    <cfRule type="cellIs" dxfId="2200" priority="182" stopIfTrue="1" operator="equal">
      <formula>"E7"</formula>
    </cfRule>
  </conditionalFormatting>
  <conditionalFormatting sqref="F18">
    <cfRule type="cellIs" dxfId="2199" priority="183" stopIfTrue="1" operator="equal">
      <formula>"E7A"</formula>
    </cfRule>
  </conditionalFormatting>
  <conditionalFormatting sqref="F19">
    <cfRule type="cellIs" dxfId="2198" priority="184" stopIfTrue="1" operator="equal">
      <formula>"E7"</formula>
    </cfRule>
  </conditionalFormatting>
  <conditionalFormatting sqref="F19">
    <cfRule type="cellIs" dxfId="2197" priority="185" stopIfTrue="1" operator="equal">
      <formula>"E7A"</formula>
    </cfRule>
  </conditionalFormatting>
  <conditionalFormatting sqref="B16:B19">
    <cfRule type="expression" dxfId="2196" priority="186">
      <formula>$B16="A"</formula>
    </cfRule>
  </conditionalFormatting>
  <conditionalFormatting sqref="F16">
    <cfRule type="cellIs" dxfId="2195" priority="187" stopIfTrue="1" operator="equal">
      <formula>"E7"</formula>
    </cfRule>
  </conditionalFormatting>
  <conditionalFormatting sqref="F16">
    <cfRule type="cellIs" dxfId="2194" priority="188" stopIfTrue="1" operator="equal">
      <formula>"E7A"</formula>
    </cfRule>
  </conditionalFormatting>
  <conditionalFormatting sqref="F17">
    <cfRule type="cellIs" dxfId="2193" priority="189" stopIfTrue="1" operator="equal">
      <formula>"E7"</formula>
    </cfRule>
  </conditionalFormatting>
  <conditionalFormatting sqref="F17">
    <cfRule type="cellIs" dxfId="2192" priority="190" stopIfTrue="1" operator="equal">
      <formula>"E7A"</formula>
    </cfRule>
  </conditionalFormatting>
  <conditionalFormatting sqref="F22">
    <cfRule type="cellIs" dxfId="2191" priority="191" stopIfTrue="1" operator="equal">
      <formula>"E7"</formula>
    </cfRule>
  </conditionalFormatting>
  <conditionalFormatting sqref="F22">
    <cfRule type="cellIs" dxfId="2190" priority="192" stopIfTrue="1" operator="equal">
      <formula>"E7A"</formula>
    </cfRule>
  </conditionalFormatting>
  <conditionalFormatting sqref="F23">
    <cfRule type="cellIs" dxfId="2189" priority="193" stopIfTrue="1" operator="equal">
      <formula>"E7"</formula>
    </cfRule>
  </conditionalFormatting>
  <conditionalFormatting sqref="F23">
    <cfRule type="cellIs" dxfId="2188" priority="194" stopIfTrue="1" operator="equal">
      <formula>"E7A"</formula>
    </cfRule>
  </conditionalFormatting>
  <conditionalFormatting sqref="B22:B23">
    <cfRule type="expression" dxfId="2187" priority="195">
      <formula>$B22="A"</formula>
    </cfRule>
  </conditionalFormatting>
  <conditionalFormatting sqref="B24">
    <cfRule type="expression" dxfId="2186" priority="196">
      <formula>$B24="A"</formula>
    </cfRule>
  </conditionalFormatting>
  <conditionalFormatting sqref="F24">
    <cfRule type="cellIs" dxfId="2185" priority="197" stopIfTrue="1" operator="equal">
      <formula>"E7"</formula>
    </cfRule>
  </conditionalFormatting>
  <conditionalFormatting sqref="F24">
    <cfRule type="cellIs" dxfId="2184" priority="198" stopIfTrue="1" operator="equal">
      <formula>"E7A"</formula>
    </cfRule>
  </conditionalFormatting>
  <conditionalFormatting sqref="B25">
    <cfRule type="expression" dxfId="2183" priority="199">
      <formula>$B25="A"</formula>
    </cfRule>
  </conditionalFormatting>
  <conditionalFormatting sqref="F25">
    <cfRule type="cellIs" dxfId="2182" priority="200" stopIfTrue="1" operator="equal">
      <formula>"E7"</formula>
    </cfRule>
  </conditionalFormatting>
  <conditionalFormatting sqref="F25">
    <cfRule type="cellIs" dxfId="2181" priority="201" stopIfTrue="1" operator="equal">
      <formula>"E7A"</formula>
    </cfRule>
  </conditionalFormatting>
  <conditionalFormatting sqref="H6">
    <cfRule type="expression" dxfId="2180" priority="202">
      <formula>H$257&gt;0</formula>
    </cfRule>
  </conditionalFormatting>
  <conditionalFormatting sqref="AI6:AS6">
    <cfRule type="expression" dxfId="2179" priority="203">
      <formula>AI$257&gt;0</formula>
    </cfRule>
  </conditionalFormatting>
  <conditionalFormatting sqref="X6:AH6">
    <cfRule type="expression" dxfId="2178" priority="204">
      <formula>X$257&gt;0</formula>
    </cfRule>
  </conditionalFormatting>
  <conditionalFormatting sqref="M6:W6">
    <cfRule type="expression" dxfId="2177" priority="205">
      <formula>M$257&gt;0</formula>
    </cfRule>
  </conditionalFormatting>
  <conditionalFormatting sqref="FB6:FH6">
    <cfRule type="expression" dxfId="2176" priority="206">
      <formula>FB$257&gt;0</formula>
    </cfRule>
  </conditionalFormatting>
  <conditionalFormatting sqref="I6:L6 AT6:CA6 FI6:FO6 CC6:DG6 DI6:EN6 EP6:FA6">
    <cfRule type="expression" dxfId="2175" priority="207">
      <formula>I$257&gt;0</formula>
    </cfRule>
  </conditionalFormatting>
  <conditionalFormatting sqref="CB6">
    <cfRule type="expression" dxfId="2174" priority="208">
      <formula>CB256=0</formula>
    </cfRule>
  </conditionalFormatting>
  <conditionalFormatting sqref="CB6">
    <cfRule type="expression" dxfId="2173" priority="209">
      <formula>CB$257&gt;0</formula>
    </cfRule>
  </conditionalFormatting>
  <conditionalFormatting sqref="DH6">
    <cfRule type="expression" dxfId="2172" priority="210">
      <formula>DH256=0</formula>
    </cfRule>
  </conditionalFormatting>
  <conditionalFormatting sqref="DH6">
    <cfRule type="expression" dxfId="2171" priority="211">
      <formula>DH$257&gt;0</formula>
    </cfRule>
  </conditionalFormatting>
  <conditionalFormatting sqref="EO6">
    <cfRule type="expression" dxfId="2170" priority="212">
      <formula>EO256=0</formula>
    </cfRule>
  </conditionalFormatting>
  <conditionalFormatting sqref="EO6">
    <cfRule type="expression" dxfId="2169" priority="213">
      <formula>EO$257&gt;0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R116"/>
  <sheetViews>
    <sheetView workbookViewId="0">
      <pane xSplit="6" ySplit="6" topLeftCell="AD95" activePane="bottomRight" state="frozen"/>
      <selection pane="topRight" activeCell="G1" sqref="G1"/>
      <selection pane="bottomLeft" activeCell="A7" sqref="A7"/>
      <selection pane="bottomRight" activeCell="E122" sqref="E122"/>
    </sheetView>
  </sheetViews>
  <sheetFormatPr defaultRowHeight="10.199999999999999"/>
  <cols>
    <col min="1" max="16384" width="8.88671875" style="273"/>
  </cols>
  <sheetData>
    <row r="1" spans="1:174" ht="11.4">
      <c r="A1" s="220"/>
      <c r="B1" s="221"/>
      <c r="C1" s="221"/>
      <c r="D1" s="222"/>
      <c r="E1" s="223"/>
      <c r="F1" s="223"/>
      <c r="G1" s="229" t="s">
        <v>875</v>
      </c>
      <c r="H1" s="223"/>
      <c r="I1" s="223"/>
      <c r="J1" s="223"/>
      <c r="K1" s="223"/>
      <c r="L1" s="223"/>
      <c r="M1" s="223"/>
      <c r="N1" s="223"/>
      <c r="O1" s="223"/>
      <c r="P1" s="223"/>
      <c r="Q1" s="223"/>
      <c r="R1" s="223"/>
      <c r="S1" s="223"/>
      <c r="T1" s="223"/>
      <c r="U1" s="223"/>
      <c r="V1" s="223"/>
      <c r="W1" s="223"/>
      <c r="X1" s="223"/>
      <c r="Y1" s="223"/>
      <c r="Z1" s="223"/>
      <c r="AA1" s="223"/>
      <c r="AB1" s="223"/>
      <c r="AC1" s="223"/>
      <c r="AD1" s="223"/>
      <c r="AE1" s="223"/>
      <c r="AF1" s="223"/>
      <c r="AG1" s="223"/>
      <c r="AH1" s="223"/>
      <c r="AI1" s="223"/>
      <c r="AJ1" s="223"/>
      <c r="AK1" s="223"/>
      <c r="AL1" s="223"/>
      <c r="AM1" s="223"/>
      <c r="AN1" s="223"/>
      <c r="AO1" s="223"/>
      <c r="AP1" s="223"/>
      <c r="AQ1" s="223"/>
      <c r="AR1" s="223"/>
      <c r="AS1" s="223"/>
      <c r="AT1" s="223"/>
      <c r="AU1" s="223"/>
      <c r="AV1" s="223"/>
      <c r="AW1" s="223"/>
      <c r="AX1" s="223"/>
      <c r="AY1" s="223"/>
      <c r="AZ1" s="223"/>
      <c r="BA1" s="223"/>
      <c r="BB1" s="223"/>
      <c r="BC1" s="223"/>
      <c r="BD1" s="223"/>
      <c r="BE1" s="223"/>
      <c r="BF1" s="223"/>
      <c r="BG1" s="223"/>
      <c r="BH1" s="223"/>
      <c r="BI1" s="223"/>
      <c r="BJ1" s="223"/>
      <c r="BK1" s="223"/>
      <c r="BL1" s="223"/>
      <c r="BM1" s="223"/>
      <c r="BN1" s="223"/>
      <c r="BO1" s="223"/>
      <c r="BP1" s="223"/>
      <c r="BQ1" s="223"/>
      <c r="BR1" s="223"/>
      <c r="BS1" s="223"/>
      <c r="BT1" s="223"/>
      <c r="BU1" s="223"/>
      <c r="BV1" s="223"/>
      <c r="BW1" s="223"/>
      <c r="BX1" s="223"/>
      <c r="BY1" s="223"/>
      <c r="BZ1" s="223"/>
      <c r="CA1" s="223"/>
      <c r="CB1" s="223"/>
      <c r="CC1" s="223"/>
      <c r="CD1" s="223"/>
      <c r="CE1" s="223"/>
      <c r="CF1" s="223"/>
      <c r="CG1" s="223"/>
      <c r="CH1" s="223"/>
      <c r="CI1" s="223"/>
      <c r="CJ1" s="223"/>
      <c r="CK1" s="223"/>
      <c r="CL1" s="223"/>
      <c r="CM1" s="223"/>
      <c r="CN1" s="223"/>
      <c r="CO1" s="223"/>
      <c r="CP1" s="223"/>
      <c r="CQ1" s="223"/>
      <c r="CR1" s="223"/>
      <c r="CS1" s="223"/>
      <c r="CT1" s="223"/>
      <c r="CU1" s="223"/>
      <c r="CV1" s="223"/>
      <c r="CW1" s="223"/>
      <c r="CX1" s="223"/>
      <c r="CY1" s="223"/>
      <c r="CZ1" s="223"/>
      <c r="DA1" s="223"/>
      <c r="DB1" s="223"/>
      <c r="DC1" s="223"/>
      <c r="DD1" s="223"/>
      <c r="DE1" s="223"/>
      <c r="DF1" s="223"/>
      <c r="DG1" s="223"/>
      <c r="DH1" s="223"/>
      <c r="DI1" s="223"/>
      <c r="DJ1" s="223"/>
      <c r="DK1" s="223"/>
      <c r="DL1" s="223"/>
      <c r="DM1" s="223"/>
      <c r="DN1" s="223"/>
      <c r="DO1" s="223"/>
      <c r="DP1" s="223"/>
      <c r="DQ1" s="223"/>
      <c r="DR1" s="223"/>
      <c r="DS1" s="223"/>
      <c r="DT1" s="223"/>
      <c r="DU1" s="223"/>
      <c r="DV1" s="223"/>
      <c r="DW1" s="223"/>
      <c r="DX1" s="223"/>
      <c r="DY1" s="223"/>
      <c r="DZ1" s="223"/>
      <c r="EA1" s="223"/>
      <c r="EB1" s="223"/>
      <c r="EC1" s="223"/>
      <c r="ED1" s="223"/>
      <c r="EE1" s="223"/>
      <c r="EF1" s="223"/>
      <c r="EG1" s="223"/>
      <c r="EH1" s="223"/>
      <c r="EI1" s="223"/>
      <c r="EJ1" s="223"/>
      <c r="EK1" s="223"/>
      <c r="EL1" s="223"/>
      <c r="EM1" s="223"/>
      <c r="EN1" s="223"/>
      <c r="EO1" s="223"/>
      <c r="EP1" s="223"/>
      <c r="EQ1" s="223"/>
      <c r="ER1" s="223"/>
      <c r="ES1" s="223"/>
      <c r="ET1" s="223"/>
      <c r="EU1" s="223"/>
      <c r="EV1" s="223"/>
      <c r="EW1" s="223"/>
      <c r="EX1" s="223"/>
      <c r="EY1" s="223"/>
      <c r="EZ1" s="223"/>
      <c r="FA1" s="223"/>
      <c r="FB1" s="223"/>
      <c r="FC1" s="223"/>
      <c r="FD1" s="223"/>
      <c r="FE1" s="223"/>
      <c r="FF1" s="223"/>
      <c r="FG1" s="223"/>
      <c r="FH1" s="223"/>
      <c r="FI1" s="223"/>
      <c r="FJ1" s="223"/>
      <c r="FK1" s="224"/>
      <c r="FL1" s="225"/>
      <c r="FM1" s="226"/>
      <c r="FN1" s="221"/>
      <c r="FO1" s="221"/>
      <c r="FP1" s="221"/>
      <c r="FQ1" s="221"/>
      <c r="FR1" s="221"/>
    </row>
    <row r="2" spans="1:174" ht="11.4">
      <c r="A2" s="227"/>
      <c r="B2" s="228"/>
      <c r="C2" s="228"/>
      <c r="D2" s="228"/>
      <c r="E2" s="229"/>
      <c r="F2" s="229"/>
      <c r="G2" s="229" t="s">
        <v>876</v>
      </c>
      <c r="H2" s="230" t="s">
        <v>1</v>
      </c>
      <c r="I2" s="230" t="s">
        <v>291</v>
      </c>
      <c r="J2" s="230" t="s">
        <v>293</v>
      </c>
      <c r="K2" s="230" t="s">
        <v>291</v>
      </c>
      <c r="L2" s="230" t="s">
        <v>1</v>
      </c>
      <c r="M2" s="230" t="s">
        <v>1</v>
      </c>
      <c r="N2" s="231" t="s">
        <v>772</v>
      </c>
      <c r="O2" s="231" t="s">
        <v>773</v>
      </c>
      <c r="P2" s="230" t="s">
        <v>1</v>
      </c>
      <c r="Q2" s="230" t="s">
        <v>291</v>
      </c>
      <c r="R2" s="230" t="s">
        <v>291</v>
      </c>
      <c r="S2" s="230" t="s">
        <v>1</v>
      </c>
      <c r="T2" s="230" t="s">
        <v>291</v>
      </c>
      <c r="U2" s="230" t="s">
        <v>1</v>
      </c>
      <c r="V2" s="230" t="s">
        <v>1</v>
      </c>
      <c r="W2" s="231" t="s">
        <v>773</v>
      </c>
      <c r="X2" s="230" t="s">
        <v>1</v>
      </c>
      <c r="Y2" s="230" t="s">
        <v>1</v>
      </c>
      <c r="Z2" s="230" t="s">
        <v>1</v>
      </c>
      <c r="AA2" s="230" t="s">
        <v>1</v>
      </c>
      <c r="AB2" s="230" t="s">
        <v>1</v>
      </c>
      <c r="AC2" s="230" t="s">
        <v>1</v>
      </c>
      <c r="AD2" s="231" t="s">
        <v>773</v>
      </c>
      <c r="AE2" s="230" t="s">
        <v>1</v>
      </c>
      <c r="AF2" s="230" t="s">
        <v>1</v>
      </c>
      <c r="AG2" s="230" t="s">
        <v>291</v>
      </c>
      <c r="AH2" s="230" t="s">
        <v>291</v>
      </c>
      <c r="AI2" s="231" t="s">
        <v>774</v>
      </c>
      <c r="AJ2" s="230" t="s">
        <v>1</v>
      </c>
      <c r="AK2" s="230" t="s">
        <v>1</v>
      </c>
      <c r="AL2" s="230" t="s">
        <v>1</v>
      </c>
      <c r="AM2" s="231" t="s">
        <v>775</v>
      </c>
      <c r="AN2" s="230" t="s">
        <v>1</v>
      </c>
      <c r="AO2" s="230" t="s">
        <v>291</v>
      </c>
      <c r="AP2" s="230" t="s">
        <v>291</v>
      </c>
      <c r="AQ2" s="230" t="s">
        <v>291</v>
      </c>
      <c r="AR2" s="230" t="s">
        <v>291</v>
      </c>
      <c r="AS2" s="230" t="s">
        <v>1</v>
      </c>
      <c r="AT2" s="231" t="s">
        <v>775</v>
      </c>
      <c r="AU2" s="231" t="s">
        <v>776</v>
      </c>
      <c r="AV2" s="230" t="s">
        <v>1</v>
      </c>
      <c r="AW2" s="230" t="s">
        <v>1</v>
      </c>
      <c r="AX2" s="231" t="s">
        <v>773</v>
      </c>
      <c r="AY2" s="230" t="s">
        <v>291</v>
      </c>
      <c r="AZ2" s="230" t="s">
        <v>291</v>
      </c>
      <c r="BA2" s="231" t="s">
        <v>777</v>
      </c>
      <c r="BB2" s="231" t="s">
        <v>775</v>
      </c>
      <c r="BC2" s="230" t="s">
        <v>1</v>
      </c>
      <c r="BD2" s="231" t="s">
        <v>773</v>
      </c>
      <c r="BE2" s="231" t="s">
        <v>773</v>
      </c>
      <c r="BF2" s="231" t="s">
        <v>772</v>
      </c>
      <c r="BG2" s="231" t="s">
        <v>773</v>
      </c>
      <c r="BH2" s="230" t="s">
        <v>1</v>
      </c>
      <c r="BI2" s="230" t="s">
        <v>1</v>
      </c>
      <c r="BJ2" s="230" t="s">
        <v>1</v>
      </c>
      <c r="BK2" s="230" t="s">
        <v>1</v>
      </c>
      <c r="BL2" s="230" t="s">
        <v>1</v>
      </c>
      <c r="BM2" s="230" t="s">
        <v>1</v>
      </c>
      <c r="BN2" s="230" t="s">
        <v>1</v>
      </c>
      <c r="BO2" s="230" t="s">
        <v>1</v>
      </c>
      <c r="BP2" s="230" t="s">
        <v>1</v>
      </c>
      <c r="BQ2" s="230" t="s">
        <v>293</v>
      </c>
      <c r="BR2" s="230" t="s">
        <v>1</v>
      </c>
      <c r="BS2" s="230" t="s">
        <v>1</v>
      </c>
      <c r="BT2" s="230" t="s">
        <v>1</v>
      </c>
      <c r="BU2" s="230" t="s">
        <v>1</v>
      </c>
      <c r="BV2" s="230" t="s">
        <v>1</v>
      </c>
      <c r="BW2" s="230" t="s">
        <v>1</v>
      </c>
      <c r="BX2" s="231" t="s">
        <v>776</v>
      </c>
      <c r="BY2" s="230" t="s">
        <v>1</v>
      </c>
      <c r="BZ2" s="230" t="s">
        <v>1</v>
      </c>
      <c r="CA2" s="230" t="s">
        <v>1</v>
      </c>
      <c r="CB2" s="230" t="s">
        <v>1</v>
      </c>
      <c r="CC2" s="230" t="s">
        <v>1</v>
      </c>
      <c r="CD2" s="230" t="s">
        <v>1</v>
      </c>
      <c r="CE2" s="230" t="s">
        <v>1</v>
      </c>
      <c r="CF2" s="230" t="s">
        <v>1</v>
      </c>
      <c r="CG2" s="230" t="s">
        <v>1</v>
      </c>
      <c r="CH2" s="230" t="s">
        <v>1</v>
      </c>
      <c r="CI2" s="230" t="s">
        <v>1</v>
      </c>
      <c r="CJ2" s="230" t="s">
        <v>1</v>
      </c>
      <c r="CK2" s="230" t="s">
        <v>1</v>
      </c>
      <c r="CL2" s="230" t="s">
        <v>1</v>
      </c>
      <c r="CM2" s="230" t="s">
        <v>1</v>
      </c>
      <c r="CN2" s="230" t="s">
        <v>1</v>
      </c>
      <c r="CO2" s="230" t="s">
        <v>1</v>
      </c>
      <c r="CP2" s="230" t="s">
        <v>1</v>
      </c>
      <c r="CQ2" s="230" t="s">
        <v>1</v>
      </c>
      <c r="CR2" s="230" t="s">
        <v>1</v>
      </c>
      <c r="CS2" s="230" t="s">
        <v>1</v>
      </c>
      <c r="CT2" s="231" t="s">
        <v>776</v>
      </c>
      <c r="CU2" s="230" t="s">
        <v>1</v>
      </c>
      <c r="CV2" s="230" t="s">
        <v>1</v>
      </c>
      <c r="CW2" s="230" t="s">
        <v>1</v>
      </c>
      <c r="CX2" s="230" t="s">
        <v>1</v>
      </c>
      <c r="CY2" s="230" t="s">
        <v>1</v>
      </c>
      <c r="CZ2" s="230" t="s">
        <v>1</v>
      </c>
      <c r="DA2" s="230" t="s">
        <v>1</v>
      </c>
      <c r="DB2" s="230" t="s">
        <v>1</v>
      </c>
      <c r="DC2" s="230" t="s">
        <v>1</v>
      </c>
      <c r="DD2" s="230" t="s">
        <v>1</v>
      </c>
      <c r="DE2" s="230" t="s">
        <v>1</v>
      </c>
      <c r="DF2" s="230" t="s">
        <v>1</v>
      </c>
      <c r="DG2" s="230" t="s">
        <v>1</v>
      </c>
      <c r="DH2" s="230" t="s">
        <v>1</v>
      </c>
      <c r="DI2" s="230" t="s">
        <v>1</v>
      </c>
      <c r="DJ2" s="230" t="s">
        <v>1</v>
      </c>
      <c r="DK2" s="230" t="s">
        <v>1</v>
      </c>
      <c r="DL2" s="230" t="s">
        <v>1</v>
      </c>
      <c r="DM2" s="230" t="s">
        <v>1</v>
      </c>
      <c r="DN2" s="230" t="s">
        <v>1</v>
      </c>
      <c r="DO2" s="230" t="s">
        <v>1</v>
      </c>
      <c r="DP2" s="230" t="s">
        <v>1</v>
      </c>
      <c r="DQ2" s="230" t="s">
        <v>1</v>
      </c>
      <c r="DR2" s="230" t="s">
        <v>1</v>
      </c>
      <c r="DS2" s="230" t="s">
        <v>1</v>
      </c>
      <c r="DT2" s="230" t="s">
        <v>1</v>
      </c>
      <c r="DU2" s="230" t="s">
        <v>291</v>
      </c>
      <c r="DV2" s="230" t="s">
        <v>291</v>
      </c>
      <c r="DW2" s="231" t="s">
        <v>775</v>
      </c>
      <c r="DX2" s="230" t="s">
        <v>1</v>
      </c>
      <c r="DY2" s="230" t="s">
        <v>291</v>
      </c>
      <c r="DZ2" s="230" t="s">
        <v>291</v>
      </c>
      <c r="EA2" s="230" t="s">
        <v>291</v>
      </c>
      <c r="EB2" s="230" t="s">
        <v>1</v>
      </c>
      <c r="EC2" s="230" t="s">
        <v>1</v>
      </c>
      <c r="ED2" s="230" t="s">
        <v>1</v>
      </c>
      <c r="EE2" s="230" t="s">
        <v>1</v>
      </c>
      <c r="EF2" s="230" t="s">
        <v>1</v>
      </c>
      <c r="EG2" s="230" t="s">
        <v>1</v>
      </c>
      <c r="EH2" s="230" t="s">
        <v>1</v>
      </c>
      <c r="EI2" s="230" t="s">
        <v>1</v>
      </c>
      <c r="EJ2" s="230" t="s">
        <v>1</v>
      </c>
      <c r="EK2" s="230" t="s">
        <v>1</v>
      </c>
      <c r="EL2" s="230" t="s">
        <v>1</v>
      </c>
      <c r="EM2" s="230" t="s">
        <v>1</v>
      </c>
      <c r="EN2" s="230" t="s">
        <v>1</v>
      </c>
      <c r="EO2" s="230" t="s">
        <v>1</v>
      </c>
      <c r="EP2" s="230" t="s">
        <v>1</v>
      </c>
      <c r="EQ2" s="230" t="s">
        <v>1</v>
      </c>
      <c r="ER2" s="230" t="s">
        <v>1</v>
      </c>
      <c r="ES2" s="230" t="s">
        <v>293</v>
      </c>
      <c r="ET2" s="230" t="s">
        <v>1</v>
      </c>
      <c r="EU2" s="230" t="s">
        <v>1</v>
      </c>
      <c r="EV2" s="230" t="s">
        <v>1</v>
      </c>
      <c r="EW2" s="230" t="s">
        <v>293</v>
      </c>
      <c r="EX2" s="230" t="s">
        <v>1</v>
      </c>
      <c r="EY2" s="230" t="s">
        <v>1</v>
      </c>
      <c r="EZ2" s="230" t="s">
        <v>1</v>
      </c>
      <c r="FA2" s="230" t="s">
        <v>293</v>
      </c>
      <c r="FB2" s="230" t="s">
        <v>1</v>
      </c>
      <c r="FC2" s="230" t="s">
        <v>1</v>
      </c>
      <c r="FD2" s="230" t="s">
        <v>1</v>
      </c>
      <c r="FE2" s="230" t="s">
        <v>293</v>
      </c>
      <c r="FF2" s="230" t="s">
        <v>1</v>
      </c>
      <c r="FG2" s="230" t="s">
        <v>1</v>
      </c>
      <c r="FH2" s="230" t="s">
        <v>1</v>
      </c>
      <c r="FI2" s="230" t="s">
        <v>1</v>
      </c>
      <c r="FJ2" s="230" t="s">
        <v>1</v>
      </c>
      <c r="FK2" s="224"/>
      <c r="FL2" s="232"/>
      <c r="FM2" s="233"/>
      <c r="FN2" s="228"/>
      <c r="FO2" s="228"/>
      <c r="FP2" s="228"/>
      <c r="FQ2" s="228"/>
      <c r="FR2" s="228"/>
    </row>
    <row r="3" spans="1:174">
      <c r="A3" s="227"/>
      <c r="B3" s="228"/>
      <c r="C3" s="228"/>
      <c r="D3" s="228"/>
      <c r="E3" s="229"/>
      <c r="F3" s="229"/>
      <c r="G3" s="229" t="s">
        <v>296</v>
      </c>
      <c r="H3" s="230">
        <v>20</v>
      </c>
      <c r="I3" s="230">
        <v>20</v>
      </c>
      <c r="J3" s="230">
        <v>20</v>
      </c>
      <c r="K3" s="230">
        <v>20</v>
      </c>
      <c r="L3" s="230">
        <v>20</v>
      </c>
      <c r="M3" s="230">
        <v>20</v>
      </c>
      <c r="N3" s="230">
        <v>20</v>
      </c>
      <c r="O3" s="230">
        <v>20</v>
      </c>
      <c r="P3" s="230">
        <v>20</v>
      </c>
      <c r="Q3" s="230">
        <v>20</v>
      </c>
      <c r="R3" s="230">
        <v>10</v>
      </c>
      <c r="S3" s="230">
        <v>20</v>
      </c>
      <c r="T3" s="230">
        <v>20</v>
      </c>
      <c r="U3" s="230">
        <v>20</v>
      </c>
      <c r="V3" s="230">
        <v>20</v>
      </c>
      <c r="W3" s="230">
        <v>10</v>
      </c>
      <c r="X3" s="230">
        <v>10</v>
      </c>
      <c r="Y3" s="230">
        <v>20</v>
      </c>
      <c r="Z3" s="230">
        <v>20</v>
      </c>
      <c r="AA3" s="230">
        <v>10</v>
      </c>
      <c r="AB3" s="230">
        <v>20</v>
      </c>
      <c r="AC3" s="230">
        <v>20</v>
      </c>
      <c r="AD3" s="230">
        <v>20</v>
      </c>
      <c r="AE3" s="230">
        <v>20</v>
      </c>
      <c r="AF3" s="230">
        <v>20</v>
      </c>
      <c r="AG3" s="230">
        <v>20</v>
      </c>
      <c r="AH3" s="230">
        <v>10</v>
      </c>
      <c r="AI3" s="230">
        <v>10</v>
      </c>
      <c r="AJ3" s="230">
        <v>10</v>
      </c>
      <c r="AK3" s="230">
        <v>10</v>
      </c>
      <c r="AL3" s="230">
        <v>20</v>
      </c>
      <c r="AM3" s="230">
        <v>10</v>
      </c>
      <c r="AN3" s="230">
        <v>10</v>
      </c>
      <c r="AO3" s="230">
        <v>10</v>
      </c>
      <c r="AP3" s="230">
        <v>5</v>
      </c>
      <c r="AQ3" s="230">
        <v>10</v>
      </c>
      <c r="AR3" s="230">
        <v>10</v>
      </c>
      <c r="AS3" s="230">
        <v>20</v>
      </c>
      <c r="AT3" s="230">
        <v>20</v>
      </c>
      <c r="AU3" s="230">
        <v>10</v>
      </c>
      <c r="AV3" s="230">
        <v>10</v>
      </c>
      <c r="AW3" s="230">
        <v>20</v>
      </c>
      <c r="AX3" s="230">
        <v>20</v>
      </c>
      <c r="AY3" s="230">
        <v>10</v>
      </c>
      <c r="AZ3" s="230">
        <v>10</v>
      </c>
      <c r="BA3" s="230">
        <v>5</v>
      </c>
      <c r="BB3" s="230">
        <v>10</v>
      </c>
      <c r="BC3" s="230">
        <v>10</v>
      </c>
      <c r="BD3" s="230">
        <v>20</v>
      </c>
      <c r="BE3" s="230">
        <v>20</v>
      </c>
      <c r="BF3" s="230">
        <v>10</v>
      </c>
      <c r="BG3" s="230">
        <v>10</v>
      </c>
      <c r="BH3" s="230">
        <v>10</v>
      </c>
      <c r="BI3" s="230">
        <v>10</v>
      </c>
      <c r="BJ3" s="230">
        <v>10</v>
      </c>
      <c r="BK3" s="230">
        <v>5</v>
      </c>
      <c r="BL3" s="230">
        <v>10</v>
      </c>
      <c r="BM3" s="230">
        <v>10</v>
      </c>
      <c r="BN3" s="230">
        <v>10</v>
      </c>
      <c r="BO3" s="230">
        <v>10</v>
      </c>
      <c r="BP3" s="230">
        <v>10</v>
      </c>
      <c r="BQ3" s="230">
        <v>10</v>
      </c>
      <c r="BR3" s="230">
        <v>10</v>
      </c>
      <c r="BS3" s="230">
        <v>10</v>
      </c>
      <c r="BT3" s="230">
        <v>10</v>
      </c>
      <c r="BU3" s="230">
        <v>10</v>
      </c>
      <c r="BV3" s="230">
        <v>10</v>
      </c>
      <c r="BW3" s="230">
        <v>10</v>
      </c>
      <c r="BX3" s="230">
        <v>10</v>
      </c>
      <c r="BY3" s="230">
        <v>10</v>
      </c>
      <c r="BZ3" s="230">
        <v>10</v>
      </c>
      <c r="CA3" s="230">
        <v>5</v>
      </c>
      <c r="CB3" s="230">
        <v>10</v>
      </c>
      <c r="CC3" s="230">
        <v>10</v>
      </c>
      <c r="CD3" s="230">
        <v>10</v>
      </c>
      <c r="CE3" s="230">
        <v>10</v>
      </c>
      <c r="CF3" s="230">
        <v>10</v>
      </c>
      <c r="CG3" s="230">
        <v>10</v>
      </c>
      <c r="CH3" s="230">
        <v>5</v>
      </c>
      <c r="CI3" s="230">
        <v>5</v>
      </c>
      <c r="CJ3" s="230">
        <v>10</v>
      </c>
      <c r="CK3" s="230">
        <v>10</v>
      </c>
      <c r="CL3" s="230">
        <v>10</v>
      </c>
      <c r="CM3" s="230">
        <v>10</v>
      </c>
      <c r="CN3" s="230">
        <v>5</v>
      </c>
      <c r="CO3" s="230">
        <v>4</v>
      </c>
      <c r="CP3" s="230">
        <v>5</v>
      </c>
      <c r="CQ3" s="230">
        <v>5</v>
      </c>
      <c r="CR3" s="230">
        <v>10</v>
      </c>
      <c r="CS3" s="230">
        <v>10</v>
      </c>
      <c r="CT3" s="230">
        <v>10</v>
      </c>
      <c r="CU3" s="230">
        <v>10</v>
      </c>
      <c r="CV3" s="230">
        <v>1</v>
      </c>
      <c r="CW3" s="230">
        <v>1</v>
      </c>
      <c r="CX3" s="230">
        <v>1</v>
      </c>
      <c r="CY3" s="230">
        <v>1</v>
      </c>
      <c r="CZ3" s="230">
        <v>1</v>
      </c>
      <c r="DA3" s="230">
        <v>1</v>
      </c>
      <c r="DB3" s="230">
        <v>1</v>
      </c>
      <c r="DC3" s="230">
        <v>10</v>
      </c>
      <c r="DD3" s="230">
        <v>10</v>
      </c>
      <c r="DE3" s="230">
        <v>5</v>
      </c>
      <c r="DF3" s="230">
        <v>4</v>
      </c>
      <c r="DG3" s="230">
        <v>5</v>
      </c>
      <c r="DH3" s="230">
        <v>5</v>
      </c>
      <c r="DI3" s="230">
        <v>10</v>
      </c>
      <c r="DJ3" s="230">
        <v>10</v>
      </c>
      <c r="DK3" s="230">
        <v>10</v>
      </c>
      <c r="DL3" s="230">
        <v>1</v>
      </c>
      <c r="DM3" s="230">
        <v>1</v>
      </c>
      <c r="DN3" s="230">
        <v>1</v>
      </c>
      <c r="DO3" s="230">
        <v>1</v>
      </c>
      <c r="DP3" s="230">
        <v>1</v>
      </c>
      <c r="DQ3" s="230">
        <v>1</v>
      </c>
      <c r="DR3" s="230">
        <v>10</v>
      </c>
      <c r="DS3" s="230">
        <v>5</v>
      </c>
      <c r="DT3" s="230">
        <v>10</v>
      </c>
      <c r="DU3" s="230">
        <v>30</v>
      </c>
      <c r="DV3" s="230">
        <v>20</v>
      </c>
      <c r="DW3" s="230">
        <v>30</v>
      </c>
      <c r="DX3" s="230">
        <v>30</v>
      </c>
      <c r="DY3" s="230">
        <v>30</v>
      </c>
      <c r="DZ3" s="230">
        <v>20</v>
      </c>
      <c r="EA3" s="230">
        <v>30</v>
      </c>
      <c r="EB3" s="230">
        <v>10</v>
      </c>
      <c r="EC3" s="230">
        <v>10</v>
      </c>
      <c r="ED3" s="230">
        <v>10</v>
      </c>
      <c r="EE3" s="230">
        <v>10</v>
      </c>
      <c r="EF3" s="230">
        <v>10</v>
      </c>
      <c r="EG3" s="230">
        <v>10</v>
      </c>
      <c r="EH3" s="230">
        <v>10</v>
      </c>
      <c r="EI3" s="230">
        <v>10</v>
      </c>
      <c r="EJ3" s="230">
        <v>10</v>
      </c>
      <c r="EK3" s="230">
        <v>10</v>
      </c>
      <c r="EL3" s="230">
        <v>10</v>
      </c>
      <c r="EM3" s="230">
        <v>5</v>
      </c>
      <c r="EN3" s="230">
        <v>10</v>
      </c>
      <c r="EO3" s="230">
        <v>10</v>
      </c>
      <c r="EP3" s="230">
        <v>10</v>
      </c>
      <c r="EQ3" s="230">
        <v>10</v>
      </c>
      <c r="ER3" s="230" t="s">
        <v>206</v>
      </c>
      <c r="ES3" s="230">
        <v>10</v>
      </c>
      <c r="ET3" s="230">
        <v>10</v>
      </c>
      <c r="EU3" s="230">
        <v>10</v>
      </c>
      <c r="EV3" s="230">
        <v>5</v>
      </c>
      <c r="EW3" s="230">
        <v>10</v>
      </c>
      <c r="EX3" s="230">
        <v>10</v>
      </c>
      <c r="EY3" s="230">
        <v>5</v>
      </c>
      <c r="EZ3" s="230">
        <v>5</v>
      </c>
      <c r="FA3" s="230">
        <v>10</v>
      </c>
      <c r="FB3" s="230">
        <v>10</v>
      </c>
      <c r="FC3" s="230">
        <v>5</v>
      </c>
      <c r="FD3" s="230" t="s">
        <v>206</v>
      </c>
      <c r="FE3" s="230">
        <v>10</v>
      </c>
      <c r="FF3" s="230">
        <v>10</v>
      </c>
      <c r="FG3" s="230">
        <v>10</v>
      </c>
      <c r="FH3" s="230">
        <v>10</v>
      </c>
      <c r="FI3" s="230">
        <v>10</v>
      </c>
      <c r="FJ3" s="230">
        <v>10</v>
      </c>
      <c r="FK3" s="224"/>
      <c r="FL3" s="227"/>
      <c r="FM3" s="228"/>
      <c r="FN3" s="232"/>
      <c r="FO3" s="233"/>
      <c r="FP3" s="228"/>
      <c r="FQ3" s="228"/>
      <c r="FR3" s="228"/>
    </row>
    <row r="4" spans="1:174" ht="40.799999999999997">
      <c r="A4" s="234"/>
      <c r="B4" s="235"/>
      <c r="C4" s="235"/>
      <c r="D4" s="235"/>
      <c r="E4" s="234"/>
      <c r="F4" s="234"/>
      <c r="G4" s="234" t="s">
        <v>778</v>
      </c>
      <c r="H4" s="236" t="s">
        <v>453</v>
      </c>
      <c r="I4" s="236" t="s">
        <v>454</v>
      </c>
      <c r="J4" s="236" t="s">
        <v>455</v>
      </c>
      <c r="K4" s="236" t="s">
        <v>456</v>
      </c>
      <c r="L4" s="236" t="s">
        <v>297</v>
      </c>
      <c r="M4" s="236" t="s">
        <v>457</v>
      </c>
      <c r="N4" s="236" t="s">
        <v>298</v>
      </c>
      <c r="O4" s="236" t="s">
        <v>458</v>
      </c>
      <c r="P4" s="236" t="s">
        <v>459</v>
      </c>
      <c r="Q4" s="236" t="s">
        <v>460</v>
      </c>
      <c r="R4" s="236" t="s">
        <v>461</v>
      </c>
      <c r="S4" s="236" t="s">
        <v>462</v>
      </c>
      <c r="T4" s="236" t="s">
        <v>463</v>
      </c>
      <c r="U4" s="236" t="s">
        <v>464</v>
      </c>
      <c r="V4" s="236" t="s">
        <v>465</v>
      </c>
      <c r="W4" s="236" t="s">
        <v>466</v>
      </c>
      <c r="X4" s="236" t="s">
        <v>467</v>
      </c>
      <c r="Y4" s="236" t="s">
        <v>468</v>
      </c>
      <c r="Z4" s="236" t="s">
        <v>469</v>
      </c>
      <c r="AA4" s="236" t="s">
        <v>470</v>
      </c>
      <c r="AB4" s="236" t="s">
        <v>299</v>
      </c>
      <c r="AC4" s="236" t="s">
        <v>471</v>
      </c>
      <c r="AD4" s="236" t="s">
        <v>300</v>
      </c>
      <c r="AE4" s="236" t="s">
        <v>472</v>
      </c>
      <c r="AF4" s="236" t="s">
        <v>473</v>
      </c>
      <c r="AG4" s="236" t="s">
        <v>474</v>
      </c>
      <c r="AH4" s="236" t="s">
        <v>301</v>
      </c>
      <c r="AI4" s="236" t="s">
        <v>475</v>
      </c>
      <c r="AJ4" s="236" t="s">
        <v>476</v>
      </c>
      <c r="AK4" s="236" t="s">
        <v>477</v>
      </c>
      <c r="AL4" s="236" t="s">
        <v>478</v>
      </c>
      <c r="AM4" s="236" t="s">
        <v>479</v>
      </c>
      <c r="AN4" s="236" t="s">
        <v>480</v>
      </c>
      <c r="AO4" s="236" t="s">
        <v>302</v>
      </c>
      <c r="AP4" s="236" t="s">
        <v>481</v>
      </c>
      <c r="AQ4" s="236" t="s">
        <v>482</v>
      </c>
      <c r="AR4" s="236" t="s">
        <v>483</v>
      </c>
      <c r="AS4" s="236" t="s">
        <v>484</v>
      </c>
      <c r="AT4" s="236" t="s">
        <v>303</v>
      </c>
      <c r="AU4" s="236" t="s">
        <v>304</v>
      </c>
      <c r="AV4" s="236" t="s">
        <v>486</v>
      </c>
      <c r="AW4" s="236" t="s">
        <v>487</v>
      </c>
      <c r="AX4" s="236" t="s">
        <v>488</v>
      </c>
      <c r="AY4" s="236" t="s">
        <v>489</v>
      </c>
      <c r="AZ4" s="236" t="s">
        <v>490</v>
      </c>
      <c r="BA4" s="236" t="s">
        <v>779</v>
      </c>
      <c r="BB4" s="236" t="s">
        <v>305</v>
      </c>
      <c r="BC4" s="236" t="s">
        <v>491</v>
      </c>
      <c r="BD4" s="236" t="s">
        <v>492</v>
      </c>
      <c r="BE4" s="236" t="s">
        <v>493</v>
      </c>
      <c r="BF4" s="236" t="s">
        <v>306</v>
      </c>
      <c r="BG4" s="236" t="s">
        <v>494</v>
      </c>
      <c r="BH4" s="236" t="s">
        <v>495</v>
      </c>
      <c r="BI4" s="236" t="s">
        <v>780</v>
      </c>
      <c r="BJ4" s="236" t="s">
        <v>497</v>
      </c>
      <c r="BK4" s="236" t="s">
        <v>781</v>
      </c>
      <c r="BL4" s="236" t="s">
        <v>782</v>
      </c>
      <c r="BM4" s="236" t="s">
        <v>783</v>
      </c>
      <c r="BN4" s="237" t="s">
        <v>307</v>
      </c>
      <c r="BO4" s="238" t="s">
        <v>307</v>
      </c>
      <c r="BP4" s="236" t="s">
        <v>784</v>
      </c>
      <c r="BQ4" s="236" t="s">
        <v>785</v>
      </c>
      <c r="BR4" s="236" t="s">
        <v>786</v>
      </c>
      <c r="BS4" s="236" t="s">
        <v>787</v>
      </c>
      <c r="BT4" s="236" t="s">
        <v>788</v>
      </c>
      <c r="BU4" s="236" t="s">
        <v>285</v>
      </c>
      <c r="BV4" s="236" t="s">
        <v>272</v>
      </c>
      <c r="BW4" s="236" t="s">
        <v>257</v>
      </c>
      <c r="BX4" s="236" t="s">
        <v>258</v>
      </c>
      <c r="BY4" s="236" t="s">
        <v>273</v>
      </c>
      <c r="BZ4" s="236" t="s">
        <v>500</v>
      </c>
      <c r="CA4" s="236" t="s">
        <v>20</v>
      </c>
      <c r="CB4" s="236" t="s">
        <v>11</v>
      </c>
      <c r="CC4" s="236" t="s">
        <v>12</v>
      </c>
      <c r="CD4" s="236" t="s">
        <v>13</v>
      </c>
      <c r="CE4" s="236" t="s">
        <v>70</v>
      </c>
      <c r="CF4" s="236" t="s">
        <v>501</v>
      </c>
      <c r="CG4" s="236" t="s">
        <v>231</v>
      </c>
      <c r="CH4" s="238" t="s">
        <v>17</v>
      </c>
      <c r="CI4" s="238" t="s">
        <v>17</v>
      </c>
      <c r="CJ4" s="236" t="s">
        <v>14</v>
      </c>
      <c r="CK4" s="236" t="s">
        <v>6</v>
      </c>
      <c r="CL4" s="236" t="s">
        <v>7</v>
      </c>
      <c r="CM4" s="236" t="s">
        <v>18</v>
      </c>
      <c r="CN4" s="238" t="s">
        <v>8</v>
      </c>
      <c r="CO4" s="236" t="s">
        <v>87</v>
      </c>
      <c r="CP4" s="236" t="s">
        <v>71</v>
      </c>
      <c r="CQ4" s="236" t="s">
        <v>16</v>
      </c>
      <c r="CR4" s="236" t="s">
        <v>72</v>
      </c>
      <c r="CS4" s="236" t="s">
        <v>2</v>
      </c>
      <c r="CT4" s="236" t="s">
        <v>3</v>
      </c>
      <c r="CU4" s="236" t="s">
        <v>502</v>
      </c>
      <c r="CV4" s="236" t="s">
        <v>115</v>
      </c>
      <c r="CW4" s="236" t="s">
        <v>115</v>
      </c>
      <c r="CX4" s="236" t="s">
        <v>115</v>
      </c>
      <c r="CY4" s="236" t="s">
        <v>115</v>
      </c>
      <c r="CZ4" s="236" t="s">
        <v>115</v>
      </c>
      <c r="DA4" s="236" t="s">
        <v>115</v>
      </c>
      <c r="DB4" s="236" t="s">
        <v>115</v>
      </c>
      <c r="DC4" s="236" t="s">
        <v>308</v>
      </c>
      <c r="DD4" s="236" t="s">
        <v>9</v>
      </c>
      <c r="DE4" s="236" t="s">
        <v>15</v>
      </c>
      <c r="DF4" s="236" t="s">
        <v>167</v>
      </c>
      <c r="DG4" s="236" t="s">
        <v>240</v>
      </c>
      <c r="DH4" s="236" t="s">
        <v>101</v>
      </c>
      <c r="DI4" s="236" t="s">
        <v>207</v>
      </c>
      <c r="DJ4" s="236" t="s">
        <v>4</v>
      </c>
      <c r="DK4" s="236" t="s">
        <v>5</v>
      </c>
      <c r="DL4" s="236" t="s">
        <v>227</v>
      </c>
      <c r="DM4" s="236" t="s">
        <v>227</v>
      </c>
      <c r="DN4" s="236" t="s">
        <v>227</v>
      </c>
      <c r="DO4" s="236" t="s">
        <v>227</v>
      </c>
      <c r="DP4" s="236" t="s">
        <v>227</v>
      </c>
      <c r="DQ4" s="236" t="s">
        <v>227</v>
      </c>
      <c r="DR4" s="236" t="s">
        <v>10</v>
      </c>
      <c r="DS4" s="236" t="s">
        <v>10</v>
      </c>
      <c r="DT4" s="236" t="s">
        <v>19</v>
      </c>
      <c r="DU4" s="236" t="s">
        <v>512</v>
      </c>
      <c r="DV4" s="236" t="s">
        <v>513</v>
      </c>
      <c r="DW4" s="236" t="s">
        <v>309</v>
      </c>
      <c r="DX4" s="236" t="s">
        <v>514</v>
      </c>
      <c r="DY4" s="236" t="s">
        <v>310</v>
      </c>
      <c r="DZ4" s="236" t="s">
        <v>515</v>
      </c>
      <c r="EA4" s="236" t="s">
        <v>516</v>
      </c>
      <c r="EB4" s="236" t="s">
        <v>517</v>
      </c>
      <c r="EC4" s="236" t="s">
        <v>311</v>
      </c>
      <c r="ED4" s="236" t="s">
        <v>518</v>
      </c>
      <c r="EE4" s="236" t="s">
        <v>519</v>
      </c>
      <c r="EF4" s="236" t="s">
        <v>312</v>
      </c>
      <c r="EG4" s="236" t="s">
        <v>520</v>
      </c>
      <c r="EH4" s="236" t="s">
        <v>521</v>
      </c>
      <c r="EI4" s="236" t="s">
        <v>522</v>
      </c>
      <c r="EJ4" s="236" t="s">
        <v>523</v>
      </c>
      <c r="EK4" s="236" t="s">
        <v>524</v>
      </c>
      <c r="EL4" s="236" t="s">
        <v>313</v>
      </c>
      <c r="EM4" s="236" t="s">
        <v>525</v>
      </c>
      <c r="EN4" s="236" t="s">
        <v>526</v>
      </c>
      <c r="EO4" s="236" t="s">
        <v>527</v>
      </c>
      <c r="EP4" s="236" t="s">
        <v>528</v>
      </c>
      <c r="EQ4" s="236" t="s">
        <v>529</v>
      </c>
      <c r="ER4" s="236" t="s">
        <v>530</v>
      </c>
      <c r="ES4" s="236" t="s">
        <v>531</v>
      </c>
      <c r="ET4" s="236" t="s">
        <v>287</v>
      </c>
      <c r="EU4" s="236" t="s">
        <v>314</v>
      </c>
      <c r="EV4" s="236" t="s">
        <v>261</v>
      </c>
      <c r="EW4" s="236" t="s">
        <v>532</v>
      </c>
      <c r="EX4" s="236" t="s">
        <v>208</v>
      </c>
      <c r="EY4" s="236" t="s">
        <v>228</v>
      </c>
      <c r="EZ4" s="236" t="s">
        <v>209</v>
      </c>
      <c r="FA4" s="236" t="s">
        <v>533</v>
      </c>
      <c r="FB4" s="236" t="s">
        <v>229</v>
      </c>
      <c r="FC4" s="236" t="s">
        <v>279</v>
      </c>
      <c r="FD4" s="236" t="s">
        <v>534</v>
      </c>
      <c r="FE4" s="236" t="s">
        <v>535</v>
      </c>
      <c r="FF4" s="236" t="s">
        <v>230</v>
      </c>
      <c r="FG4" s="236" t="s">
        <v>536</v>
      </c>
      <c r="FH4" s="236" t="s">
        <v>315</v>
      </c>
      <c r="FI4" s="236" t="s">
        <v>538</v>
      </c>
      <c r="FJ4" s="236" t="s">
        <v>539</v>
      </c>
      <c r="FK4" s="239"/>
      <c r="FL4" s="234"/>
      <c r="FM4" s="235"/>
      <c r="FN4" s="240"/>
      <c r="FO4" s="235"/>
      <c r="FP4" s="235"/>
      <c r="FQ4" s="235"/>
      <c r="FR4" s="235"/>
    </row>
    <row r="5" spans="1:174" ht="20.399999999999999">
      <c r="A5" s="241"/>
      <c r="B5" s="221"/>
      <c r="C5" s="221"/>
      <c r="D5" s="222"/>
      <c r="E5" s="223" t="s">
        <v>316</v>
      </c>
      <c r="F5" s="242" t="s">
        <v>870</v>
      </c>
      <c r="G5" s="223" t="s">
        <v>317</v>
      </c>
      <c r="H5" s="243" t="s">
        <v>540</v>
      </c>
      <c r="I5" s="243" t="s">
        <v>541</v>
      </c>
      <c r="J5" s="243" t="s">
        <v>542</v>
      </c>
      <c r="K5" s="243" t="s">
        <v>543</v>
      </c>
      <c r="L5" s="243" t="s">
        <v>318</v>
      </c>
      <c r="M5" s="243" t="s">
        <v>544</v>
      </c>
      <c r="N5" s="243" t="s">
        <v>319</v>
      </c>
      <c r="O5" s="243" t="s">
        <v>789</v>
      </c>
      <c r="P5" s="243" t="s">
        <v>546</v>
      </c>
      <c r="Q5" s="243" t="s">
        <v>547</v>
      </c>
      <c r="R5" s="243" t="s">
        <v>548</v>
      </c>
      <c r="S5" s="243" t="s">
        <v>549</v>
      </c>
      <c r="T5" s="243" t="s">
        <v>550</v>
      </c>
      <c r="U5" s="243" t="s">
        <v>551</v>
      </c>
      <c r="V5" s="243" t="s">
        <v>552</v>
      </c>
      <c r="W5" s="243" t="s">
        <v>553</v>
      </c>
      <c r="X5" s="243" t="s">
        <v>554</v>
      </c>
      <c r="Y5" s="243" t="s">
        <v>555</v>
      </c>
      <c r="Z5" s="243" t="s">
        <v>556</v>
      </c>
      <c r="AA5" s="243" t="s">
        <v>557</v>
      </c>
      <c r="AB5" s="243" t="s">
        <v>320</v>
      </c>
      <c r="AC5" s="243" t="s">
        <v>558</v>
      </c>
      <c r="AD5" s="243" t="s">
        <v>321</v>
      </c>
      <c r="AE5" s="243" t="s">
        <v>790</v>
      </c>
      <c r="AF5" s="243" t="s">
        <v>560</v>
      </c>
      <c r="AG5" s="243" t="s">
        <v>561</v>
      </c>
      <c r="AH5" s="243" t="s">
        <v>322</v>
      </c>
      <c r="AI5" s="243" t="s">
        <v>562</v>
      </c>
      <c r="AJ5" s="243" t="s">
        <v>563</v>
      </c>
      <c r="AK5" s="243" t="s">
        <v>564</v>
      </c>
      <c r="AL5" s="243" t="s">
        <v>565</v>
      </c>
      <c r="AM5" s="243" t="s">
        <v>566</v>
      </c>
      <c r="AN5" s="243" t="s">
        <v>567</v>
      </c>
      <c r="AO5" s="243" t="s">
        <v>323</v>
      </c>
      <c r="AP5" s="243" t="s">
        <v>568</v>
      </c>
      <c r="AQ5" s="243" t="s">
        <v>569</v>
      </c>
      <c r="AR5" s="243" t="s">
        <v>570</v>
      </c>
      <c r="AS5" s="243" t="s">
        <v>571</v>
      </c>
      <c r="AT5" s="243" t="s">
        <v>324</v>
      </c>
      <c r="AU5" s="243" t="s">
        <v>325</v>
      </c>
      <c r="AV5" s="243" t="s">
        <v>574</v>
      </c>
      <c r="AW5" s="243" t="s">
        <v>575</v>
      </c>
      <c r="AX5" s="243" t="s">
        <v>576</v>
      </c>
      <c r="AY5" s="243" t="s">
        <v>577</v>
      </c>
      <c r="AZ5" s="243" t="s">
        <v>578</v>
      </c>
      <c r="BA5" s="243" t="s">
        <v>791</v>
      </c>
      <c r="BB5" s="243" t="s">
        <v>326</v>
      </c>
      <c r="BC5" s="243" t="s">
        <v>579</v>
      </c>
      <c r="BD5" s="243" t="s">
        <v>580</v>
      </c>
      <c r="BE5" s="243" t="s">
        <v>581</v>
      </c>
      <c r="BF5" s="243" t="s">
        <v>327</v>
      </c>
      <c r="BG5" s="243" t="s">
        <v>582</v>
      </c>
      <c r="BH5" s="243" t="s">
        <v>583</v>
      </c>
      <c r="BI5" s="243" t="s">
        <v>792</v>
      </c>
      <c r="BJ5" s="243" t="s">
        <v>585</v>
      </c>
      <c r="BK5" s="243" t="s">
        <v>793</v>
      </c>
      <c r="BL5" s="243" t="s">
        <v>794</v>
      </c>
      <c r="BM5" s="243" t="s">
        <v>795</v>
      </c>
      <c r="BN5" s="243" t="s">
        <v>796</v>
      </c>
      <c r="BO5" s="243" t="s">
        <v>797</v>
      </c>
      <c r="BP5" s="243" t="s">
        <v>798</v>
      </c>
      <c r="BQ5" s="243" t="s">
        <v>799</v>
      </c>
      <c r="BR5" s="243" t="s">
        <v>800</v>
      </c>
      <c r="BS5" s="243" t="s">
        <v>801</v>
      </c>
      <c r="BT5" s="243" t="s">
        <v>802</v>
      </c>
      <c r="BU5" s="243" t="s">
        <v>286</v>
      </c>
      <c r="BV5" s="243" t="s">
        <v>274</v>
      </c>
      <c r="BW5" s="243" t="s">
        <v>259</v>
      </c>
      <c r="BX5" s="243" t="s">
        <v>260</v>
      </c>
      <c r="BY5" s="243" t="s">
        <v>275</v>
      </c>
      <c r="BZ5" s="243" t="s">
        <v>588</v>
      </c>
      <c r="CA5" s="243" t="s">
        <v>40</v>
      </c>
      <c r="CB5" s="243" t="s">
        <v>30</v>
      </c>
      <c r="CC5" s="243" t="s">
        <v>31</v>
      </c>
      <c r="CD5" s="243" t="s">
        <v>32</v>
      </c>
      <c r="CE5" s="243" t="s">
        <v>249</v>
      </c>
      <c r="CF5" s="243" t="s">
        <v>589</v>
      </c>
      <c r="CG5" s="243" t="s">
        <v>232</v>
      </c>
      <c r="CH5" s="243" t="s">
        <v>36</v>
      </c>
      <c r="CI5" s="243" t="s">
        <v>37</v>
      </c>
      <c r="CJ5" s="243" t="s">
        <v>33</v>
      </c>
      <c r="CK5" s="243" t="s">
        <v>25</v>
      </c>
      <c r="CL5" s="243" t="s">
        <v>26</v>
      </c>
      <c r="CM5" s="243" t="s">
        <v>38</v>
      </c>
      <c r="CN5" s="243" t="s">
        <v>871</v>
      </c>
      <c r="CO5" s="243" t="s">
        <v>88</v>
      </c>
      <c r="CP5" s="243" t="s">
        <v>74</v>
      </c>
      <c r="CQ5" s="243" t="s">
        <v>35</v>
      </c>
      <c r="CR5" s="243" t="s">
        <v>75</v>
      </c>
      <c r="CS5" s="243" t="s">
        <v>21</v>
      </c>
      <c r="CT5" s="243" t="s">
        <v>22</v>
      </c>
      <c r="CU5" s="243" t="s">
        <v>590</v>
      </c>
      <c r="CV5" s="243" t="s">
        <v>188</v>
      </c>
      <c r="CW5" s="243" t="s">
        <v>591</v>
      </c>
      <c r="CX5" s="243" t="s">
        <v>592</v>
      </c>
      <c r="CY5" s="243" t="s">
        <v>593</v>
      </c>
      <c r="CZ5" s="243" t="s">
        <v>594</v>
      </c>
      <c r="DA5" s="243" t="s">
        <v>595</v>
      </c>
      <c r="DB5" s="243" t="s">
        <v>596</v>
      </c>
      <c r="DC5" s="243" t="s">
        <v>329</v>
      </c>
      <c r="DD5" s="243" t="s">
        <v>28</v>
      </c>
      <c r="DE5" s="243" t="s">
        <v>34</v>
      </c>
      <c r="DF5" s="243" t="s">
        <v>168</v>
      </c>
      <c r="DG5" s="243" t="s">
        <v>169</v>
      </c>
      <c r="DH5" s="243" t="s">
        <v>102</v>
      </c>
      <c r="DI5" s="243" t="s">
        <v>189</v>
      </c>
      <c r="DJ5" s="243" t="s">
        <v>23</v>
      </c>
      <c r="DK5" s="243" t="s">
        <v>24</v>
      </c>
      <c r="DL5" s="243" t="s">
        <v>170</v>
      </c>
      <c r="DM5" s="243" t="s">
        <v>803</v>
      </c>
      <c r="DN5" s="243" t="s">
        <v>606</v>
      </c>
      <c r="DO5" s="243" t="s">
        <v>607</v>
      </c>
      <c r="DP5" s="243" t="s">
        <v>608</v>
      </c>
      <c r="DQ5" s="243" t="s">
        <v>609</v>
      </c>
      <c r="DR5" s="243" t="s">
        <v>29</v>
      </c>
      <c r="DS5" s="243" t="s">
        <v>610</v>
      </c>
      <c r="DT5" s="243" t="s">
        <v>39</v>
      </c>
      <c r="DU5" s="243" t="s">
        <v>611</v>
      </c>
      <c r="DV5" s="243" t="s">
        <v>612</v>
      </c>
      <c r="DW5" s="243" t="s">
        <v>330</v>
      </c>
      <c r="DX5" s="243" t="s">
        <v>613</v>
      </c>
      <c r="DY5" s="243" t="s">
        <v>331</v>
      </c>
      <c r="DZ5" s="243" t="s">
        <v>614</v>
      </c>
      <c r="EA5" s="243" t="s">
        <v>615</v>
      </c>
      <c r="EB5" s="243" t="s">
        <v>616</v>
      </c>
      <c r="EC5" s="243" t="s">
        <v>332</v>
      </c>
      <c r="ED5" s="243" t="s">
        <v>617</v>
      </c>
      <c r="EE5" s="243" t="s">
        <v>618</v>
      </c>
      <c r="EF5" s="243" t="s">
        <v>333</v>
      </c>
      <c r="EG5" s="243" t="s">
        <v>619</v>
      </c>
      <c r="EH5" s="243" t="s">
        <v>620</v>
      </c>
      <c r="EI5" s="243" t="s">
        <v>621</v>
      </c>
      <c r="EJ5" s="243" t="s">
        <v>622</v>
      </c>
      <c r="EK5" s="243" t="s">
        <v>623</v>
      </c>
      <c r="EL5" s="243" t="s">
        <v>335</v>
      </c>
      <c r="EM5" s="243" t="s">
        <v>624</v>
      </c>
      <c r="EN5" s="243" t="s">
        <v>625</v>
      </c>
      <c r="EO5" s="243" t="s">
        <v>626</v>
      </c>
      <c r="EP5" s="243" t="s">
        <v>627</v>
      </c>
      <c r="EQ5" s="243" t="s">
        <v>628</v>
      </c>
      <c r="ER5" s="243" t="s">
        <v>629</v>
      </c>
      <c r="ES5" s="243" t="s">
        <v>630</v>
      </c>
      <c r="ET5" s="243" t="s">
        <v>288</v>
      </c>
      <c r="EU5" s="243" t="s">
        <v>280</v>
      </c>
      <c r="EV5" s="243" t="s">
        <v>210</v>
      </c>
      <c r="EW5" s="243" t="s">
        <v>631</v>
      </c>
      <c r="EX5" s="243" t="s">
        <v>197</v>
      </c>
      <c r="EY5" s="243" t="s">
        <v>211</v>
      </c>
      <c r="EZ5" s="243" t="s">
        <v>212</v>
      </c>
      <c r="FA5" s="243" t="s">
        <v>632</v>
      </c>
      <c r="FB5" s="243" t="s">
        <v>213</v>
      </c>
      <c r="FC5" s="243" t="s">
        <v>281</v>
      </c>
      <c r="FD5" s="243" t="s">
        <v>633</v>
      </c>
      <c r="FE5" s="243" t="s">
        <v>198</v>
      </c>
      <c r="FF5" s="243" t="s">
        <v>214</v>
      </c>
      <c r="FG5" s="243" t="s">
        <v>634</v>
      </c>
      <c r="FH5" s="243" t="s">
        <v>336</v>
      </c>
      <c r="FI5" s="243" t="s">
        <v>636</v>
      </c>
      <c r="FJ5" s="243" t="s">
        <v>637</v>
      </c>
      <c r="FK5" s="244"/>
      <c r="FL5" s="225"/>
      <c r="FM5" s="226"/>
      <c r="FN5" s="221"/>
      <c r="FO5" s="221"/>
      <c r="FP5" s="221"/>
      <c r="FQ5" s="221"/>
      <c r="FR5" s="221"/>
    </row>
    <row r="6" spans="1:174" ht="11.4">
      <c r="A6" s="245" t="s">
        <v>877</v>
      </c>
      <c r="B6" s="222" t="s">
        <v>878</v>
      </c>
      <c r="C6" s="222" t="s">
        <v>879</v>
      </c>
      <c r="D6" s="222" t="s">
        <v>880</v>
      </c>
      <c r="E6" s="246" t="s">
        <v>804</v>
      </c>
      <c r="F6" s="246"/>
      <c r="G6" s="247" t="s">
        <v>805</v>
      </c>
      <c r="H6" s="248" t="s">
        <v>638</v>
      </c>
      <c r="I6" s="248" t="s">
        <v>639</v>
      </c>
      <c r="J6" s="248" t="s">
        <v>640</v>
      </c>
      <c r="K6" s="248" t="s">
        <v>641</v>
      </c>
      <c r="L6" s="248" t="s">
        <v>339</v>
      </c>
      <c r="M6" s="248" t="s">
        <v>642</v>
      </c>
      <c r="N6" s="248" t="s">
        <v>340</v>
      </c>
      <c r="O6" s="248" t="s">
        <v>643</v>
      </c>
      <c r="P6" s="248" t="s">
        <v>644</v>
      </c>
      <c r="Q6" s="248" t="s">
        <v>645</v>
      </c>
      <c r="R6" s="248" t="s">
        <v>646</v>
      </c>
      <c r="S6" s="248" t="s">
        <v>647</v>
      </c>
      <c r="T6" s="248" t="s">
        <v>648</v>
      </c>
      <c r="U6" s="248" t="s">
        <v>649</v>
      </c>
      <c r="V6" s="248" t="s">
        <v>650</v>
      </c>
      <c r="W6" s="248" t="s">
        <v>651</v>
      </c>
      <c r="X6" s="248" t="s">
        <v>652</v>
      </c>
      <c r="Y6" s="248" t="s">
        <v>653</v>
      </c>
      <c r="Z6" s="248" t="s">
        <v>654</v>
      </c>
      <c r="AA6" s="248" t="s">
        <v>655</v>
      </c>
      <c r="AB6" s="248" t="s">
        <v>341</v>
      </c>
      <c r="AC6" s="248" t="s">
        <v>656</v>
      </c>
      <c r="AD6" s="248" t="s">
        <v>342</v>
      </c>
      <c r="AE6" s="248" t="s">
        <v>657</v>
      </c>
      <c r="AF6" s="248" t="s">
        <v>658</v>
      </c>
      <c r="AG6" s="248" t="s">
        <v>659</v>
      </c>
      <c r="AH6" s="248" t="s">
        <v>343</v>
      </c>
      <c r="AI6" s="248" t="s">
        <v>660</v>
      </c>
      <c r="AJ6" s="248" t="s">
        <v>661</v>
      </c>
      <c r="AK6" s="248" t="s">
        <v>662</v>
      </c>
      <c r="AL6" s="248" t="s">
        <v>663</v>
      </c>
      <c r="AM6" s="248" t="s">
        <v>664</v>
      </c>
      <c r="AN6" s="248" t="s">
        <v>665</v>
      </c>
      <c r="AO6" s="248" t="s">
        <v>344</v>
      </c>
      <c r="AP6" s="248" t="s">
        <v>666</v>
      </c>
      <c r="AQ6" s="248" t="s">
        <v>667</v>
      </c>
      <c r="AR6" s="248" t="s">
        <v>668</v>
      </c>
      <c r="AS6" s="248" t="s">
        <v>669</v>
      </c>
      <c r="AT6" s="248" t="s">
        <v>345</v>
      </c>
      <c r="AU6" s="248" t="s">
        <v>346</v>
      </c>
      <c r="AV6" s="248" t="s">
        <v>672</v>
      </c>
      <c r="AW6" s="248" t="s">
        <v>673</v>
      </c>
      <c r="AX6" s="248" t="s">
        <v>674</v>
      </c>
      <c r="AY6" s="248" t="s">
        <v>675</v>
      </c>
      <c r="AZ6" s="248" t="s">
        <v>676</v>
      </c>
      <c r="BA6" s="248" t="s">
        <v>806</v>
      </c>
      <c r="BB6" s="248" t="s">
        <v>347</v>
      </c>
      <c r="BC6" s="248" t="s">
        <v>677</v>
      </c>
      <c r="BD6" s="248" t="s">
        <v>678</v>
      </c>
      <c r="BE6" s="248" t="s">
        <v>679</v>
      </c>
      <c r="BF6" s="248" t="s">
        <v>348</v>
      </c>
      <c r="BG6" s="248" t="s">
        <v>680</v>
      </c>
      <c r="BH6" s="248" t="s">
        <v>681</v>
      </c>
      <c r="BI6" s="248" t="s">
        <v>807</v>
      </c>
      <c r="BJ6" s="248" t="s">
        <v>683</v>
      </c>
      <c r="BK6" s="248" t="s">
        <v>808</v>
      </c>
      <c r="BL6" s="248" t="s">
        <v>809</v>
      </c>
      <c r="BM6" s="248" t="s">
        <v>810</v>
      </c>
      <c r="BN6" s="248" t="s">
        <v>349</v>
      </c>
      <c r="BO6" s="248" t="s">
        <v>349</v>
      </c>
      <c r="BP6" s="248" t="s">
        <v>811</v>
      </c>
      <c r="BQ6" s="248" t="s">
        <v>812</v>
      </c>
      <c r="BR6" s="248" t="s">
        <v>813</v>
      </c>
      <c r="BS6" s="248" t="s">
        <v>814</v>
      </c>
      <c r="BT6" s="248" t="s">
        <v>815</v>
      </c>
      <c r="BU6" s="248" t="s">
        <v>350</v>
      </c>
      <c r="BV6" s="248" t="s">
        <v>686</v>
      </c>
      <c r="BW6" s="248" t="s">
        <v>351</v>
      </c>
      <c r="BX6" s="248" t="s">
        <v>352</v>
      </c>
      <c r="BY6" s="248" t="s">
        <v>687</v>
      </c>
      <c r="BZ6" s="248" t="s">
        <v>688</v>
      </c>
      <c r="CA6" s="248" t="s">
        <v>353</v>
      </c>
      <c r="CB6" s="248" t="s">
        <v>354</v>
      </c>
      <c r="CC6" s="248" t="s">
        <v>355</v>
      </c>
      <c r="CD6" s="248" t="s">
        <v>689</v>
      </c>
      <c r="CE6" s="248" t="s">
        <v>356</v>
      </c>
      <c r="CF6" s="248" t="s">
        <v>690</v>
      </c>
      <c r="CG6" s="248" t="s">
        <v>691</v>
      </c>
      <c r="CH6" s="248" t="s">
        <v>357</v>
      </c>
      <c r="CI6" s="248" t="s">
        <v>357</v>
      </c>
      <c r="CJ6" s="248" t="s">
        <v>358</v>
      </c>
      <c r="CK6" s="248" t="s">
        <v>692</v>
      </c>
      <c r="CL6" s="248" t="s">
        <v>359</v>
      </c>
      <c r="CM6" s="248" t="s">
        <v>360</v>
      </c>
      <c r="CN6" s="248" t="s">
        <v>693</v>
      </c>
      <c r="CO6" s="248" t="s">
        <v>694</v>
      </c>
      <c r="CP6" s="248" t="s">
        <v>695</v>
      </c>
      <c r="CQ6" s="248" t="s">
        <v>696</v>
      </c>
      <c r="CR6" s="248" t="s">
        <v>361</v>
      </c>
      <c r="CS6" s="248" t="s">
        <v>362</v>
      </c>
      <c r="CT6" s="248" t="s">
        <v>363</v>
      </c>
      <c r="CU6" s="248" t="s">
        <v>697</v>
      </c>
      <c r="CV6" s="248" t="s">
        <v>698</v>
      </c>
      <c r="CW6" s="248" t="s">
        <v>699</v>
      </c>
      <c r="CX6" s="248" t="s">
        <v>700</v>
      </c>
      <c r="CY6" s="248" t="s">
        <v>701</v>
      </c>
      <c r="CZ6" s="248" t="s">
        <v>702</v>
      </c>
      <c r="DA6" s="248" t="s">
        <v>703</v>
      </c>
      <c r="DB6" s="248" t="s">
        <v>704</v>
      </c>
      <c r="DC6" s="248" t="s">
        <v>364</v>
      </c>
      <c r="DD6" s="248" t="s">
        <v>365</v>
      </c>
      <c r="DE6" s="248" t="s">
        <v>366</v>
      </c>
      <c r="DF6" s="248" t="s">
        <v>714</v>
      </c>
      <c r="DG6" s="248" t="s">
        <v>715</v>
      </c>
      <c r="DH6" s="248" t="s">
        <v>716</v>
      </c>
      <c r="DI6" s="248" t="s">
        <v>367</v>
      </c>
      <c r="DJ6" s="248" t="s">
        <v>717</v>
      </c>
      <c r="DK6" s="248" t="s">
        <v>368</v>
      </c>
      <c r="DL6" s="248" t="s">
        <v>369</v>
      </c>
      <c r="DM6" s="248" t="s">
        <v>816</v>
      </c>
      <c r="DN6" s="248" t="s">
        <v>718</v>
      </c>
      <c r="DO6" s="248" t="s">
        <v>719</v>
      </c>
      <c r="DP6" s="248" t="s">
        <v>720</v>
      </c>
      <c r="DQ6" s="248" t="s">
        <v>721</v>
      </c>
      <c r="DR6" s="248" t="s">
        <v>722</v>
      </c>
      <c r="DS6" s="248" t="s">
        <v>723</v>
      </c>
      <c r="DT6" s="248" t="s">
        <v>370</v>
      </c>
      <c r="DU6" s="248" t="s">
        <v>724</v>
      </c>
      <c r="DV6" s="248" t="s">
        <v>725</v>
      </c>
      <c r="DW6" s="248" t="s">
        <v>371</v>
      </c>
      <c r="DX6" s="248" t="s">
        <v>726</v>
      </c>
      <c r="DY6" s="248" t="s">
        <v>372</v>
      </c>
      <c r="DZ6" s="248" t="s">
        <v>727</v>
      </c>
      <c r="EA6" s="248" t="s">
        <v>728</v>
      </c>
      <c r="EB6" s="248" t="s">
        <v>729</v>
      </c>
      <c r="EC6" s="248" t="s">
        <v>373</v>
      </c>
      <c r="ED6" s="248" t="s">
        <v>730</v>
      </c>
      <c r="EE6" s="248" t="s">
        <v>731</v>
      </c>
      <c r="EF6" s="248" t="s">
        <v>374</v>
      </c>
      <c r="EG6" s="248" t="s">
        <v>732</v>
      </c>
      <c r="EH6" s="248" t="s">
        <v>733</v>
      </c>
      <c r="EI6" s="248" t="s">
        <v>734</v>
      </c>
      <c r="EJ6" s="248" t="s">
        <v>735</v>
      </c>
      <c r="EK6" s="248" t="s">
        <v>736</v>
      </c>
      <c r="EL6" s="248" t="s">
        <v>375</v>
      </c>
      <c r="EM6" s="248" t="s">
        <v>737</v>
      </c>
      <c r="EN6" s="248" t="s">
        <v>738</v>
      </c>
      <c r="EO6" s="248" t="s">
        <v>739</v>
      </c>
      <c r="EP6" s="248" t="s">
        <v>740</v>
      </c>
      <c r="EQ6" s="248" t="s">
        <v>741</v>
      </c>
      <c r="ER6" s="248" t="s">
        <v>742</v>
      </c>
      <c r="ES6" s="248" t="s">
        <v>743</v>
      </c>
      <c r="ET6" s="248" t="s">
        <v>376</v>
      </c>
      <c r="EU6" s="248" t="s">
        <v>377</v>
      </c>
      <c r="EV6" s="248" t="s">
        <v>744</v>
      </c>
      <c r="EW6" s="248" t="s">
        <v>745</v>
      </c>
      <c r="EX6" s="248" t="s">
        <v>378</v>
      </c>
      <c r="EY6" s="248" t="s">
        <v>746</v>
      </c>
      <c r="EZ6" s="248" t="s">
        <v>747</v>
      </c>
      <c r="FA6" s="248" t="s">
        <v>748</v>
      </c>
      <c r="FB6" s="248" t="s">
        <v>379</v>
      </c>
      <c r="FC6" s="248" t="s">
        <v>749</v>
      </c>
      <c r="FD6" s="248" t="s">
        <v>750</v>
      </c>
      <c r="FE6" s="248" t="s">
        <v>751</v>
      </c>
      <c r="FF6" s="248" t="s">
        <v>380</v>
      </c>
      <c r="FG6" s="248" t="s">
        <v>752</v>
      </c>
      <c r="FH6" s="248" t="s">
        <v>381</v>
      </c>
      <c r="FI6" s="248" t="s">
        <v>754</v>
      </c>
      <c r="FJ6" s="248" t="s">
        <v>755</v>
      </c>
      <c r="FK6" s="249" t="s">
        <v>872</v>
      </c>
      <c r="FL6" s="250" t="s">
        <v>382</v>
      </c>
      <c r="FM6" s="250" t="s">
        <v>383</v>
      </c>
      <c r="FN6" s="250" t="s">
        <v>873</v>
      </c>
      <c r="FO6" s="250" t="s">
        <v>874</v>
      </c>
      <c r="FP6" s="228"/>
      <c r="FQ6" s="227" t="s">
        <v>881</v>
      </c>
      <c r="FR6" s="227"/>
    </row>
    <row r="7" spans="1:174" hidden="1">
      <c r="A7" s="251" t="s">
        <v>385</v>
      </c>
      <c r="B7" s="251" t="s">
        <v>385</v>
      </c>
      <c r="C7" s="251" t="s">
        <v>386</v>
      </c>
      <c r="D7" s="251" t="s">
        <v>291</v>
      </c>
      <c r="E7" s="252" t="s">
        <v>387</v>
      </c>
      <c r="F7" s="251" t="s">
        <v>388</v>
      </c>
      <c r="G7" s="251"/>
      <c r="H7" s="253"/>
      <c r="I7" s="253"/>
      <c r="J7" s="253"/>
      <c r="K7" s="253"/>
      <c r="L7" s="253"/>
      <c r="M7" s="253"/>
      <c r="N7" s="253"/>
      <c r="O7" s="253"/>
      <c r="P7" s="253"/>
      <c r="Q7" s="253"/>
      <c r="R7" s="253"/>
      <c r="S7" s="253"/>
      <c r="T7" s="253"/>
      <c r="U7" s="253"/>
      <c r="V7" s="253"/>
      <c r="W7" s="253"/>
      <c r="X7" s="253"/>
      <c r="Y7" s="253"/>
      <c r="Z7" s="253"/>
      <c r="AA7" s="253"/>
      <c r="AB7" s="253"/>
      <c r="AC7" s="253"/>
      <c r="AD7" s="254">
        <f>500-500+80-80</f>
        <v>0</v>
      </c>
      <c r="AE7" s="253"/>
      <c r="AF7" s="253"/>
      <c r="AG7" s="255">
        <f>2000-2000</f>
        <v>0</v>
      </c>
      <c r="AH7" s="255">
        <f>3000-3000</f>
        <v>0</v>
      </c>
      <c r="AI7" s="253"/>
      <c r="AJ7" s="253"/>
      <c r="AK7" s="253"/>
      <c r="AL7" s="253"/>
      <c r="AM7" s="253"/>
      <c r="AN7" s="253"/>
      <c r="AO7" s="254">
        <f>500-500+54-54</f>
        <v>0</v>
      </c>
      <c r="AP7" s="253"/>
      <c r="AQ7" s="254">
        <f>300-300+10-10</f>
        <v>0</v>
      </c>
      <c r="AR7" s="255">
        <f>1000-1000</f>
        <v>0</v>
      </c>
      <c r="AS7" s="253"/>
      <c r="AT7" s="253"/>
      <c r="AU7" s="253"/>
      <c r="AV7" s="253"/>
      <c r="AW7" s="253"/>
      <c r="AX7" s="253"/>
      <c r="AY7" s="255">
        <f>200-200</f>
        <v>0</v>
      </c>
      <c r="AZ7" s="255">
        <f>100-100</f>
        <v>0</v>
      </c>
      <c r="BA7" s="253"/>
      <c r="BB7" s="254">
        <f>1000-1000+10-10</f>
        <v>0</v>
      </c>
      <c r="BC7" s="253"/>
      <c r="BD7" s="253"/>
      <c r="BE7" s="253"/>
      <c r="BF7" s="253"/>
      <c r="BG7" s="253"/>
      <c r="BH7" s="253"/>
      <c r="BI7" s="253"/>
      <c r="BJ7" s="253"/>
      <c r="BK7" s="253"/>
      <c r="BL7" s="253"/>
      <c r="BM7" s="253"/>
      <c r="BN7" s="253"/>
      <c r="BO7" s="253"/>
      <c r="BP7" s="253"/>
      <c r="BQ7" s="253"/>
      <c r="BR7" s="253"/>
      <c r="BS7" s="253"/>
      <c r="BT7" s="253"/>
      <c r="BU7" s="253"/>
      <c r="BV7" s="253"/>
      <c r="BW7" s="253"/>
      <c r="BX7" s="253"/>
      <c r="BY7" s="253"/>
      <c r="BZ7" s="253"/>
      <c r="CA7" s="253"/>
      <c r="CB7" s="253"/>
      <c r="CC7" s="253"/>
      <c r="CD7" s="253"/>
      <c r="CE7" s="253"/>
      <c r="CF7" s="253"/>
      <c r="CG7" s="253"/>
      <c r="CH7" s="253"/>
      <c r="CI7" s="253"/>
      <c r="CJ7" s="253"/>
      <c r="CK7" s="253"/>
      <c r="CL7" s="253"/>
      <c r="CM7" s="253"/>
      <c r="CN7" s="253"/>
      <c r="CO7" s="253"/>
      <c r="CP7" s="253"/>
      <c r="CQ7" s="253"/>
      <c r="CR7" s="253"/>
      <c r="CS7" s="253"/>
      <c r="CT7" s="253"/>
      <c r="CU7" s="253"/>
      <c r="CV7" s="253"/>
      <c r="CW7" s="253"/>
      <c r="CX7" s="253"/>
      <c r="CY7" s="253"/>
      <c r="CZ7" s="253"/>
      <c r="DA7" s="253"/>
      <c r="DB7" s="253"/>
      <c r="DC7" s="253"/>
      <c r="DD7" s="253"/>
      <c r="DE7" s="253"/>
      <c r="DF7" s="253"/>
      <c r="DG7" s="253"/>
      <c r="DH7" s="253"/>
      <c r="DI7" s="253"/>
      <c r="DJ7" s="253"/>
      <c r="DK7" s="253"/>
      <c r="DL7" s="253"/>
      <c r="DM7" s="253"/>
      <c r="DN7" s="253"/>
      <c r="DO7" s="253"/>
      <c r="DP7" s="253"/>
      <c r="DQ7" s="253"/>
      <c r="DR7" s="253"/>
      <c r="DS7" s="253"/>
      <c r="DT7" s="253"/>
      <c r="DU7" s="253"/>
      <c r="DV7" s="253"/>
      <c r="DW7" s="253"/>
      <c r="DX7" s="253"/>
      <c r="DY7" s="253"/>
      <c r="DZ7" s="253"/>
      <c r="EA7" s="253"/>
      <c r="EB7" s="253"/>
      <c r="EC7" s="253"/>
      <c r="ED7" s="253"/>
      <c r="EE7" s="253"/>
      <c r="EF7" s="253"/>
      <c r="EG7" s="253"/>
      <c r="EH7" s="253"/>
      <c r="EI7" s="253"/>
      <c r="EJ7" s="253"/>
      <c r="EK7" s="253"/>
      <c r="EL7" s="253"/>
      <c r="EM7" s="253"/>
      <c r="EN7" s="253"/>
      <c r="EO7" s="253"/>
      <c r="EP7" s="253"/>
      <c r="EQ7" s="253"/>
      <c r="ER7" s="253"/>
      <c r="ES7" s="253"/>
      <c r="ET7" s="253"/>
      <c r="EU7" s="253"/>
      <c r="EV7" s="253"/>
      <c r="EW7" s="253"/>
      <c r="EX7" s="253"/>
      <c r="EY7" s="253"/>
      <c r="EZ7" s="253"/>
      <c r="FA7" s="253"/>
      <c r="FB7" s="253"/>
      <c r="FC7" s="253"/>
      <c r="FD7" s="253"/>
      <c r="FE7" s="253"/>
      <c r="FF7" s="253"/>
      <c r="FG7" s="253"/>
      <c r="FH7" s="253"/>
      <c r="FI7" s="253"/>
      <c r="FJ7" s="253"/>
      <c r="FK7" s="256"/>
      <c r="FL7" s="257" t="s">
        <v>817</v>
      </c>
      <c r="FM7" s="258" t="s">
        <v>389</v>
      </c>
      <c r="FN7" s="258"/>
      <c r="FO7" s="258" t="s">
        <v>390</v>
      </c>
      <c r="FP7" s="259">
        <f t="shared" ref="FP7:FP38" si="0">SUM(H7:FJ7)</f>
        <v>0</v>
      </c>
      <c r="FQ7" s="260" t="s">
        <v>391</v>
      </c>
      <c r="FR7" s="260"/>
    </row>
    <row r="8" spans="1:174" hidden="1">
      <c r="A8" s="251" t="s">
        <v>385</v>
      </c>
      <c r="B8" s="251" t="s">
        <v>385</v>
      </c>
      <c r="C8" s="251" t="s">
        <v>386</v>
      </c>
      <c r="D8" s="251" t="s">
        <v>1</v>
      </c>
      <c r="E8" s="252" t="s">
        <v>387</v>
      </c>
      <c r="F8" s="251" t="s">
        <v>388</v>
      </c>
      <c r="G8" s="251"/>
      <c r="H8" s="253">
        <v>100</v>
      </c>
      <c r="I8" s="253"/>
      <c r="J8" s="253"/>
      <c r="K8" s="253"/>
      <c r="L8" s="253"/>
      <c r="M8" s="253"/>
      <c r="N8" s="253"/>
      <c r="O8" s="253"/>
      <c r="P8" s="253"/>
      <c r="Q8" s="253"/>
      <c r="R8" s="253"/>
      <c r="S8" s="255">
        <f>500-500</f>
        <v>0</v>
      </c>
      <c r="T8" s="253"/>
      <c r="U8" s="255">
        <f>600-600</f>
        <v>0</v>
      </c>
      <c r="V8" s="255">
        <f>200-200</f>
        <v>0</v>
      </c>
      <c r="W8" s="253"/>
      <c r="X8" s="255">
        <f>1000-1000</f>
        <v>0</v>
      </c>
      <c r="Y8" s="253"/>
      <c r="Z8" s="255">
        <f>300-300</f>
        <v>0</v>
      </c>
      <c r="AA8" s="255">
        <f>1000-1000</f>
        <v>0</v>
      </c>
      <c r="AB8" s="255">
        <f>5000-5000</f>
        <v>0</v>
      </c>
      <c r="AC8" s="255">
        <f>1500-1500</f>
        <v>0</v>
      </c>
      <c r="AD8" s="253"/>
      <c r="AE8" s="254">
        <f>5000-5000+320-120</f>
        <v>200</v>
      </c>
      <c r="AF8" s="253"/>
      <c r="AG8" s="253"/>
      <c r="AH8" s="253"/>
      <c r="AI8" s="255">
        <f>500-500</f>
        <v>0</v>
      </c>
      <c r="AJ8" s="255">
        <f>300-300</f>
        <v>0</v>
      </c>
      <c r="AK8" s="255">
        <f>500-500</f>
        <v>0</v>
      </c>
      <c r="AL8" s="255">
        <f>300-300</f>
        <v>0</v>
      </c>
      <c r="AM8" s="254">
        <f>2000-2000+1200-400</f>
        <v>800</v>
      </c>
      <c r="AN8" s="255">
        <f>200-200</f>
        <v>0</v>
      </c>
      <c r="AO8" s="253"/>
      <c r="AP8" s="253"/>
      <c r="AQ8" s="253"/>
      <c r="AR8" s="253"/>
      <c r="AS8" s="255">
        <f>500-500</f>
        <v>0</v>
      </c>
      <c r="AT8" s="255">
        <f>300-300</f>
        <v>0</v>
      </c>
      <c r="AU8" s="254">
        <f>10000-10000+3510-1530</f>
        <v>1980</v>
      </c>
      <c r="AV8" s="253"/>
      <c r="AW8" s="253"/>
      <c r="AX8" s="253"/>
      <c r="AY8" s="253"/>
      <c r="AZ8" s="253"/>
      <c r="BA8" s="253"/>
      <c r="BB8" s="253"/>
      <c r="BC8" s="255">
        <f>500-500</f>
        <v>0</v>
      </c>
      <c r="BD8" s="255">
        <f>200-200</f>
        <v>0</v>
      </c>
      <c r="BE8" s="253"/>
      <c r="BF8" s="254">
        <f>6000-6000+4230-930</f>
        <v>3300</v>
      </c>
      <c r="BG8" s="255">
        <f>200-200</f>
        <v>0</v>
      </c>
      <c r="BH8" s="255">
        <f>500-500</f>
        <v>0</v>
      </c>
      <c r="BI8" s="253"/>
      <c r="BJ8" s="253"/>
      <c r="BK8" s="255">
        <f>9-9</f>
        <v>0</v>
      </c>
      <c r="BL8" s="255">
        <f>4-4</f>
        <v>0</v>
      </c>
      <c r="BM8" s="255">
        <f>2-2</f>
        <v>0</v>
      </c>
      <c r="BN8" s="261">
        <v>25</v>
      </c>
      <c r="BO8" s="261">
        <f>130-130+35</f>
        <v>35</v>
      </c>
      <c r="BP8" s="255">
        <f>13-13</f>
        <v>0</v>
      </c>
      <c r="BQ8" s="253"/>
      <c r="BR8" s="255">
        <f>21-21</f>
        <v>0</v>
      </c>
      <c r="BS8" s="255">
        <f>3-3</f>
        <v>0</v>
      </c>
      <c r="BT8" s="253"/>
      <c r="BU8" s="254">
        <f>2000-2000+360-70</f>
        <v>290</v>
      </c>
      <c r="BV8" s="254">
        <f>800-800+50-10</f>
        <v>40</v>
      </c>
      <c r="BW8" s="254">
        <f>3000-3000+390-90</f>
        <v>300</v>
      </c>
      <c r="BX8" s="254">
        <f>5000-5000+2160-600</f>
        <v>1560</v>
      </c>
      <c r="BY8" s="254">
        <f>1500-1500+390-90</f>
        <v>300</v>
      </c>
      <c r="BZ8" s="253"/>
      <c r="CA8" s="255">
        <f>2000-2000</f>
        <v>0</v>
      </c>
      <c r="CB8" s="255">
        <f>500-500</f>
        <v>0</v>
      </c>
      <c r="CC8" s="254">
        <f>5000-5000+15-15</f>
        <v>0</v>
      </c>
      <c r="CD8" s="254">
        <f>4000-4000+50-10</f>
        <v>40</v>
      </c>
      <c r="CE8" s="254">
        <f>4000-4000+440-100</f>
        <v>340</v>
      </c>
      <c r="CF8" s="255">
        <f>500-500</f>
        <v>0</v>
      </c>
      <c r="CG8" s="254">
        <f>1000-1000+20-20</f>
        <v>0</v>
      </c>
      <c r="CH8" s="253"/>
      <c r="CI8" s="254">
        <f>2000-2000+1160-210</f>
        <v>950</v>
      </c>
      <c r="CJ8" s="255">
        <f>1000-1000</f>
        <v>0</v>
      </c>
      <c r="CK8" s="254">
        <f>3000-3000+350-60</f>
        <v>290</v>
      </c>
      <c r="CL8" s="254">
        <f>4000-4000+4600-820</f>
        <v>3780</v>
      </c>
      <c r="CM8" s="254">
        <f>2000-2000+1170-210</f>
        <v>960</v>
      </c>
      <c r="CN8" s="261">
        <v>12</v>
      </c>
      <c r="CO8" s="254">
        <f>400-400+52-8</f>
        <v>44</v>
      </c>
      <c r="CP8" s="254">
        <f>400-400+80-20</f>
        <v>60</v>
      </c>
      <c r="CQ8" s="254">
        <f>500-500+20-5</f>
        <v>15</v>
      </c>
      <c r="CR8" s="254">
        <f>1000-1000+6-6</f>
        <v>0</v>
      </c>
      <c r="CS8" s="255">
        <f>4000-4000</f>
        <v>0</v>
      </c>
      <c r="CT8" s="254">
        <f>4000-4000+1940-360</f>
        <v>1580</v>
      </c>
      <c r="CU8" s="255">
        <f>1000-1000</f>
        <v>0</v>
      </c>
      <c r="CV8" s="254">
        <f>100-100+75-15</f>
        <v>60</v>
      </c>
      <c r="CW8" s="253"/>
      <c r="CX8" s="253"/>
      <c r="CY8" s="253"/>
      <c r="CZ8" s="253"/>
      <c r="DA8" s="253"/>
      <c r="DB8" s="253"/>
      <c r="DC8" s="254">
        <f>1000-1000+360-70</f>
        <v>290</v>
      </c>
      <c r="DD8" s="254">
        <f>1500-1500+680-130</f>
        <v>550</v>
      </c>
      <c r="DE8" s="254">
        <f>500-500+15-5</f>
        <v>10</v>
      </c>
      <c r="DF8" s="254">
        <f>200-200+52-8</f>
        <v>44</v>
      </c>
      <c r="DG8" s="254">
        <f>200-200+50-10</f>
        <v>40</v>
      </c>
      <c r="DH8" s="254">
        <f>300-300+40-10</f>
        <v>30</v>
      </c>
      <c r="DI8" s="255">
        <f>500-500</f>
        <v>0</v>
      </c>
      <c r="DJ8" s="254">
        <f>1000-1000+2-2</f>
        <v>0</v>
      </c>
      <c r="DK8" s="254">
        <f>1000-1000+480-80</f>
        <v>400</v>
      </c>
      <c r="DL8" s="254">
        <f>50-20-6</f>
        <v>24</v>
      </c>
      <c r="DM8" s="253"/>
      <c r="DN8" s="253"/>
      <c r="DO8" s="253"/>
      <c r="DP8" s="253"/>
      <c r="DQ8" s="253"/>
      <c r="DR8" s="254">
        <f>500-500+40-40</f>
        <v>0</v>
      </c>
      <c r="DS8" s="253"/>
      <c r="DT8" s="254">
        <f>500-500+320-50</f>
        <v>270</v>
      </c>
      <c r="DU8" s="253"/>
      <c r="DV8" s="253"/>
      <c r="DW8" s="253"/>
      <c r="DX8" s="253"/>
      <c r="DY8" s="253"/>
      <c r="DZ8" s="253"/>
      <c r="EA8" s="253"/>
      <c r="EB8" s="255">
        <f>100-100</f>
        <v>0</v>
      </c>
      <c r="EC8" s="255">
        <f>100-100</f>
        <v>0</v>
      </c>
      <c r="ED8" s="253"/>
      <c r="EE8" s="253"/>
      <c r="EF8" s="253"/>
      <c r="EG8" s="253"/>
      <c r="EH8" s="253"/>
      <c r="EI8" s="253"/>
      <c r="EJ8" s="253"/>
      <c r="EK8" s="255">
        <f>200-200</f>
        <v>0</v>
      </c>
      <c r="EL8" s="255">
        <f>500-500</f>
        <v>0</v>
      </c>
      <c r="EM8" s="255">
        <f>500-500</f>
        <v>0</v>
      </c>
      <c r="EN8" s="255">
        <f>300-300</f>
        <v>0</v>
      </c>
      <c r="EO8" s="255">
        <f>3000-3000</f>
        <v>0</v>
      </c>
      <c r="EP8" s="255">
        <f>1000-1000</f>
        <v>0</v>
      </c>
      <c r="EQ8" s="255">
        <f>2000-2000</f>
        <v>0</v>
      </c>
      <c r="ER8" s="255">
        <f>1000-1000</f>
        <v>0</v>
      </c>
      <c r="ES8" s="253"/>
      <c r="ET8" s="254">
        <f>2000-2000+100-20</f>
        <v>80</v>
      </c>
      <c r="EU8" s="254">
        <f>3000-3000+1540-230</f>
        <v>1310</v>
      </c>
      <c r="EV8" s="254">
        <f>500-500+85-15</f>
        <v>70</v>
      </c>
      <c r="EW8" s="253"/>
      <c r="EX8" s="254">
        <f>1000-1000+10-10</f>
        <v>0</v>
      </c>
      <c r="EY8" s="255">
        <f>1500-1500</f>
        <v>0</v>
      </c>
      <c r="EZ8" s="254">
        <f>500-500+5-5</f>
        <v>0</v>
      </c>
      <c r="FA8" s="253"/>
      <c r="FB8" s="254">
        <f>2000-2000+130-15</f>
        <v>115</v>
      </c>
      <c r="FC8" s="255">
        <f>300-300</f>
        <v>0</v>
      </c>
      <c r="FD8" s="255">
        <f>200-200</f>
        <v>0</v>
      </c>
      <c r="FE8" s="253"/>
      <c r="FF8" s="254">
        <f>500-500+290-30</f>
        <v>260</v>
      </c>
      <c r="FG8" s="253"/>
      <c r="FH8" s="253"/>
      <c r="FI8" s="253"/>
      <c r="FJ8" s="253"/>
      <c r="FK8" s="256"/>
      <c r="FL8" s="257" t="s">
        <v>817</v>
      </c>
      <c r="FM8" s="258" t="s">
        <v>389</v>
      </c>
      <c r="FN8" s="258"/>
      <c r="FO8" s="258" t="s">
        <v>390</v>
      </c>
      <c r="FP8" s="259">
        <f t="shared" si="0"/>
        <v>20554</v>
      </c>
      <c r="FQ8" s="260" t="s">
        <v>391</v>
      </c>
      <c r="FR8" s="260"/>
    </row>
    <row r="9" spans="1:174" hidden="1">
      <c r="A9" s="251" t="s">
        <v>385</v>
      </c>
      <c r="B9" s="251" t="s">
        <v>385</v>
      </c>
      <c r="C9" s="251" t="s">
        <v>386</v>
      </c>
      <c r="D9" s="251" t="s">
        <v>293</v>
      </c>
      <c r="E9" s="252" t="s">
        <v>387</v>
      </c>
      <c r="F9" s="251" t="s">
        <v>388</v>
      </c>
      <c r="G9" s="251"/>
      <c r="H9" s="253"/>
      <c r="I9" s="253"/>
      <c r="J9" s="253"/>
      <c r="K9" s="253"/>
      <c r="L9" s="253"/>
      <c r="M9" s="253"/>
      <c r="N9" s="253"/>
      <c r="O9" s="253"/>
      <c r="P9" s="253"/>
      <c r="Q9" s="253"/>
      <c r="R9" s="253"/>
      <c r="S9" s="253"/>
      <c r="T9" s="253"/>
      <c r="U9" s="253"/>
      <c r="V9" s="253"/>
      <c r="W9" s="253"/>
      <c r="X9" s="253"/>
      <c r="Y9" s="253"/>
      <c r="Z9" s="253"/>
      <c r="AA9" s="253"/>
      <c r="AB9" s="253"/>
      <c r="AC9" s="253"/>
      <c r="AD9" s="253"/>
      <c r="AE9" s="253"/>
      <c r="AF9" s="253"/>
      <c r="AG9" s="253"/>
      <c r="AH9" s="253"/>
      <c r="AI9" s="253"/>
      <c r="AJ9" s="253"/>
      <c r="AK9" s="253"/>
      <c r="AL9" s="253"/>
      <c r="AM9" s="253"/>
      <c r="AN9" s="253"/>
      <c r="AO9" s="253"/>
      <c r="AP9" s="253"/>
      <c r="AQ9" s="253"/>
      <c r="AR9" s="253"/>
      <c r="AS9" s="253"/>
      <c r="AT9" s="253"/>
      <c r="AU9" s="255">
        <v>1000</v>
      </c>
      <c r="AV9" s="253"/>
      <c r="AW9" s="253"/>
      <c r="AX9" s="253"/>
      <c r="AY9" s="253"/>
      <c r="AZ9" s="253"/>
      <c r="BA9" s="253"/>
      <c r="BB9" s="253"/>
      <c r="BC9" s="253"/>
      <c r="BD9" s="253"/>
      <c r="BE9" s="253"/>
      <c r="BF9" s="253"/>
      <c r="BG9" s="253"/>
      <c r="BH9" s="253"/>
      <c r="BI9" s="253"/>
      <c r="BJ9" s="253"/>
      <c r="BK9" s="253"/>
      <c r="BL9" s="253"/>
      <c r="BM9" s="253"/>
      <c r="BN9" s="253"/>
      <c r="BO9" s="253"/>
      <c r="BP9" s="253"/>
      <c r="BQ9" s="253"/>
      <c r="BR9" s="253"/>
      <c r="BS9" s="253"/>
      <c r="BT9" s="253"/>
      <c r="BU9" s="253"/>
      <c r="BV9" s="253"/>
      <c r="BW9" s="253"/>
      <c r="BX9" s="255">
        <v>500</v>
      </c>
      <c r="BY9" s="253"/>
      <c r="BZ9" s="253"/>
      <c r="CA9" s="253"/>
      <c r="CB9" s="253"/>
      <c r="CC9" s="253"/>
      <c r="CD9" s="253"/>
      <c r="CE9" s="253"/>
      <c r="CF9" s="253"/>
      <c r="CG9" s="253"/>
      <c r="CH9" s="253"/>
      <c r="CI9" s="253"/>
      <c r="CJ9" s="253"/>
      <c r="CK9" s="253"/>
      <c r="CL9" s="253"/>
      <c r="CM9" s="253"/>
      <c r="CN9" s="254">
        <f>1500-1500+370-70</f>
        <v>300</v>
      </c>
      <c r="CO9" s="253"/>
      <c r="CP9" s="253"/>
      <c r="CQ9" s="253"/>
      <c r="CR9" s="253"/>
      <c r="CS9" s="253"/>
      <c r="CT9" s="253"/>
      <c r="CU9" s="253"/>
      <c r="CV9" s="253"/>
      <c r="CW9" s="253"/>
      <c r="CX9" s="253"/>
      <c r="CY9" s="253"/>
      <c r="CZ9" s="253"/>
      <c r="DA9" s="253"/>
      <c r="DB9" s="253"/>
      <c r="DC9" s="253"/>
      <c r="DD9" s="253"/>
      <c r="DE9" s="253"/>
      <c r="DF9" s="253"/>
      <c r="DG9" s="253"/>
      <c r="DH9" s="253"/>
      <c r="DI9" s="253"/>
      <c r="DJ9" s="253"/>
      <c r="DK9" s="253"/>
      <c r="DL9" s="253"/>
      <c r="DM9" s="253"/>
      <c r="DN9" s="253"/>
      <c r="DO9" s="253"/>
      <c r="DP9" s="253"/>
      <c r="DQ9" s="253"/>
      <c r="DR9" s="253"/>
      <c r="DS9" s="253"/>
      <c r="DT9" s="253"/>
      <c r="DU9" s="253"/>
      <c r="DV9" s="253"/>
      <c r="DW9" s="253"/>
      <c r="DX9" s="253"/>
      <c r="DY9" s="253"/>
      <c r="DZ9" s="253"/>
      <c r="EA9" s="253"/>
      <c r="EB9" s="253"/>
      <c r="EC9" s="253"/>
      <c r="ED9" s="253"/>
      <c r="EE9" s="253"/>
      <c r="EF9" s="253"/>
      <c r="EG9" s="253"/>
      <c r="EH9" s="253"/>
      <c r="EI9" s="253"/>
      <c r="EJ9" s="253"/>
      <c r="EK9" s="253"/>
      <c r="EL9" s="253"/>
      <c r="EM9" s="253"/>
      <c r="EN9" s="253"/>
      <c r="EO9" s="253"/>
      <c r="EP9" s="253"/>
      <c r="EQ9" s="253"/>
      <c r="ER9" s="253"/>
      <c r="ES9" s="255">
        <f>500-500</f>
        <v>0</v>
      </c>
      <c r="ET9" s="253"/>
      <c r="EU9" s="253"/>
      <c r="EV9" s="253"/>
      <c r="EW9" s="255">
        <f>100-100</f>
        <v>0</v>
      </c>
      <c r="EX9" s="253"/>
      <c r="EY9" s="253"/>
      <c r="EZ9" s="253"/>
      <c r="FA9" s="255">
        <f>100-100</f>
        <v>0</v>
      </c>
      <c r="FB9" s="253"/>
      <c r="FC9" s="253"/>
      <c r="FD9" s="253"/>
      <c r="FE9" s="255">
        <f>100-100</f>
        <v>0</v>
      </c>
      <c r="FF9" s="253"/>
      <c r="FG9" s="253"/>
      <c r="FH9" s="253"/>
      <c r="FI9" s="253"/>
      <c r="FJ9" s="253"/>
      <c r="FK9" s="256"/>
      <c r="FL9" s="257" t="s">
        <v>817</v>
      </c>
      <c r="FM9" s="258" t="s">
        <v>389</v>
      </c>
      <c r="FN9" s="258"/>
      <c r="FO9" s="258" t="s">
        <v>390</v>
      </c>
      <c r="FP9" s="259">
        <f t="shared" si="0"/>
        <v>1800</v>
      </c>
      <c r="FQ9" s="260" t="s">
        <v>391</v>
      </c>
      <c r="FR9" s="260"/>
    </row>
    <row r="10" spans="1:174" hidden="1">
      <c r="A10" s="251" t="s">
        <v>385</v>
      </c>
      <c r="B10" s="251" t="s">
        <v>392</v>
      </c>
      <c r="C10" s="251" t="s">
        <v>386</v>
      </c>
      <c r="D10" s="251" t="s">
        <v>291</v>
      </c>
      <c r="E10" s="252" t="s">
        <v>387</v>
      </c>
      <c r="F10" s="251" t="s">
        <v>388</v>
      </c>
      <c r="G10" s="251"/>
      <c r="H10" s="253"/>
      <c r="I10" s="255">
        <f>2000-2000</f>
        <v>0</v>
      </c>
      <c r="J10" s="253"/>
      <c r="K10" s="255">
        <f>2200-2200</f>
        <v>0</v>
      </c>
      <c r="L10" s="253"/>
      <c r="M10" s="253"/>
      <c r="N10" s="253"/>
      <c r="O10" s="253"/>
      <c r="P10" s="253"/>
      <c r="Q10" s="253"/>
      <c r="R10" s="253"/>
      <c r="S10" s="253"/>
      <c r="T10" s="253"/>
      <c r="U10" s="253"/>
      <c r="V10" s="253"/>
      <c r="W10" s="253"/>
      <c r="X10" s="253"/>
      <c r="Y10" s="253"/>
      <c r="Z10" s="253"/>
      <c r="AA10" s="253"/>
      <c r="AB10" s="253"/>
      <c r="AC10" s="253"/>
      <c r="AD10" s="253"/>
      <c r="AE10" s="253"/>
      <c r="AF10" s="253"/>
      <c r="AG10" s="253"/>
      <c r="AH10" s="253"/>
      <c r="AI10" s="253"/>
      <c r="AJ10" s="253"/>
      <c r="AK10" s="253"/>
      <c r="AL10" s="253"/>
      <c r="AM10" s="253"/>
      <c r="AN10" s="253"/>
      <c r="AO10" s="253"/>
      <c r="AP10" s="253"/>
      <c r="AQ10" s="253"/>
      <c r="AR10" s="253"/>
      <c r="AS10" s="253"/>
      <c r="AT10" s="253"/>
      <c r="AU10" s="253"/>
      <c r="AV10" s="253"/>
      <c r="AW10" s="253"/>
      <c r="AX10" s="253"/>
      <c r="AY10" s="253"/>
      <c r="AZ10" s="253"/>
      <c r="BA10" s="253"/>
      <c r="BB10" s="253"/>
      <c r="BC10" s="253"/>
      <c r="BD10" s="253"/>
      <c r="BE10" s="253"/>
      <c r="BF10" s="253"/>
      <c r="BG10" s="253"/>
      <c r="BH10" s="253"/>
      <c r="BI10" s="253"/>
      <c r="BJ10" s="253"/>
      <c r="BK10" s="253"/>
      <c r="BL10" s="253"/>
      <c r="BM10" s="253"/>
      <c r="BN10" s="253"/>
      <c r="BO10" s="253"/>
      <c r="BP10" s="253"/>
      <c r="BQ10" s="253"/>
      <c r="BR10" s="253"/>
      <c r="BS10" s="253"/>
      <c r="BT10" s="253"/>
      <c r="BU10" s="253"/>
      <c r="BV10" s="253"/>
      <c r="BW10" s="253"/>
      <c r="BX10" s="253"/>
      <c r="BY10" s="253"/>
      <c r="BZ10" s="253"/>
      <c r="CA10" s="253"/>
      <c r="CB10" s="253"/>
      <c r="CC10" s="253"/>
      <c r="CD10" s="253"/>
      <c r="CE10" s="253"/>
      <c r="CF10" s="253"/>
      <c r="CG10" s="253"/>
      <c r="CH10" s="253"/>
      <c r="CI10" s="253"/>
      <c r="CJ10" s="253"/>
      <c r="CK10" s="253"/>
      <c r="CL10" s="253"/>
      <c r="CM10" s="253"/>
      <c r="CN10" s="253"/>
      <c r="CO10" s="253"/>
      <c r="CP10" s="253"/>
      <c r="CQ10" s="253"/>
      <c r="CR10" s="253"/>
      <c r="CS10" s="253"/>
      <c r="CT10" s="253"/>
      <c r="CU10" s="253"/>
      <c r="CV10" s="253"/>
      <c r="CW10" s="253"/>
      <c r="CX10" s="253"/>
      <c r="CY10" s="253"/>
      <c r="CZ10" s="253"/>
      <c r="DA10" s="253"/>
      <c r="DB10" s="253"/>
      <c r="DC10" s="253"/>
      <c r="DD10" s="253"/>
      <c r="DE10" s="253"/>
      <c r="DF10" s="253"/>
      <c r="DG10" s="253"/>
      <c r="DH10" s="253"/>
      <c r="DI10" s="253"/>
      <c r="DJ10" s="253"/>
      <c r="DK10" s="253"/>
      <c r="DL10" s="253"/>
      <c r="DM10" s="253"/>
      <c r="DN10" s="253"/>
      <c r="DO10" s="253"/>
      <c r="DP10" s="253"/>
      <c r="DQ10" s="253"/>
      <c r="DR10" s="253"/>
      <c r="DS10" s="253"/>
      <c r="DT10" s="253"/>
      <c r="DU10" s="255">
        <f>2000-2000</f>
        <v>0</v>
      </c>
      <c r="DV10" s="255">
        <f>1000-1000</f>
        <v>0</v>
      </c>
      <c r="DW10" s="254">
        <f>2000-2000+2400-390</f>
        <v>2010</v>
      </c>
      <c r="DX10" s="253"/>
      <c r="DY10" s="255">
        <f>3000-3000</f>
        <v>0</v>
      </c>
      <c r="DZ10" s="254">
        <f>1000-1000+20-20</f>
        <v>0</v>
      </c>
      <c r="EA10" s="255">
        <f>1000-1000</f>
        <v>0</v>
      </c>
      <c r="EB10" s="253"/>
      <c r="EC10" s="253"/>
      <c r="ED10" s="253"/>
      <c r="EE10" s="253"/>
      <c r="EF10" s="253"/>
      <c r="EG10" s="253"/>
      <c r="EH10" s="253"/>
      <c r="EI10" s="253"/>
      <c r="EJ10" s="253"/>
      <c r="EK10" s="253"/>
      <c r="EL10" s="253"/>
      <c r="EM10" s="253"/>
      <c r="EN10" s="253"/>
      <c r="EO10" s="253"/>
      <c r="EP10" s="253"/>
      <c r="EQ10" s="253"/>
      <c r="ER10" s="253"/>
      <c r="ES10" s="253"/>
      <c r="ET10" s="253"/>
      <c r="EU10" s="253"/>
      <c r="EV10" s="253"/>
      <c r="EW10" s="253"/>
      <c r="EX10" s="253"/>
      <c r="EY10" s="253"/>
      <c r="EZ10" s="253"/>
      <c r="FA10" s="253"/>
      <c r="FB10" s="253"/>
      <c r="FC10" s="253"/>
      <c r="FD10" s="253"/>
      <c r="FE10" s="253"/>
      <c r="FF10" s="253"/>
      <c r="FG10" s="253"/>
      <c r="FH10" s="253"/>
      <c r="FI10" s="253"/>
      <c r="FJ10" s="253"/>
      <c r="FK10" s="256"/>
      <c r="FL10" s="257" t="s">
        <v>817</v>
      </c>
      <c r="FM10" s="258" t="s">
        <v>389</v>
      </c>
      <c r="FN10" s="258"/>
      <c r="FO10" s="258" t="s">
        <v>390</v>
      </c>
      <c r="FP10" s="259">
        <f t="shared" si="0"/>
        <v>2010</v>
      </c>
      <c r="FQ10" s="260" t="s">
        <v>391</v>
      </c>
      <c r="FR10" s="260"/>
    </row>
    <row r="11" spans="1:174" hidden="1">
      <c r="A11" s="251" t="s">
        <v>385</v>
      </c>
      <c r="B11" s="251" t="s">
        <v>392</v>
      </c>
      <c r="C11" s="251" t="s">
        <v>386</v>
      </c>
      <c r="D11" s="251" t="s">
        <v>1</v>
      </c>
      <c r="E11" s="252" t="s">
        <v>387</v>
      </c>
      <c r="F11" s="251" t="s">
        <v>388</v>
      </c>
      <c r="G11" s="251"/>
      <c r="H11" s="253"/>
      <c r="I11" s="253"/>
      <c r="J11" s="253"/>
      <c r="K11" s="253"/>
      <c r="L11" s="254">
        <f>5000-5000+2760-620</f>
        <v>2140</v>
      </c>
      <c r="M11" s="253"/>
      <c r="N11" s="254">
        <f>3000-3000+240-240</f>
        <v>0</v>
      </c>
      <c r="O11" s="255">
        <f>3000-3000</f>
        <v>0</v>
      </c>
      <c r="P11" s="255">
        <f>5000-5000</f>
        <v>0</v>
      </c>
      <c r="Q11" s="253"/>
      <c r="R11" s="253"/>
      <c r="S11" s="253"/>
      <c r="T11" s="253"/>
      <c r="U11" s="253"/>
      <c r="V11" s="253"/>
      <c r="W11" s="253"/>
      <c r="X11" s="253"/>
      <c r="Y11" s="253"/>
      <c r="Z11" s="253"/>
      <c r="AA11" s="253"/>
      <c r="AB11" s="253"/>
      <c r="AC11" s="253"/>
      <c r="AD11" s="253"/>
      <c r="AE11" s="253"/>
      <c r="AF11" s="255">
        <f>500-500</f>
        <v>0</v>
      </c>
      <c r="AG11" s="253"/>
      <c r="AH11" s="253"/>
      <c r="AI11" s="253"/>
      <c r="AJ11" s="253"/>
      <c r="AK11" s="253"/>
      <c r="AL11" s="253"/>
      <c r="AM11" s="253"/>
      <c r="AN11" s="253"/>
      <c r="AO11" s="253"/>
      <c r="AP11" s="253"/>
      <c r="AQ11" s="253"/>
      <c r="AR11" s="253"/>
      <c r="AS11" s="253"/>
      <c r="AT11" s="253"/>
      <c r="AU11" s="253"/>
      <c r="AV11" s="253"/>
      <c r="AW11" s="253"/>
      <c r="AX11" s="253"/>
      <c r="AY11" s="253"/>
      <c r="AZ11" s="253"/>
      <c r="BA11" s="253"/>
      <c r="BB11" s="253"/>
      <c r="BC11" s="253"/>
      <c r="BD11" s="253"/>
      <c r="BE11" s="253"/>
      <c r="BF11" s="253"/>
      <c r="BG11" s="253"/>
      <c r="BH11" s="253"/>
      <c r="BI11" s="253"/>
      <c r="BJ11" s="253"/>
      <c r="BK11" s="253"/>
      <c r="BL11" s="253"/>
      <c r="BM11" s="253"/>
      <c r="BN11" s="253"/>
      <c r="BO11" s="253"/>
      <c r="BP11" s="253"/>
      <c r="BQ11" s="253"/>
      <c r="BR11" s="253"/>
      <c r="BS11" s="253"/>
      <c r="BT11" s="253"/>
      <c r="BU11" s="253"/>
      <c r="BV11" s="253"/>
      <c r="BW11" s="253"/>
      <c r="BX11" s="253"/>
      <c r="BY11" s="253"/>
      <c r="BZ11" s="253"/>
      <c r="CA11" s="253"/>
      <c r="CB11" s="253"/>
      <c r="CC11" s="253"/>
      <c r="CD11" s="253"/>
      <c r="CE11" s="253"/>
      <c r="CF11" s="253"/>
      <c r="CG11" s="253"/>
      <c r="CH11" s="253"/>
      <c r="CI11" s="253"/>
      <c r="CJ11" s="253"/>
      <c r="CK11" s="253"/>
      <c r="CL11" s="253"/>
      <c r="CM11" s="253"/>
      <c r="CN11" s="253"/>
      <c r="CO11" s="253"/>
      <c r="CP11" s="253"/>
      <c r="CQ11" s="253"/>
      <c r="CR11" s="253"/>
      <c r="CS11" s="253"/>
      <c r="CT11" s="253"/>
      <c r="CU11" s="253"/>
      <c r="CV11" s="253"/>
      <c r="CW11" s="253"/>
      <c r="CX11" s="253"/>
      <c r="CY11" s="253"/>
      <c r="CZ11" s="253"/>
      <c r="DA11" s="253"/>
      <c r="DB11" s="253"/>
      <c r="DC11" s="253"/>
      <c r="DD11" s="253"/>
      <c r="DE11" s="253"/>
      <c r="DF11" s="253"/>
      <c r="DG11" s="253"/>
      <c r="DH11" s="253"/>
      <c r="DI11" s="253"/>
      <c r="DJ11" s="253"/>
      <c r="DK11" s="253"/>
      <c r="DL11" s="253"/>
      <c r="DM11" s="253"/>
      <c r="DN11" s="253"/>
      <c r="DO11" s="253"/>
      <c r="DP11" s="253"/>
      <c r="DQ11" s="253"/>
      <c r="DR11" s="253"/>
      <c r="DS11" s="253"/>
      <c r="DT11" s="253"/>
      <c r="DU11" s="253"/>
      <c r="DV11" s="253"/>
      <c r="DW11" s="253"/>
      <c r="DX11" s="255">
        <f>3000-3000</f>
        <v>0</v>
      </c>
      <c r="DY11" s="253"/>
      <c r="DZ11" s="253"/>
      <c r="EA11" s="253"/>
      <c r="EB11" s="253"/>
      <c r="EC11" s="253"/>
      <c r="ED11" s="253"/>
      <c r="EE11" s="253"/>
      <c r="EF11" s="255">
        <f>500-500</f>
        <v>0</v>
      </c>
      <c r="EG11" s="255">
        <f>500-500</f>
        <v>0</v>
      </c>
      <c r="EH11" s="253"/>
      <c r="EI11" s="253"/>
      <c r="EJ11" s="255">
        <f>100-100</f>
        <v>0</v>
      </c>
      <c r="EK11" s="253"/>
      <c r="EL11" s="253"/>
      <c r="EM11" s="253"/>
      <c r="EN11" s="253"/>
      <c r="EO11" s="253"/>
      <c r="EP11" s="253"/>
      <c r="EQ11" s="253"/>
      <c r="ER11" s="253"/>
      <c r="ES11" s="253"/>
      <c r="ET11" s="253"/>
      <c r="EU11" s="253"/>
      <c r="EV11" s="253"/>
      <c r="EW11" s="253"/>
      <c r="EX11" s="253"/>
      <c r="EY11" s="253"/>
      <c r="EZ11" s="253"/>
      <c r="FA11" s="253"/>
      <c r="FB11" s="253"/>
      <c r="FC11" s="253"/>
      <c r="FD11" s="253"/>
      <c r="FE11" s="253"/>
      <c r="FF11" s="253"/>
      <c r="FG11" s="255">
        <f>500-500</f>
        <v>0</v>
      </c>
      <c r="FH11" s="255">
        <f>1000-1000</f>
        <v>0</v>
      </c>
      <c r="FI11" s="253"/>
      <c r="FJ11" s="253"/>
      <c r="FK11" s="256"/>
      <c r="FL11" s="257" t="s">
        <v>817</v>
      </c>
      <c r="FM11" s="258" t="s">
        <v>389</v>
      </c>
      <c r="FN11" s="258"/>
      <c r="FO11" s="258" t="s">
        <v>390</v>
      </c>
      <c r="FP11" s="259">
        <f t="shared" si="0"/>
        <v>2140</v>
      </c>
      <c r="FQ11" s="260" t="s">
        <v>391</v>
      </c>
      <c r="FR11" s="260"/>
    </row>
    <row r="12" spans="1:174" hidden="1">
      <c r="A12" s="251" t="s">
        <v>385</v>
      </c>
      <c r="B12" s="251" t="s">
        <v>392</v>
      </c>
      <c r="C12" s="251" t="s">
        <v>386</v>
      </c>
      <c r="D12" s="251" t="s">
        <v>293</v>
      </c>
      <c r="E12" s="252" t="s">
        <v>387</v>
      </c>
      <c r="F12" s="251" t="s">
        <v>388</v>
      </c>
      <c r="G12" s="251"/>
      <c r="H12" s="253"/>
      <c r="I12" s="253"/>
      <c r="J12" s="255">
        <f>2000-2000</f>
        <v>0</v>
      </c>
      <c r="K12" s="253"/>
      <c r="L12" s="253"/>
      <c r="M12" s="253"/>
      <c r="N12" s="253"/>
      <c r="O12" s="253"/>
      <c r="P12" s="253"/>
      <c r="Q12" s="253"/>
      <c r="R12" s="253"/>
      <c r="S12" s="253"/>
      <c r="T12" s="253"/>
      <c r="U12" s="253"/>
      <c r="V12" s="253"/>
      <c r="W12" s="253"/>
      <c r="X12" s="253"/>
      <c r="Y12" s="253"/>
      <c r="Z12" s="253"/>
      <c r="AA12" s="253"/>
      <c r="AB12" s="253"/>
      <c r="AC12" s="253"/>
      <c r="AD12" s="253"/>
      <c r="AE12" s="253"/>
      <c r="AF12" s="253"/>
      <c r="AG12" s="253"/>
      <c r="AH12" s="253"/>
      <c r="AI12" s="253"/>
      <c r="AJ12" s="253"/>
      <c r="AK12" s="253"/>
      <c r="AL12" s="253"/>
      <c r="AM12" s="253"/>
      <c r="AN12" s="253"/>
      <c r="AO12" s="253"/>
      <c r="AP12" s="253"/>
      <c r="AQ12" s="253"/>
      <c r="AR12" s="253"/>
      <c r="AS12" s="253"/>
      <c r="AT12" s="253"/>
      <c r="AU12" s="253"/>
      <c r="AV12" s="253"/>
      <c r="AW12" s="253"/>
      <c r="AX12" s="253"/>
      <c r="AY12" s="253"/>
      <c r="AZ12" s="253"/>
      <c r="BA12" s="253"/>
      <c r="BB12" s="253"/>
      <c r="BC12" s="253"/>
      <c r="BD12" s="253"/>
      <c r="BE12" s="253"/>
      <c r="BF12" s="253"/>
      <c r="BG12" s="253"/>
      <c r="BH12" s="253"/>
      <c r="BI12" s="253"/>
      <c r="BJ12" s="253"/>
      <c r="BK12" s="253"/>
      <c r="BL12" s="253"/>
      <c r="BM12" s="253"/>
      <c r="BN12" s="253"/>
      <c r="BO12" s="253"/>
      <c r="BP12" s="253"/>
      <c r="BQ12" s="253"/>
      <c r="BR12" s="253"/>
      <c r="BS12" s="253"/>
      <c r="BT12" s="253"/>
      <c r="BU12" s="253"/>
      <c r="BV12" s="253"/>
      <c r="BW12" s="253"/>
      <c r="BX12" s="253"/>
      <c r="BY12" s="253"/>
      <c r="BZ12" s="253"/>
      <c r="CA12" s="253"/>
      <c r="CB12" s="253"/>
      <c r="CC12" s="253"/>
      <c r="CD12" s="253"/>
      <c r="CE12" s="253"/>
      <c r="CF12" s="253"/>
      <c r="CG12" s="253"/>
      <c r="CH12" s="253"/>
      <c r="CI12" s="253"/>
      <c r="CJ12" s="253"/>
      <c r="CK12" s="253"/>
      <c r="CL12" s="253"/>
      <c r="CM12" s="253"/>
      <c r="CN12" s="253"/>
      <c r="CO12" s="253"/>
      <c r="CP12" s="253"/>
      <c r="CQ12" s="253"/>
      <c r="CR12" s="253"/>
      <c r="CS12" s="253"/>
      <c r="CT12" s="253"/>
      <c r="CU12" s="253"/>
      <c r="CV12" s="253"/>
      <c r="CW12" s="253"/>
      <c r="CX12" s="253"/>
      <c r="CY12" s="253"/>
      <c r="CZ12" s="253"/>
      <c r="DA12" s="253"/>
      <c r="DB12" s="253"/>
      <c r="DC12" s="253"/>
      <c r="DD12" s="253"/>
      <c r="DE12" s="253"/>
      <c r="DF12" s="253"/>
      <c r="DG12" s="253"/>
      <c r="DH12" s="253"/>
      <c r="DI12" s="253"/>
      <c r="DJ12" s="253"/>
      <c r="DK12" s="253"/>
      <c r="DL12" s="253"/>
      <c r="DM12" s="253"/>
      <c r="DN12" s="253"/>
      <c r="DO12" s="253"/>
      <c r="DP12" s="253"/>
      <c r="DQ12" s="253"/>
      <c r="DR12" s="253"/>
      <c r="DS12" s="253"/>
      <c r="DT12" s="253"/>
      <c r="DU12" s="253"/>
      <c r="DV12" s="253"/>
      <c r="DW12" s="253"/>
      <c r="DX12" s="253"/>
      <c r="DY12" s="253"/>
      <c r="DZ12" s="253"/>
      <c r="EA12" s="253"/>
      <c r="EB12" s="253"/>
      <c r="EC12" s="253"/>
      <c r="ED12" s="253"/>
      <c r="EE12" s="253"/>
      <c r="EF12" s="253"/>
      <c r="EG12" s="253"/>
      <c r="EH12" s="253"/>
      <c r="EI12" s="253"/>
      <c r="EJ12" s="253"/>
      <c r="EK12" s="253"/>
      <c r="EL12" s="253"/>
      <c r="EM12" s="253"/>
      <c r="EN12" s="253"/>
      <c r="EO12" s="253"/>
      <c r="EP12" s="253"/>
      <c r="EQ12" s="253"/>
      <c r="ER12" s="253"/>
      <c r="ES12" s="253"/>
      <c r="ET12" s="253"/>
      <c r="EU12" s="253"/>
      <c r="EV12" s="253"/>
      <c r="EW12" s="253"/>
      <c r="EX12" s="253"/>
      <c r="EY12" s="253"/>
      <c r="EZ12" s="253"/>
      <c r="FA12" s="253"/>
      <c r="FB12" s="253"/>
      <c r="FC12" s="253"/>
      <c r="FD12" s="253"/>
      <c r="FE12" s="253"/>
      <c r="FF12" s="253"/>
      <c r="FG12" s="253"/>
      <c r="FH12" s="253"/>
      <c r="FI12" s="253"/>
      <c r="FJ12" s="253"/>
      <c r="FK12" s="256"/>
      <c r="FL12" s="257" t="s">
        <v>817</v>
      </c>
      <c r="FM12" s="258" t="s">
        <v>389</v>
      </c>
      <c r="FN12" s="258"/>
      <c r="FO12" s="258" t="s">
        <v>390</v>
      </c>
      <c r="FP12" s="259">
        <f t="shared" si="0"/>
        <v>0</v>
      </c>
      <c r="FQ12" s="260" t="s">
        <v>391</v>
      </c>
      <c r="FR12" s="260"/>
    </row>
    <row r="13" spans="1:174" hidden="1">
      <c r="A13" s="251" t="s">
        <v>393</v>
      </c>
      <c r="B13" s="251" t="s">
        <v>385</v>
      </c>
      <c r="C13" s="251" t="s">
        <v>394</v>
      </c>
      <c r="D13" s="251" t="s">
        <v>291</v>
      </c>
      <c r="E13" s="252" t="s">
        <v>818</v>
      </c>
      <c r="F13" s="251" t="s">
        <v>388</v>
      </c>
      <c r="G13" s="251"/>
      <c r="H13" s="253"/>
      <c r="I13" s="253"/>
      <c r="J13" s="253"/>
      <c r="K13" s="253"/>
      <c r="L13" s="253"/>
      <c r="M13" s="253"/>
      <c r="N13" s="253"/>
      <c r="O13" s="253"/>
      <c r="P13" s="253"/>
      <c r="Q13" s="253"/>
      <c r="R13" s="253"/>
      <c r="S13" s="253"/>
      <c r="T13" s="253"/>
      <c r="U13" s="253"/>
      <c r="V13" s="253"/>
      <c r="W13" s="253"/>
      <c r="X13" s="253"/>
      <c r="Y13" s="253"/>
      <c r="Z13" s="253"/>
      <c r="AA13" s="253"/>
      <c r="AB13" s="253"/>
      <c r="AC13" s="253"/>
      <c r="AD13" s="253"/>
      <c r="AE13" s="253"/>
      <c r="AF13" s="253"/>
      <c r="AG13" s="253"/>
      <c r="AH13" s="255">
        <f>50-50</f>
        <v>0</v>
      </c>
      <c r="AI13" s="253"/>
      <c r="AJ13" s="253"/>
      <c r="AK13" s="253"/>
      <c r="AL13" s="253"/>
      <c r="AM13" s="253"/>
      <c r="AN13" s="253"/>
      <c r="AO13" s="253"/>
      <c r="AP13" s="253"/>
      <c r="AQ13" s="253"/>
      <c r="AR13" s="253"/>
      <c r="AS13" s="253"/>
      <c r="AT13" s="253"/>
      <c r="AU13" s="253"/>
      <c r="AV13" s="253"/>
      <c r="AW13" s="253"/>
      <c r="AX13" s="253"/>
      <c r="AY13" s="253"/>
      <c r="AZ13" s="253"/>
      <c r="BA13" s="253"/>
      <c r="BB13" s="253"/>
      <c r="BC13" s="253"/>
      <c r="BD13" s="253"/>
      <c r="BE13" s="253"/>
      <c r="BF13" s="255">
        <f>50-50</f>
        <v>0</v>
      </c>
      <c r="BG13" s="253"/>
      <c r="BH13" s="253"/>
      <c r="BI13" s="253"/>
      <c r="BJ13" s="253"/>
      <c r="BK13" s="253"/>
      <c r="BL13" s="253"/>
      <c r="BM13" s="253"/>
      <c r="BN13" s="253"/>
      <c r="BO13" s="253"/>
      <c r="BP13" s="253"/>
      <c r="BQ13" s="253"/>
      <c r="BR13" s="253"/>
      <c r="BS13" s="253"/>
      <c r="BT13" s="253"/>
      <c r="BU13" s="253"/>
      <c r="BV13" s="253"/>
      <c r="BW13" s="253"/>
      <c r="BX13" s="253"/>
      <c r="BY13" s="253"/>
      <c r="BZ13" s="253"/>
      <c r="CA13" s="253"/>
      <c r="CB13" s="253"/>
      <c r="CC13" s="253"/>
      <c r="CD13" s="253"/>
      <c r="CE13" s="253"/>
      <c r="CF13" s="253"/>
      <c r="CG13" s="253"/>
      <c r="CH13" s="253"/>
      <c r="CI13" s="253"/>
      <c r="CJ13" s="253"/>
      <c r="CK13" s="253"/>
      <c r="CL13" s="253"/>
      <c r="CM13" s="253"/>
      <c r="CN13" s="253"/>
      <c r="CO13" s="253"/>
      <c r="CP13" s="253"/>
      <c r="CQ13" s="253"/>
      <c r="CR13" s="253"/>
      <c r="CS13" s="253"/>
      <c r="CT13" s="253"/>
      <c r="CU13" s="253"/>
      <c r="CV13" s="253"/>
      <c r="CW13" s="253"/>
      <c r="CX13" s="253"/>
      <c r="CY13" s="253"/>
      <c r="CZ13" s="253"/>
      <c r="DA13" s="253"/>
      <c r="DB13" s="253"/>
      <c r="DC13" s="253"/>
      <c r="DD13" s="253"/>
      <c r="DE13" s="253"/>
      <c r="DF13" s="253"/>
      <c r="DG13" s="253"/>
      <c r="DH13" s="253"/>
      <c r="DI13" s="253"/>
      <c r="DJ13" s="253"/>
      <c r="DK13" s="253"/>
      <c r="DL13" s="253"/>
      <c r="DM13" s="253"/>
      <c r="DN13" s="253"/>
      <c r="DO13" s="253"/>
      <c r="DP13" s="253"/>
      <c r="DQ13" s="253"/>
      <c r="DR13" s="253"/>
      <c r="DS13" s="253"/>
      <c r="DT13" s="253"/>
      <c r="DU13" s="253"/>
      <c r="DV13" s="253"/>
      <c r="DW13" s="253"/>
      <c r="DX13" s="253"/>
      <c r="DY13" s="253"/>
      <c r="DZ13" s="253"/>
      <c r="EA13" s="253"/>
      <c r="EB13" s="253"/>
      <c r="EC13" s="253"/>
      <c r="ED13" s="253"/>
      <c r="EE13" s="253"/>
      <c r="EF13" s="253"/>
      <c r="EG13" s="253"/>
      <c r="EH13" s="253"/>
      <c r="EI13" s="253"/>
      <c r="EJ13" s="253"/>
      <c r="EK13" s="253"/>
      <c r="EL13" s="253"/>
      <c r="EM13" s="253"/>
      <c r="EN13" s="253"/>
      <c r="EO13" s="253"/>
      <c r="EP13" s="253"/>
      <c r="EQ13" s="253"/>
      <c r="ER13" s="253"/>
      <c r="ES13" s="253"/>
      <c r="ET13" s="253"/>
      <c r="EU13" s="253"/>
      <c r="EV13" s="253"/>
      <c r="EW13" s="253"/>
      <c r="EX13" s="253"/>
      <c r="EY13" s="253"/>
      <c r="EZ13" s="253"/>
      <c r="FA13" s="253"/>
      <c r="FB13" s="253"/>
      <c r="FC13" s="253"/>
      <c r="FD13" s="253"/>
      <c r="FE13" s="253"/>
      <c r="FF13" s="253"/>
      <c r="FG13" s="253"/>
      <c r="FH13" s="253"/>
      <c r="FI13" s="253"/>
      <c r="FJ13" s="253"/>
      <c r="FK13" s="256"/>
      <c r="FL13" s="257" t="s">
        <v>817</v>
      </c>
      <c r="FM13" s="258" t="s">
        <v>389</v>
      </c>
      <c r="FN13" s="258"/>
      <c r="FO13" s="258" t="s">
        <v>819</v>
      </c>
      <c r="FP13" s="259">
        <f t="shared" si="0"/>
        <v>0</v>
      </c>
      <c r="FQ13" s="260" t="s">
        <v>820</v>
      </c>
      <c r="FR13" s="260"/>
    </row>
    <row r="14" spans="1:174" hidden="1">
      <c r="A14" s="251" t="s">
        <v>393</v>
      </c>
      <c r="B14" s="251" t="s">
        <v>385</v>
      </c>
      <c r="C14" s="251" t="s">
        <v>394</v>
      </c>
      <c r="D14" s="251" t="s">
        <v>1</v>
      </c>
      <c r="E14" s="252" t="s">
        <v>818</v>
      </c>
      <c r="F14" s="251" t="s">
        <v>388</v>
      </c>
      <c r="G14" s="251"/>
      <c r="H14" s="253"/>
      <c r="I14" s="253"/>
      <c r="J14" s="253"/>
      <c r="K14" s="253"/>
      <c r="L14" s="253"/>
      <c r="M14" s="253"/>
      <c r="N14" s="253"/>
      <c r="O14" s="253"/>
      <c r="P14" s="253"/>
      <c r="Q14" s="253"/>
      <c r="R14" s="253"/>
      <c r="S14" s="253"/>
      <c r="T14" s="253"/>
      <c r="U14" s="253"/>
      <c r="V14" s="253"/>
      <c r="W14" s="253"/>
      <c r="X14" s="253"/>
      <c r="Y14" s="253"/>
      <c r="Z14" s="253"/>
      <c r="AA14" s="253"/>
      <c r="AB14" s="255">
        <f>50-50</f>
        <v>0</v>
      </c>
      <c r="AC14" s="253"/>
      <c r="AD14" s="253"/>
      <c r="AE14" s="254">
        <f>50-50+10</f>
        <v>10</v>
      </c>
      <c r="AF14" s="253"/>
      <c r="AG14" s="253"/>
      <c r="AH14" s="253"/>
      <c r="AI14" s="253"/>
      <c r="AJ14" s="253"/>
      <c r="AK14" s="253"/>
      <c r="AL14" s="253"/>
      <c r="AM14" s="253"/>
      <c r="AN14" s="253"/>
      <c r="AO14" s="253"/>
      <c r="AP14" s="253"/>
      <c r="AQ14" s="253"/>
      <c r="AR14" s="253"/>
      <c r="AS14" s="253"/>
      <c r="AT14" s="253"/>
      <c r="AU14" s="255">
        <f>50-50</f>
        <v>0</v>
      </c>
      <c r="AV14" s="253"/>
      <c r="AW14" s="253"/>
      <c r="AX14" s="253"/>
      <c r="AY14" s="253"/>
      <c r="AZ14" s="253"/>
      <c r="BA14" s="253"/>
      <c r="BB14" s="253"/>
      <c r="BC14" s="253"/>
      <c r="BD14" s="253"/>
      <c r="BE14" s="253"/>
      <c r="BF14" s="253"/>
      <c r="BG14" s="253"/>
      <c r="BH14" s="255">
        <f>20-20</f>
        <v>0</v>
      </c>
      <c r="BI14" s="253"/>
      <c r="BJ14" s="253"/>
      <c r="BK14" s="253"/>
      <c r="BL14" s="253"/>
      <c r="BM14" s="253"/>
      <c r="BN14" s="253"/>
      <c r="BO14" s="253"/>
      <c r="BP14" s="253"/>
      <c r="BQ14" s="253"/>
      <c r="BR14" s="253"/>
      <c r="BS14" s="253"/>
      <c r="BT14" s="253"/>
      <c r="BU14" s="253"/>
      <c r="BV14" s="253"/>
      <c r="BW14" s="253"/>
      <c r="BX14" s="253"/>
      <c r="BY14" s="253"/>
      <c r="BZ14" s="253"/>
      <c r="CA14" s="253"/>
      <c r="CB14" s="253"/>
      <c r="CC14" s="253"/>
      <c r="CD14" s="253"/>
      <c r="CE14" s="253"/>
      <c r="CF14" s="253"/>
      <c r="CG14" s="253"/>
      <c r="CH14" s="253"/>
      <c r="CI14" s="253"/>
      <c r="CJ14" s="253"/>
      <c r="CK14" s="253"/>
      <c r="CL14" s="253"/>
      <c r="CM14" s="253"/>
      <c r="CN14" s="253"/>
      <c r="CO14" s="253"/>
      <c r="CP14" s="253"/>
      <c r="CQ14" s="253"/>
      <c r="CR14" s="253"/>
      <c r="CS14" s="253"/>
      <c r="CT14" s="253"/>
      <c r="CU14" s="253"/>
      <c r="CV14" s="253"/>
      <c r="CW14" s="253"/>
      <c r="CX14" s="253"/>
      <c r="CY14" s="253"/>
      <c r="CZ14" s="253"/>
      <c r="DA14" s="253"/>
      <c r="DB14" s="253"/>
      <c r="DC14" s="253"/>
      <c r="DD14" s="253"/>
      <c r="DE14" s="253"/>
      <c r="DF14" s="253"/>
      <c r="DG14" s="253"/>
      <c r="DH14" s="253"/>
      <c r="DI14" s="253"/>
      <c r="DJ14" s="253"/>
      <c r="DK14" s="253"/>
      <c r="DL14" s="253"/>
      <c r="DM14" s="253"/>
      <c r="DN14" s="253"/>
      <c r="DO14" s="253"/>
      <c r="DP14" s="253"/>
      <c r="DQ14" s="253"/>
      <c r="DR14" s="253"/>
      <c r="DS14" s="253"/>
      <c r="DT14" s="253"/>
      <c r="DU14" s="253"/>
      <c r="DV14" s="253"/>
      <c r="DW14" s="253"/>
      <c r="DX14" s="253"/>
      <c r="DY14" s="253"/>
      <c r="DZ14" s="253"/>
      <c r="EA14" s="253"/>
      <c r="EB14" s="253"/>
      <c r="EC14" s="253"/>
      <c r="ED14" s="253"/>
      <c r="EE14" s="253"/>
      <c r="EF14" s="253"/>
      <c r="EG14" s="253"/>
      <c r="EH14" s="253"/>
      <c r="EI14" s="253"/>
      <c r="EJ14" s="253"/>
      <c r="EK14" s="253"/>
      <c r="EL14" s="253"/>
      <c r="EM14" s="253"/>
      <c r="EN14" s="253"/>
      <c r="EO14" s="253"/>
      <c r="EP14" s="253"/>
      <c r="EQ14" s="253"/>
      <c r="ER14" s="253"/>
      <c r="ES14" s="253"/>
      <c r="ET14" s="253"/>
      <c r="EU14" s="253"/>
      <c r="EV14" s="253"/>
      <c r="EW14" s="253"/>
      <c r="EX14" s="253"/>
      <c r="EY14" s="253"/>
      <c r="EZ14" s="253"/>
      <c r="FA14" s="253"/>
      <c r="FB14" s="253"/>
      <c r="FC14" s="253"/>
      <c r="FD14" s="253"/>
      <c r="FE14" s="253"/>
      <c r="FF14" s="253"/>
      <c r="FG14" s="253"/>
      <c r="FH14" s="253"/>
      <c r="FI14" s="253"/>
      <c r="FJ14" s="253"/>
      <c r="FK14" s="256"/>
      <c r="FL14" s="257" t="s">
        <v>817</v>
      </c>
      <c r="FM14" s="258" t="s">
        <v>389</v>
      </c>
      <c r="FN14" s="258"/>
      <c r="FO14" s="258" t="s">
        <v>819</v>
      </c>
      <c r="FP14" s="259">
        <f t="shared" si="0"/>
        <v>10</v>
      </c>
      <c r="FQ14" s="260" t="s">
        <v>820</v>
      </c>
      <c r="FR14" s="260"/>
    </row>
    <row r="15" spans="1:174" hidden="1">
      <c r="A15" s="251" t="s">
        <v>393</v>
      </c>
      <c r="B15" s="251" t="s">
        <v>385</v>
      </c>
      <c r="C15" s="251" t="s">
        <v>394</v>
      </c>
      <c r="D15" s="251" t="s">
        <v>1</v>
      </c>
      <c r="E15" s="252" t="s">
        <v>399</v>
      </c>
      <c r="F15" s="251" t="s">
        <v>388</v>
      </c>
      <c r="G15" s="251"/>
      <c r="H15" s="253"/>
      <c r="I15" s="253"/>
      <c r="J15" s="253"/>
      <c r="K15" s="253"/>
      <c r="L15" s="253"/>
      <c r="M15" s="253"/>
      <c r="N15" s="253"/>
      <c r="O15" s="253"/>
      <c r="P15" s="253"/>
      <c r="Q15" s="253"/>
      <c r="R15" s="253"/>
      <c r="S15" s="253"/>
      <c r="T15" s="253"/>
      <c r="U15" s="253"/>
      <c r="V15" s="253"/>
      <c r="W15" s="253"/>
      <c r="X15" s="253"/>
      <c r="Y15" s="255">
        <f t="shared" ref="Y15:AE15" si="1">1500-1500</f>
        <v>0</v>
      </c>
      <c r="Z15" s="255">
        <f t="shared" si="1"/>
        <v>0</v>
      </c>
      <c r="AA15" s="255">
        <f t="shared" si="1"/>
        <v>0</v>
      </c>
      <c r="AB15" s="255">
        <f t="shared" si="1"/>
        <v>0</v>
      </c>
      <c r="AC15" s="255">
        <f t="shared" si="1"/>
        <v>0</v>
      </c>
      <c r="AD15" s="255">
        <f t="shared" si="1"/>
        <v>0</v>
      </c>
      <c r="AE15" s="255">
        <f t="shared" si="1"/>
        <v>0</v>
      </c>
      <c r="AF15" s="253"/>
      <c r="AG15" s="253"/>
      <c r="AH15" s="253"/>
      <c r="AI15" s="253"/>
      <c r="AJ15" s="253"/>
      <c r="AK15" s="253"/>
      <c r="AL15" s="253"/>
      <c r="AM15" s="253"/>
      <c r="AN15" s="253"/>
      <c r="AO15" s="253"/>
      <c r="AP15" s="253"/>
      <c r="AQ15" s="253"/>
      <c r="AR15" s="253"/>
      <c r="AS15" s="253"/>
      <c r="AT15" s="253"/>
      <c r="AU15" s="253"/>
      <c r="AV15" s="253"/>
      <c r="AW15" s="253"/>
      <c r="AX15" s="253"/>
      <c r="AY15" s="253"/>
      <c r="AZ15" s="253"/>
      <c r="BA15" s="253"/>
      <c r="BB15" s="253"/>
      <c r="BC15" s="253"/>
      <c r="BD15" s="253"/>
      <c r="BE15" s="253"/>
      <c r="BF15" s="253"/>
      <c r="BG15" s="253"/>
      <c r="BH15" s="253"/>
      <c r="BI15" s="253"/>
      <c r="BJ15" s="253"/>
      <c r="BK15" s="253"/>
      <c r="BL15" s="253"/>
      <c r="BM15" s="253"/>
      <c r="BN15" s="253"/>
      <c r="BO15" s="253"/>
      <c r="BP15" s="253"/>
      <c r="BQ15" s="253"/>
      <c r="BR15" s="253"/>
      <c r="BS15" s="253"/>
      <c r="BT15" s="253"/>
      <c r="BU15" s="253"/>
      <c r="BV15" s="253"/>
      <c r="BW15" s="253"/>
      <c r="BX15" s="253"/>
      <c r="BY15" s="253"/>
      <c r="BZ15" s="253"/>
      <c r="CA15" s="253"/>
      <c r="CB15" s="253"/>
      <c r="CC15" s="253"/>
      <c r="CD15" s="253"/>
      <c r="CE15" s="253"/>
      <c r="CF15" s="253"/>
      <c r="CG15" s="253"/>
      <c r="CH15" s="253"/>
      <c r="CI15" s="253"/>
      <c r="CJ15" s="253"/>
      <c r="CK15" s="253"/>
      <c r="CL15" s="253"/>
      <c r="CM15" s="253"/>
      <c r="CN15" s="253"/>
      <c r="CO15" s="253"/>
      <c r="CP15" s="253"/>
      <c r="CQ15" s="253"/>
      <c r="CR15" s="253"/>
      <c r="CS15" s="253"/>
      <c r="CT15" s="253"/>
      <c r="CU15" s="253"/>
      <c r="CV15" s="253"/>
      <c r="CW15" s="253"/>
      <c r="CX15" s="253"/>
      <c r="CY15" s="253"/>
      <c r="CZ15" s="253"/>
      <c r="DA15" s="253"/>
      <c r="DB15" s="253"/>
      <c r="DC15" s="253"/>
      <c r="DD15" s="253"/>
      <c r="DE15" s="253"/>
      <c r="DF15" s="253"/>
      <c r="DG15" s="253"/>
      <c r="DH15" s="253"/>
      <c r="DI15" s="253"/>
      <c r="DJ15" s="253"/>
      <c r="DK15" s="253"/>
      <c r="DL15" s="253"/>
      <c r="DM15" s="253"/>
      <c r="DN15" s="253"/>
      <c r="DO15" s="253"/>
      <c r="DP15" s="253"/>
      <c r="DQ15" s="253"/>
      <c r="DR15" s="253"/>
      <c r="DS15" s="253"/>
      <c r="DT15" s="253"/>
      <c r="DU15" s="253"/>
      <c r="DV15" s="253"/>
      <c r="DW15" s="253"/>
      <c r="DX15" s="253"/>
      <c r="DY15" s="253"/>
      <c r="DZ15" s="253"/>
      <c r="EA15" s="253"/>
      <c r="EB15" s="253"/>
      <c r="EC15" s="253"/>
      <c r="ED15" s="253"/>
      <c r="EE15" s="253"/>
      <c r="EF15" s="253"/>
      <c r="EG15" s="253"/>
      <c r="EH15" s="253"/>
      <c r="EI15" s="253"/>
      <c r="EJ15" s="253"/>
      <c r="EK15" s="253"/>
      <c r="EL15" s="253"/>
      <c r="EM15" s="253"/>
      <c r="EN15" s="253"/>
      <c r="EO15" s="253"/>
      <c r="EP15" s="253"/>
      <c r="EQ15" s="253"/>
      <c r="ER15" s="253"/>
      <c r="ES15" s="253"/>
      <c r="ET15" s="253"/>
      <c r="EU15" s="253"/>
      <c r="EV15" s="253"/>
      <c r="EW15" s="253"/>
      <c r="EX15" s="253"/>
      <c r="EY15" s="253"/>
      <c r="EZ15" s="253"/>
      <c r="FA15" s="253"/>
      <c r="FB15" s="253"/>
      <c r="FC15" s="253"/>
      <c r="FD15" s="253"/>
      <c r="FE15" s="253"/>
      <c r="FF15" s="253"/>
      <c r="FG15" s="253"/>
      <c r="FH15" s="253"/>
      <c r="FI15" s="253"/>
      <c r="FJ15" s="253"/>
      <c r="FK15" s="256"/>
      <c r="FL15" s="257" t="s">
        <v>817</v>
      </c>
      <c r="FM15" s="258" t="s">
        <v>389</v>
      </c>
      <c r="FN15" s="258" t="s">
        <v>400</v>
      </c>
      <c r="FO15" s="258" t="s">
        <v>397</v>
      </c>
      <c r="FP15" s="259">
        <f t="shared" si="0"/>
        <v>0</v>
      </c>
      <c r="FQ15" s="260" t="s">
        <v>398</v>
      </c>
      <c r="FR15" s="260"/>
    </row>
    <row r="16" spans="1:174" hidden="1">
      <c r="A16" s="251" t="s">
        <v>393</v>
      </c>
      <c r="B16" s="251" t="s">
        <v>385</v>
      </c>
      <c r="C16" s="251" t="s">
        <v>394</v>
      </c>
      <c r="D16" s="251" t="s">
        <v>291</v>
      </c>
      <c r="E16" s="252" t="s">
        <v>401</v>
      </c>
      <c r="F16" s="251" t="s">
        <v>388</v>
      </c>
      <c r="G16" s="251"/>
      <c r="H16" s="253"/>
      <c r="I16" s="253"/>
      <c r="J16" s="253"/>
      <c r="K16" s="253"/>
      <c r="L16" s="253"/>
      <c r="M16" s="253"/>
      <c r="N16" s="253"/>
      <c r="O16" s="253"/>
      <c r="P16" s="253"/>
      <c r="Q16" s="255">
        <f>100-100</f>
        <v>0</v>
      </c>
      <c r="R16" s="253"/>
      <c r="S16" s="253"/>
      <c r="T16" s="255">
        <f>100-100</f>
        <v>0</v>
      </c>
      <c r="U16" s="253"/>
      <c r="V16" s="253"/>
      <c r="W16" s="253"/>
      <c r="X16" s="253"/>
      <c r="Y16" s="253"/>
      <c r="Z16" s="253"/>
      <c r="AA16" s="253"/>
      <c r="AB16" s="253"/>
      <c r="AC16" s="253"/>
      <c r="AD16" s="253"/>
      <c r="AE16" s="253"/>
      <c r="AF16" s="253"/>
      <c r="AG16" s="255">
        <f>100-100</f>
        <v>0</v>
      </c>
      <c r="AH16" s="253"/>
      <c r="AI16" s="253"/>
      <c r="AJ16" s="253"/>
      <c r="AK16" s="253"/>
      <c r="AL16" s="253"/>
      <c r="AM16" s="253"/>
      <c r="AN16" s="253"/>
      <c r="AO16" s="253"/>
      <c r="AP16" s="253"/>
      <c r="AQ16" s="255">
        <f>100-100</f>
        <v>0</v>
      </c>
      <c r="AR16" s="255">
        <f>100-100</f>
        <v>0</v>
      </c>
      <c r="AS16" s="253"/>
      <c r="AT16" s="253"/>
      <c r="AU16" s="253"/>
      <c r="AV16" s="253"/>
      <c r="AW16" s="253"/>
      <c r="AX16" s="253"/>
      <c r="AY16" s="253"/>
      <c r="AZ16" s="253"/>
      <c r="BA16" s="253"/>
      <c r="BB16" s="253"/>
      <c r="BC16" s="253"/>
      <c r="BD16" s="253"/>
      <c r="BE16" s="253"/>
      <c r="BF16" s="255">
        <f>100-100</f>
        <v>0</v>
      </c>
      <c r="BG16" s="253"/>
      <c r="BH16" s="253"/>
      <c r="BI16" s="253"/>
      <c r="BJ16" s="253"/>
      <c r="BK16" s="253"/>
      <c r="BL16" s="253"/>
      <c r="BM16" s="253"/>
      <c r="BN16" s="253"/>
      <c r="BO16" s="253"/>
      <c r="BP16" s="253"/>
      <c r="BQ16" s="253"/>
      <c r="BR16" s="253"/>
      <c r="BS16" s="253"/>
      <c r="BT16" s="253"/>
      <c r="BU16" s="253"/>
      <c r="BV16" s="253"/>
      <c r="BW16" s="253"/>
      <c r="BX16" s="253"/>
      <c r="BY16" s="253"/>
      <c r="BZ16" s="253"/>
      <c r="CA16" s="253"/>
      <c r="CB16" s="253"/>
      <c r="CC16" s="253"/>
      <c r="CD16" s="253"/>
      <c r="CE16" s="253"/>
      <c r="CF16" s="253"/>
      <c r="CG16" s="253"/>
      <c r="CH16" s="253"/>
      <c r="CI16" s="253"/>
      <c r="CJ16" s="253"/>
      <c r="CK16" s="253"/>
      <c r="CL16" s="253"/>
      <c r="CM16" s="253"/>
      <c r="CN16" s="253"/>
      <c r="CO16" s="253"/>
      <c r="CP16" s="253"/>
      <c r="CQ16" s="253"/>
      <c r="CR16" s="253"/>
      <c r="CS16" s="253"/>
      <c r="CT16" s="253"/>
      <c r="CU16" s="253"/>
      <c r="CV16" s="253"/>
      <c r="CW16" s="253"/>
      <c r="CX16" s="253"/>
      <c r="CY16" s="253"/>
      <c r="CZ16" s="253"/>
      <c r="DA16" s="253"/>
      <c r="DB16" s="253"/>
      <c r="DC16" s="253"/>
      <c r="DD16" s="253"/>
      <c r="DE16" s="253"/>
      <c r="DF16" s="253"/>
      <c r="DG16" s="253"/>
      <c r="DH16" s="253"/>
      <c r="DI16" s="253"/>
      <c r="DJ16" s="253"/>
      <c r="DK16" s="253"/>
      <c r="DL16" s="253"/>
      <c r="DM16" s="253"/>
      <c r="DN16" s="253"/>
      <c r="DO16" s="253"/>
      <c r="DP16" s="253"/>
      <c r="DQ16" s="253"/>
      <c r="DR16" s="253"/>
      <c r="DS16" s="253"/>
      <c r="DT16" s="253"/>
      <c r="DU16" s="253"/>
      <c r="DV16" s="253"/>
      <c r="DW16" s="253"/>
      <c r="DX16" s="253"/>
      <c r="DY16" s="253"/>
      <c r="DZ16" s="253"/>
      <c r="EA16" s="253"/>
      <c r="EB16" s="253"/>
      <c r="EC16" s="253"/>
      <c r="ED16" s="253"/>
      <c r="EE16" s="253"/>
      <c r="EF16" s="253"/>
      <c r="EG16" s="253"/>
      <c r="EH16" s="253"/>
      <c r="EI16" s="253"/>
      <c r="EJ16" s="253"/>
      <c r="EK16" s="253"/>
      <c r="EL16" s="253"/>
      <c r="EM16" s="253"/>
      <c r="EN16" s="253"/>
      <c r="EO16" s="253"/>
      <c r="EP16" s="253"/>
      <c r="EQ16" s="253"/>
      <c r="ER16" s="253"/>
      <c r="ES16" s="253"/>
      <c r="ET16" s="253"/>
      <c r="EU16" s="253"/>
      <c r="EV16" s="253"/>
      <c r="EW16" s="253"/>
      <c r="EX16" s="253"/>
      <c r="EY16" s="253"/>
      <c r="EZ16" s="253"/>
      <c r="FA16" s="253"/>
      <c r="FB16" s="253"/>
      <c r="FC16" s="253"/>
      <c r="FD16" s="253"/>
      <c r="FE16" s="253"/>
      <c r="FF16" s="253"/>
      <c r="FG16" s="253"/>
      <c r="FH16" s="253"/>
      <c r="FI16" s="253"/>
      <c r="FJ16" s="253"/>
      <c r="FK16" s="256"/>
      <c r="FL16" s="257" t="s">
        <v>817</v>
      </c>
      <c r="FM16" s="258" t="s">
        <v>389</v>
      </c>
      <c r="FN16" s="258"/>
      <c r="FO16" s="258" t="s">
        <v>402</v>
      </c>
      <c r="FP16" s="259">
        <f t="shared" si="0"/>
        <v>0</v>
      </c>
      <c r="FQ16" s="260" t="s">
        <v>403</v>
      </c>
      <c r="FR16" s="260"/>
    </row>
    <row r="17" spans="1:174" hidden="1">
      <c r="A17" s="251" t="s">
        <v>393</v>
      </c>
      <c r="B17" s="251" t="s">
        <v>385</v>
      </c>
      <c r="C17" s="251" t="s">
        <v>394</v>
      </c>
      <c r="D17" s="251" t="s">
        <v>1</v>
      </c>
      <c r="E17" s="252" t="s">
        <v>401</v>
      </c>
      <c r="F17" s="251" t="s">
        <v>388</v>
      </c>
      <c r="G17" s="251"/>
      <c r="H17" s="253"/>
      <c r="I17" s="253"/>
      <c r="J17" s="253"/>
      <c r="K17" s="253"/>
      <c r="L17" s="253"/>
      <c r="M17" s="253"/>
      <c r="N17" s="253"/>
      <c r="O17" s="253"/>
      <c r="P17" s="253"/>
      <c r="Q17" s="253"/>
      <c r="R17" s="253"/>
      <c r="S17" s="255">
        <f>100-100</f>
        <v>0</v>
      </c>
      <c r="T17" s="253"/>
      <c r="U17" s="255">
        <f>100-100</f>
        <v>0</v>
      </c>
      <c r="V17" s="255">
        <f>100-100</f>
        <v>0</v>
      </c>
      <c r="W17" s="253"/>
      <c r="X17" s="253"/>
      <c r="Y17" s="255">
        <f t="shared" ref="Y17:AF17" si="2">100-100</f>
        <v>0</v>
      </c>
      <c r="Z17" s="255">
        <f t="shared" si="2"/>
        <v>0</v>
      </c>
      <c r="AA17" s="255">
        <f t="shared" si="2"/>
        <v>0</v>
      </c>
      <c r="AB17" s="255">
        <f t="shared" si="2"/>
        <v>0</v>
      </c>
      <c r="AC17" s="255">
        <f t="shared" si="2"/>
        <v>0</v>
      </c>
      <c r="AD17" s="255">
        <f t="shared" si="2"/>
        <v>0</v>
      </c>
      <c r="AE17" s="254">
        <f>100-100+10</f>
        <v>10</v>
      </c>
      <c r="AF17" s="255">
        <f t="shared" si="2"/>
        <v>0</v>
      </c>
      <c r="AG17" s="253"/>
      <c r="AH17" s="253"/>
      <c r="AI17" s="255">
        <f>100-100</f>
        <v>0</v>
      </c>
      <c r="AJ17" s="253"/>
      <c r="AK17" s="253"/>
      <c r="AL17" s="253"/>
      <c r="AM17" s="255">
        <f>100-100</f>
        <v>0</v>
      </c>
      <c r="AN17" s="253"/>
      <c r="AO17" s="253"/>
      <c r="AP17" s="253"/>
      <c r="AQ17" s="253"/>
      <c r="AR17" s="253"/>
      <c r="AS17" s="253"/>
      <c r="AT17" s="253"/>
      <c r="AU17" s="255">
        <f>100-100</f>
        <v>0</v>
      </c>
      <c r="AV17" s="253"/>
      <c r="AW17" s="253"/>
      <c r="AX17" s="253"/>
      <c r="AY17" s="253"/>
      <c r="AZ17" s="253"/>
      <c r="BA17" s="253"/>
      <c r="BB17" s="255">
        <f>100-100</f>
        <v>0</v>
      </c>
      <c r="BC17" s="253"/>
      <c r="BD17" s="253"/>
      <c r="BE17" s="253"/>
      <c r="BF17" s="253"/>
      <c r="BG17" s="255">
        <f>100-100</f>
        <v>0</v>
      </c>
      <c r="BH17" s="255">
        <f>100-100</f>
        <v>0</v>
      </c>
      <c r="BI17" s="253"/>
      <c r="BJ17" s="253"/>
      <c r="BK17" s="253"/>
      <c r="BL17" s="253"/>
      <c r="BM17" s="253"/>
      <c r="BN17" s="253"/>
      <c r="BO17" s="253"/>
      <c r="BP17" s="253"/>
      <c r="BQ17" s="253"/>
      <c r="BR17" s="253"/>
      <c r="BS17" s="253"/>
      <c r="BT17" s="253"/>
      <c r="BU17" s="253"/>
      <c r="BV17" s="253"/>
      <c r="BW17" s="253"/>
      <c r="BX17" s="253"/>
      <c r="BY17" s="253"/>
      <c r="BZ17" s="253"/>
      <c r="CA17" s="253"/>
      <c r="CB17" s="253"/>
      <c r="CC17" s="253"/>
      <c r="CD17" s="253"/>
      <c r="CE17" s="253"/>
      <c r="CF17" s="253"/>
      <c r="CG17" s="253"/>
      <c r="CH17" s="253"/>
      <c r="CI17" s="253"/>
      <c r="CJ17" s="253"/>
      <c r="CK17" s="253"/>
      <c r="CL17" s="253"/>
      <c r="CM17" s="253"/>
      <c r="CN17" s="253"/>
      <c r="CO17" s="253"/>
      <c r="CP17" s="253"/>
      <c r="CQ17" s="253"/>
      <c r="CR17" s="253"/>
      <c r="CS17" s="253"/>
      <c r="CT17" s="253"/>
      <c r="CU17" s="253"/>
      <c r="CV17" s="253"/>
      <c r="CW17" s="253"/>
      <c r="CX17" s="253"/>
      <c r="CY17" s="253"/>
      <c r="CZ17" s="253"/>
      <c r="DA17" s="253"/>
      <c r="DB17" s="253"/>
      <c r="DC17" s="253"/>
      <c r="DD17" s="253"/>
      <c r="DE17" s="253"/>
      <c r="DF17" s="253"/>
      <c r="DG17" s="253"/>
      <c r="DH17" s="253"/>
      <c r="DI17" s="253"/>
      <c r="DJ17" s="253"/>
      <c r="DK17" s="253"/>
      <c r="DL17" s="253"/>
      <c r="DM17" s="253"/>
      <c r="DN17" s="253"/>
      <c r="DO17" s="253"/>
      <c r="DP17" s="253"/>
      <c r="DQ17" s="253"/>
      <c r="DR17" s="253"/>
      <c r="DS17" s="253"/>
      <c r="DT17" s="253"/>
      <c r="DU17" s="253"/>
      <c r="DV17" s="253"/>
      <c r="DW17" s="253"/>
      <c r="DX17" s="253"/>
      <c r="DY17" s="253"/>
      <c r="DZ17" s="253"/>
      <c r="EA17" s="253"/>
      <c r="EB17" s="255">
        <f t="shared" ref="EB17:EO17" si="3">50-50</f>
        <v>0</v>
      </c>
      <c r="EC17" s="255">
        <f t="shared" si="3"/>
        <v>0</v>
      </c>
      <c r="ED17" s="255">
        <f t="shared" si="3"/>
        <v>0</v>
      </c>
      <c r="EE17" s="255">
        <f t="shared" si="3"/>
        <v>0</v>
      </c>
      <c r="EF17" s="255">
        <f t="shared" si="3"/>
        <v>0</v>
      </c>
      <c r="EG17" s="255">
        <f t="shared" si="3"/>
        <v>0</v>
      </c>
      <c r="EH17" s="255">
        <f t="shared" si="3"/>
        <v>0</v>
      </c>
      <c r="EI17" s="255">
        <f t="shared" si="3"/>
        <v>0</v>
      </c>
      <c r="EJ17" s="255">
        <f t="shared" si="3"/>
        <v>0</v>
      </c>
      <c r="EK17" s="255">
        <f t="shared" si="3"/>
        <v>0</v>
      </c>
      <c r="EL17" s="255">
        <f t="shared" si="3"/>
        <v>0</v>
      </c>
      <c r="EM17" s="255">
        <f t="shared" si="3"/>
        <v>0</v>
      </c>
      <c r="EN17" s="255">
        <f t="shared" si="3"/>
        <v>0</v>
      </c>
      <c r="EO17" s="255">
        <f t="shared" si="3"/>
        <v>0</v>
      </c>
      <c r="EP17" s="253"/>
      <c r="EQ17" s="253"/>
      <c r="ER17" s="253"/>
      <c r="ES17" s="253"/>
      <c r="ET17" s="253"/>
      <c r="EU17" s="253"/>
      <c r="EV17" s="255">
        <f>50-50</f>
        <v>0</v>
      </c>
      <c r="EW17" s="253"/>
      <c r="EX17" s="255">
        <f>50-50</f>
        <v>0</v>
      </c>
      <c r="EY17" s="255">
        <f>50-50</f>
        <v>0</v>
      </c>
      <c r="EZ17" s="255">
        <f>50-50</f>
        <v>0</v>
      </c>
      <c r="FA17" s="253"/>
      <c r="FB17" s="255">
        <f>50-50</f>
        <v>0</v>
      </c>
      <c r="FC17" s="253"/>
      <c r="FD17" s="253"/>
      <c r="FE17" s="253"/>
      <c r="FF17" s="255">
        <f>50-50</f>
        <v>0</v>
      </c>
      <c r="FG17" s="253"/>
      <c r="FH17" s="253"/>
      <c r="FI17" s="253"/>
      <c r="FJ17" s="253"/>
      <c r="FK17" s="256"/>
      <c r="FL17" s="257" t="s">
        <v>817</v>
      </c>
      <c r="FM17" s="258" t="s">
        <v>389</v>
      </c>
      <c r="FN17" s="258"/>
      <c r="FO17" s="258" t="s">
        <v>402</v>
      </c>
      <c r="FP17" s="259">
        <f t="shared" si="0"/>
        <v>10</v>
      </c>
      <c r="FQ17" s="260" t="s">
        <v>403</v>
      </c>
      <c r="FR17" s="260"/>
    </row>
    <row r="18" spans="1:174" hidden="1">
      <c r="A18" s="251" t="s">
        <v>393</v>
      </c>
      <c r="B18" s="251" t="s">
        <v>385</v>
      </c>
      <c r="C18" s="251" t="s">
        <v>394</v>
      </c>
      <c r="D18" s="251" t="s">
        <v>293</v>
      </c>
      <c r="E18" s="252" t="s">
        <v>401</v>
      </c>
      <c r="F18" s="251" t="s">
        <v>388</v>
      </c>
      <c r="G18" s="251"/>
      <c r="H18" s="253"/>
      <c r="I18" s="253"/>
      <c r="J18" s="253"/>
      <c r="K18" s="253"/>
      <c r="L18" s="253"/>
      <c r="M18" s="253"/>
      <c r="N18" s="253"/>
      <c r="O18" s="253"/>
      <c r="P18" s="253"/>
      <c r="Q18" s="253"/>
      <c r="R18" s="253"/>
      <c r="S18" s="253"/>
      <c r="T18" s="253"/>
      <c r="U18" s="253"/>
      <c r="V18" s="253"/>
      <c r="W18" s="253"/>
      <c r="X18" s="253"/>
      <c r="Y18" s="253"/>
      <c r="Z18" s="253"/>
      <c r="AA18" s="253"/>
      <c r="AB18" s="253"/>
      <c r="AC18" s="253"/>
      <c r="AD18" s="253"/>
      <c r="AE18" s="253"/>
      <c r="AF18" s="253"/>
      <c r="AG18" s="253"/>
      <c r="AH18" s="253"/>
      <c r="AI18" s="253"/>
      <c r="AJ18" s="253"/>
      <c r="AK18" s="253"/>
      <c r="AL18" s="253"/>
      <c r="AM18" s="253"/>
      <c r="AN18" s="253"/>
      <c r="AO18" s="253"/>
      <c r="AP18" s="253"/>
      <c r="AQ18" s="253"/>
      <c r="AR18" s="253"/>
      <c r="AS18" s="253"/>
      <c r="AT18" s="253"/>
      <c r="AU18" s="253"/>
      <c r="AV18" s="253"/>
      <c r="AW18" s="253"/>
      <c r="AX18" s="253"/>
      <c r="AY18" s="253"/>
      <c r="AZ18" s="253"/>
      <c r="BA18" s="253"/>
      <c r="BB18" s="253"/>
      <c r="BC18" s="253"/>
      <c r="BD18" s="253"/>
      <c r="BE18" s="253"/>
      <c r="BF18" s="253"/>
      <c r="BG18" s="253"/>
      <c r="BH18" s="253"/>
      <c r="BI18" s="253"/>
      <c r="BJ18" s="253"/>
      <c r="BK18" s="253"/>
      <c r="BL18" s="253"/>
      <c r="BM18" s="253"/>
      <c r="BN18" s="253"/>
      <c r="BO18" s="253"/>
      <c r="BP18" s="253"/>
      <c r="BQ18" s="253"/>
      <c r="BR18" s="253"/>
      <c r="BS18" s="253"/>
      <c r="BT18" s="253"/>
      <c r="BU18" s="253"/>
      <c r="BV18" s="253"/>
      <c r="BW18" s="253"/>
      <c r="BX18" s="253"/>
      <c r="BY18" s="253"/>
      <c r="BZ18" s="253"/>
      <c r="CA18" s="253"/>
      <c r="CB18" s="253"/>
      <c r="CC18" s="253"/>
      <c r="CD18" s="253"/>
      <c r="CE18" s="253"/>
      <c r="CF18" s="253"/>
      <c r="CG18" s="253"/>
      <c r="CH18" s="253"/>
      <c r="CI18" s="253"/>
      <c r="CJ18" s="253"/>
      <c r="CK18" s="253"/>
      <c r="CL18" s="253"/>
      <c r="CM18" s="253"/>
      <c r="CN18" s="253"/>
      <c r="CO18" s="253"/>
      <c r="CP18" s="253"/>
      <c r="CQ18" s="253"/>
      <c r="CR18" s="253"/>
      <c r="CS18" s="253"/>
      <c r="CT18" s="253"/>
      <c r="CU18" s="253"/>
      <c r="CV18" s="253"/>
      <c r="CW18" s="253"/>
      <c r="CX18" s="253"/>
      <c r="CY18" s="253"/>
      <c r="CZ18" s="253"/>
      <c r="DA18" s="253"/>
      <c r="DB18" s="253"/>
      <c r="DC18" s="253"/>
      <c r="DD18" s="253"/>
      <c r="DE18" s="253"/>
      <c r="DF18" s="253"/>
      <c r="DG18" s="253"/>
      <c r="DH18" s="253"/>
      <c r="DI18" s="253"/>
      <c r="DJ18" s="253"/>
      <c r="DK18" s="253"/>
      <c r="DL18" s="253"/>
      <c r="DM18" s="253"/>
      <c r="DN18" s="253"/>
      <c r="DO18" s="253"/>
      <c r="DP18" s="253"/>
      <c r="DQ18" s="253"/>
      <c r="DR18" s="253"/>
      <c r="DS18" s="253"/>
      <c r="DT18" s="253"/>
      <c r="DU18" s="253"/>
      <c r="DV18" s="253"/>
      <c r="DW18" s="253"/>
      <c r="DX18" s="253"/>
      <c r="DY18" s="253"/>
      <c r="DZ18" s="253"/>
      <c r="EA18" s="253"/>
      <c r="EB18" s="253"/>
      <c r="EC18" s="253"/>
      <c r="ED18" s="253"/>
      <c r="EE18" s="253"/>
      <c r="EF18" s="253"/>
      <c r="EG18" s="253"/>
      <c r="EH18" s="253"/>
      <c r="EI18" s="253"/>
      <c r="EJ18" s="253"/>
      <c r="EK18" s="253"/>
      <c r="EL18" s="253"/>
      <c r="EM18" s="253"/>
      <c r="EN18" s="253"/>
      <c r="EO18" s="253"/>
      <c r="EP18" s="253"/>
      <c r="EQ18" s="253"/>
      <c r="ER18" s="253"/>
      <c r="ES18" s="253"/>
      <c r="ET18" s="253"/>
      <c r="EU18" s="253"/>
      <c r="EV18" s="253"/>
      <c r="EW18" s="255">
        <f>50-50</f>
        <v>0</v>
      </c>
      <c r="EX18" s="253"/>
      <c r="EY18" s="253"/>
      <c r="EZ18" s="253"/>
      <c r="FA18" s="255">
        <f>50-50</f>
        <v>0</v>
      </c>
      <c r="FB18" s="253"/>
      <c r="FC18" s="253"/>
      <c r="FD18" s="253"/>
      <c r="FE18" s="255">
        <f>50-50</f>
        <v>0</v>
      </c>
      <c r="FF18" s="253"/>
      <c r="FG18" s="253"/>
      <c r="FH18" s="253"/>
      <c r="FI18" s="253"/>
      <c r="FJ18" s="253"/>
      <c r="FK18" s="256"/>
      <c r="FL18" s="257" t="s">
        <v>817</v>
      </c>
      <c r="FM18" s="258" t="s">
        <v>389</v>
      </c>
      <c r="FN18" s="258"/>
      <c r="FO18" s="258" t="s">
        <v>402</v>
      </c>
      <c r="FP18" s="259">
        <f t="shared" si="0"/>
        <v>0</v>
      </c>
      <c r="FQ18" s="260" t="s">
        <v>403</v>
      </c>
      <c r="FR18" s="260"/>
    </row>
    <row r="19" spans="1:174" hidden="1">
      <c r="A19" s="251" t="s">
        <v>393</v>
      </c>
      <c r="B19" s="251" t="s">
        <v>385</v>
      </c>
      <c r="C19" s="251" t="s">
        <v>394</v>
      </c>
      <c r="D19" s="251" t="s">
        <v>291</v>
      </c>
      <c r="E19" s="252" t="s">
        <v>821</v>
      </c>
      <c r="F19" s="251" t="s">
        <v>388</v>
      </c>
      <c r="G19" s="251"/>
      <c r="H19" s="253"/>
      <c r="I19" s="253"/>
      <c r="J19" s="253"/>
      <c r="K19" s="253"/>
      <c r="L19" s="253"/>
      <c r="M19" s="253"/>
      <c r="N19" s="253"/>
      <c r="O19" s="253"/>
      <c r="P19" s="253"/>
      <c r="Q19" s="253"/>
      <c r="R19" s="253"/>
      <c r="S19" s="253"/>
      <c r="T19" s="253"/>
      <c r="U19" s="253"/>
      <c r="V19" s="253"/>
      <c r="W19" s="253"/>
      <c r="X19" s="253"/>
      <c r="Y19" s="253"/>
      <c r="Z19" s="253"/>
      <c r="AA19" s="253"/>
      <c r="AB19" s="253"/>
      <c r="AC19" s="253"/>
      <c r="AD19" s="253"/>
      <c r="AE19" s="253"/>
      <c r="AF19" s="253"/>
      <c r="AG19" s="253"/>
      <c r="AH19" s="255">
        <f>50-50</f>
        <v>0</v>
      </c>
      <c r="AI19" s="253"/>
      <c r="AJ19" s="253"/>
      <c r="AK19" s="253"/>
      <c r="AL19" s="253"/>
      <c r="AM19" s="253"/>
      <c r="AN19" s="253"/>
      <c r="AO19" s="253"/>
      <c r="AP19" s="253"/>
      <c r="AQ19" s="253"/>
      <c r="AR19" s="253"/>
      <c r="AS19" s="253"/>
      <c r="AT19" s="253"/>
      <c r="AU19" s="253"/>
      <c r="AV19" s="253"/>
      <c r="AW19" s="253"/>
      <c r="AX19" s="253"/>
      <c r="AY19" s="253"/>
      <c r="AZ19" s="253"/>
      <c r="BA19" s="253"/>
      <c r="BB19" s="253"/>
      <c r="BC19" s="253"/>
      <c r="BD19" s="253"/>
      <c r="BE19" s="253"/>
      <c r="BF19" s="255">
        <f>50-50</f>
        <v>0</v>
      </c>
      <c r="BG19" s="253"/>
      <c r="BH19" s="253"/>
      <c r="BI19" s="253"/>
      <c r="BJ19" s="253"/>
      <c r="BK19" s="253"/>
      <c r="BL19" s="253"/>
      <c r="BM19" s="253"/>
      <c r="BN19" s="253"/>
      <c r="BO19" s="253"/>
      <c r="BP19" s="253"/>
      <c r="BQ19" s="253"/>
      <c r="BR19" s="253"/>
      <c r="BS19" s="253"/>
      <c r="BT19" s="253"/>
      <c r="BU19" s="253"/>
      <c r="BV19" s="253"/>
      <c r="BW19" s="253"/>
      <c r="BX19" s="253"/>
      <c r="BY19" s="253"/>
      <c r="BZ19" s="253"/>
      <c r="CA19" s="253"/>
      <c r="CB19" s="253"/>
      <c r="CC19" s="253"/>
      <c r="CD19" s="253"/>
      <c r="CE19" s="253"/>
      <c r="CF19" s="253"/>
      <c r="CG19" s="253"/>
      <c r="CH19" s="253"/>
      <c r="CI19" s="253"/>
      <c r="CJ19" s="253"/>
      <c r="CK19" s="253"/>
      <c r="CL19" s="253"/>
      <c r="CM19" s="253"/>
      <c r="CN19" s="253"/>
      <c r="CO19" s="253"/>
      <c r="CP19" s="253"/>
      <c r="CQ19" s="253"/>
      <c r="CR19" s="253"/>
      <c r="CS19" s="253"/>
      <c r="CT19" s="253"/>
      <c r="CU19" s="253"/>
      <c r="CV19" s="253"/>
      <c r="CW19" s="253"/>
      <c r="CX19" s="253"/>
      <c r="CY19" s="253"/>
      <c r="CZ19" s="253"/>
      <c r="DA19" s="253"/>
      <c r="DB19" s="253"/>
      <c r="DC19" s="253"/>
      <c r="DD19" s="253"/>
      <c r="DE19" s="253"/>
      <c r="DF19" s="253"/>
      <c r="DG19" s="253"/>
      <c r="DH19" s="253"/>
      <c r="DI19" s="253"/>
      <c r="DJ19" s="253"/>
      <c r="DK19" s="253"/>
      <c r="DL19" s="253"/>
      <c r="DM19" s="253"/>
      <c r="DN19" s="253"/>
      <c r="DO19" s="253"/>
      <c r="DP19" s="253"/>
      <c r="DQ19" s="253"/>
      <c r="DR19" s="253"/>
      <c r="DS19" s="253"/>
      <c r="DT19" s="253"/>
      <c r="DU19" s="253"/>
      <c r="DV19" s="253"/>
      <c r="DW19" s="253"/>
      <c r="DX19" s="253"/>
      <c r="DY19" s="253"/>
      <c r="DZ19" s="253"/>
      <c r="EA19" s="253"/>
      <c r="EB19" s="253"/>
      <c r="EC19" s="253"/>
      <c r="ED19" s="253"/>
      <c r="EE19" s="253"/>
      <c r="EF19" s="253"/>
      <c r="EG19" s="253"/>
      <c r="EH19" s="253"/>
      <c r="EI19" s="253"/>
      <c r="EJ19" s="253"/>
      <c r="EK19" s="253"/>
      <c r="EL19" s="253"/>
      <c r="EM19" s="253"/>
      <c r="EN19" s="253"/>
      <c r="EO19" s="253"/>
      <c r="EP19" s="253"/>
      <c r="EQ19" s="253"/>
      <c r="ER19" s="253"/>
      <c r="ES19" s="253"/>
      <c r="ET19" s="253"/>
      <c r="EU19" s="253"/>
      <c r="EV19" s="253"/>
      <c r="EW19" s="253"/>
      <c r="EX19" s="253"/>
      <c r="EY19" s="253"/>
      <c r="EZ19" s="253"/>
      <c r="FA19" s="253"/>
      <c r="FB19" s="253"/>
      <c r="FC19" s="253"/>
      <c r="FD19" s="253"/>
      <c r="FE19" s="253"/>
      <c r="FF19" s="253"/>
      <c r="FG19" s="253"/>
      <c r="FH19" s="253"/>
      <c r="FI19" s="253"/>
      <c r="FJ19" s="253"/>
      <c r="FK19" s="256"/>
      <c r="FL19" s="257" t="s">
        <v>817</v>
      </c>
      <c r="FM19" s="258" t="s">
        <v>389</v>
      </c>
      <c r="FN19" s="258"/>
      <c r="FO19" s="258" t="s">
        <v>822</v>
      </c>
      <c r="FP19" s="259">
        <f t="shared" si="0"/>
        <v>0</v>
      </c>
      <c r="FQ19" s="260" t="s">
        <v>820</v>
      </c>
      <c r="FR19" s="260"/>
    </row>
    <row r="20" spans="1:174" hidden="1">
      <c r="A20" s="251" t="s">
        <v>393</v>
      </c>
      <c r="B20" s="251" t="s">
        <v>385</v>
      </c>
      <c r="C20" s="251" t="s">
        <v>394</v>
      </c>
      <c r="D20" s="251" t="s">
        <v>1</v>
      </c>
      <c r="E20" s="252" t="s">
        <v>821</v>
      </c>
      <c r="F20" s="251" t="s">
        <v>388</v>
      </c>
      <c r="G20" s="251"/>
      <c r="H20" s="253"/>
      <c r="I20" s="253"/>
      <c r="J20" s="253"/>
      <c r="K20" s="253"/>
      <c r="L20" s="253"/>
      <c r="M20" s="253"/>
      <c r="N20" s="253"/>
      <c r="O20" s="253"/>
      <c r="P20" s="253"/>
      <c r="Q20" s="253"/>
      <c r="R20" s="253"/>
      <c r="S20" s="253"/>
      <c r="T20" s="253"/>
      <c r="U20" s="253"/>
      <c r="V20" s="253"/>
      <c r="W20" s="253"/>
      <c r="X20" s="253"/>
      <c r="Y20" s="253"/>
      <c r="Z20" s="253"/>
      <c r="AA20" s="253"/>
      <c r="AB20" s="255">
        <f>200-200</f>
        <v>0</v>
      </c>
      <c r="AC20" s="253"/>
      <c r="AD20" s="253"/>
      <c r="AE20" s="254">
        <f>50-50+10</f>
        <v>10</v>
      </c>
      <c r="AF20" s="253"/>
      <c r="AG20" s="253"/>
      <c r="AH20" s="253"/>
      <c r="AI20" s="253"/>
      <c r="AJ20" s="253"/>
      <c r="AK20" s="253"/>
      <c r="AL20" s="253"/>
      <c r="AM20" s="253"/>
      <c r="AN20" s="253"/>
      <c r="AO20" s="253"/>
      <c r="AP20" s="253"/>
      <c r="AQ20" s="253"/>
      <c r="AR20" s="253"/>
      <c r="AS20" s="253"/>
      <c r="AT20" s="253"/>
      <c r="AU20" s="255">
        <f>100-100</f>
        <v>0</v>
      </c>
      <c r="AV20" s="253"/>
      <c r="AW20" s="253"/>
      <c r="AX20" s="253"/>
      <c r="AY20" s="253"/>
      <c r="AZ20" s="253"/>
      <c r="BA20" s="253"/>
      <c r="BB20" s="253"/>
      <c r="BC20" s="253"/>
      <c r="BD20" s="253"/>
      <c r="BE20" s="253"/>
      <c r="BF20" s="253"/>
      <c r="BG20" s="253"/>
      <c r="BH20" s="255">
        <f>50-50</f>
        <v>0</v>
      </c>
      <c r="BI20" s="253"/>
      <c r="BJ20" s="253"/>
      <c r="BK20" s="253"/>
      <c r="BL20" s="253"/>
      <c r="BM20" s="253"/>
      <c r="BN20" s="253"/>
      <c r="BO20" s="253"/>
      <c r="BP20" s="253"/>
      <c r="BQ20" s="253"/>
      <c r="BR20" s="253"/>
      <c r="BS20" s="253"/>
      <c r="BT20" s="253"/>
      <c r="BU20" s="253"/>
      <c r="BV20" s="253"/>
      <c r="BW20" s="253"/>
      <c r="BX20" s="253"/>
      <c r="BY20" s="253"/>
      <c r="BZ20" s="253"/>
      <c r="CA20" s="253"/>
      <c r="CB20" s="253"/>
      <c r="CC20" s="253"/>
      <c r="CD20" s="253"/>
      <c r="CE20" s="253"/>
      <c r="CF20" s="253"/>
      <c r="CG20" s="253"/>
      <c r="CH20" s="253"/>
      <c r="CI20" s="253"/>
      <c r="CJ20" s="253"/>
      <c r="CK20" s="253"/>
      <c r="CL20" s="253"/>
      <c r="CM20" s="253"/>
      <c r="CN20" s="253"/>
      <c r="CO20" s="253"/>
      <c r="CP20" s="253"/>
      <c r="CQ20" s="253"/>
      <c r="CR20" s="253"/>
      <c r="CS20" s="253"/>
      <c r="CT20" s="253"/>
      <c r="CU20" s="253"/>
      <c r="CV20" s="253"/>
      <c r="CW20" s="253"/>
      <c r="CX20" s="253"/>
      <c r="CY20" s="253"/>
      <c r="CZ20" s="253"/>
      <c r="DA20" s="253"/>
      <c r="DB20" s="253"/>
      <c r="DC20" s="253"/>
      <c r="DD20" s="253"/>
      <c r="DE20" s="253"/>
      <c r="DF20" s="253"/>
      <c r="DG20" s="253"/>
      <c r="DH20" s="253"/>
      <c r="DI20" s="253"/>
      <c r="DJ20" s="253"/>
      <c r="DK20" s="253"/>
      <c r="DL20" s="253"/>
      <c r="DM20" s="253"/>
      <c r="DN20" s="253"/>
      <c r="DO20" s="253"/>
      <c r="DP20" s="253"/>
      <c r="DQ20" s="253"/>
      <c r="DR20" s="253"/>
      <c r="DS20" s="253"/>
      <c r="DT20" s="253"/>
      <c r="DU20" s="253"/>
      <c r="DV20" s="253"/>
      <c r="DW20" s="253"/>
      <c r="DX20" s="253"/>
      <c r="DY20" s="253"/>
      <c r="DZ20" s="253"/>
      <c r="EA20" s="253"/>
      <c r="EB20" s="253"/>
      <c r="EC20" s="253"/>
      <c r="ED20" s="253"/>
      <c r="EE20" s="253"/>
      <c r="EF20" s="253"/>
      <c r="EG20" s="253"/>
      <c r="EH20" s="253"/>
      <c r="EI20" s="253"/>
      <c r="EJ20" s="253"/>
      <c r="EK20" s="253"/>
      <c r="EL20" s="253"/>
      <c r="EM20" s="253"/>
      <c r="EN20" s="253"/>
      <c r="EO20" s="253"/>
      <c r="EP20" s="253"/>
      <c r="EQ20" s="253"/>
      <c r="ER20" s="253"/>
      <c r="ES20" s="253"/>
      <c r="ET20" s="253"/>
      <c r="EU20" s="253"/>
      <c r="EV20" s="253"/>
      <c r="EW20" s="253"/>
      <c r="EX20" s="253"/>
      <c r="EY20" s="253"/>
      <c r="EZ20" s="253"/>
      <c r="FA20" s="253"/>
      <c r="FB20" s="253"/>
      <c r="FC20" s="253"/>
      <c r="FD20" s="253"/>
      <c r="FE20" s="253"/>
      <c r="FF20" s="253"/>
      <c r="FG20" s="253"/>
      <c r="FH20" s="253"/>
      <c r="FI20" s="253"/>
      <c r="FJ20" s="253"/>
      <c r="FK20" s="256"/>
      <c r="FL20" s="257" t="s">
        <v>817</v>
      </c>
      <c r="FM20" s="258" t="s">
        <v>389</v>
      </c>
      <c r="FN20" s="258"/>
      <c r="FO20" s="258" t="s">
        <v>822</v>
      </c>
      <c r="FP20" s="259">
        <f t="shared" si="0"/>
        <v>10</v>
      </c>
      <c r="FQ20" s="260" t="s">
        <v>820</v>
      </c>
      <c r="FR20" s="260"/>
    </row>
    <row r="21" spans="1:174" hidden="1">
      <c r="A21" s="251" t="s">
        <v>393</v>
      </c>
      <c r="B21" s="251" t="s">
        <v>385</v>
      </c>
      <c r="C21" s="251" t="s">
        <v>394</v>
      </c>
      <c r="D21" s="251" t="s">
        <v>291</v>
      </c>
      <c r="E21" s="252" t="s">
        <v>823</v>
      </c>
      <c r="F21" s="251" t="s">
        <v>388</v>
      </c>
      <c r="G21" s="251"/>
      <c r="H21" s="253"/>
      <c r="I21" s="253"/>
      <c r="J21" s="253"/>
      <c r="K21" s="253"/>
      <c r="L21" s="253"/>
      <c r="M21" s="253"/>
      <c r="N21" s="253"/>
      <c r="O21" s="253"/>
      <c r="P21" s="253"/>
      <c r="Q21" s="253"/>
      <c r="R21" s="253"/>
      <c r="S21" s="253"/>
      <c r="T21" s="253"/>
      <c r="U21" s="253"/>
      <c r="V21" s="253"/>
      <c r="W21" s="253"/>
      <c r="X21" s="253"/>
      <c r="Y21" s="253"/>
      <c r="Z21" s="253"/>
      <c r="AA21" s="253"/>
      <c r="AB21" s="253"/>
      <c r="AC21" s="253"/>
      <c r="AD21" s="253"/>
      <c r="AE21" s="253"/>
      <c r="AF21" s="253"/>
      <c r="AG21" s="253"/>
      <c r="AH21" s="255">
        <f>100-100</f>
        <v>0</v>
      </c>
      <c r="AI21" s="253"/>
      <c r="AJ21" s="253"/>
      <c r="AK21" s="253"/>
      <c r="AL21" s="253"/>
      <c r="AM21" s="253"/>
      <c r="AN21" s="253"/>
      <c r="AO21" s="253"/>
      <c r="AP21" s="253"/>
      <c r="AQ21" s="253"/>
      <c r="AR21" s="253"/>
      <c r="AS21" s="253"/>
      <c r="AT21" s="253"/>
      <c r="AU21" s="253"/>
      <c r="AV21" s="253"/>
      <c r="AW21" s="253"/>
      <c r="AX21" s="253"/>
      <c r="AY21" s="253"/>
      <c r="AZ21" s="253"/>
      <c r="BA21" s="253"/>
      <c r="BB21" s="253"/>
      <c r="BC21" s="253"/>
      <c r="BD21" s="253"/>
      <c r="BE21" s="253"/>
      <c r="BF21" s="255">
        <f>50-50</f>
        <v>0</v>
      </c>
      <c r="BG21" s="253"/>
      <c r="BH21" s="253"/>
      <c r="BI21" s="253"/>
      <c r="BJ21" s="253"/>
      <c r="BK21" s="253"/>
      <c r="BL21" s="253"/>
      <c r="BM21" s="253"/>
      <c r="BN21" s="253"/>
      <c r="BO21" s="253"/>
      <c r="BP21" s="253"/>
      <c r="BQ21" s="253"/>
      <c r="BR21" s="253"/>
      <c r="BS21" s="253"/>
      <c r="BT21" s="253"/>
      <c r="BU21" s="253"/>
      <c r="BV21" s="253"/>
      <c r="BW21" s="253"/>
      <c r="BX21" s="253"/>
      <c r="BY21" s="253"/>
      <c r="BZ21" s="253"/>
      <c r="CA21" s="253"/>
      <c r="CB21" s="253"/>
      <c r="CC21" s="253"/>
      <c r="CD21" s="253"/>
      <c r="CE21" s="253"/>
      <c r="CF21" s="253"/>
      <c r="CG21" s="253"/>
      <c r="CH21" s="253"/>
      <c r="CI21" s="253"/>
      <c r="CJ21" s="253"/>
      <c r="CK21" s="253"/>
      <c r="CL21" s="253"/>
      <c r="CM21" s="253"/>
      <c r="CN21" s="253"/>
      <c r="CO21" s="253"/>
      <c r="CP21" s="253"/>
      <c r="CQ21" s="253"/>
      <c r="CR21" s="253"/>
      <c r="CS21" s="253"/>
      <c r="CT21" s="253"/>
      <c r="CU21" s="253"/>
      <c r="CV21" s="253"/>
      <c r="CW21" s="253"/>
      <c r="CX21" s="253"/>
      <c r="CY21" s="253"/>
      <c r="CZ21" s="253"/>
      <c r="DA21" s="253"/>
      <c r="DB21" s="253"/>
      <c r="DC21" s="253"/>
      <c r="DD21" s="253"/>
      <c r="DE21" s="253"/>
      <c r="DF21" s="253"/>
      <c r="DG21" s="253"/>
      <c r="DH21" s="253"/>
      <c r="DI21" s="253"/>
      <c r="DJ21" s="253"/>
      <c r="DK21" s="253"/>
      <c r="DL21" s="253"/>
      <c r="DM21" s="253"/>
      <c r="DN21" s="253"/>
      <c r="DO21" s="253"/>
      <c r="DP21" s="253"/>
      <c r="DQ21" s="253"/>
      <c r="DR21" s="253"/>
      <c r="DS21" s="253"/>
      <c r="DT21" s="253"/>
      <c r="DU21" s="253"/>
      <c r="DV21" s="253"/>
      <c r="DW21" s="253"/>
      <c r="DX21" s="253"/>
      <c r="DY21" s="253"/>
      <c r="DZ21" s="253"/>
      <c r="EA21" s="253"/>
      <c r="EB21" s="253"/>
      <c r="EC21" s="253"/>
      <c r="ED21" s="253"/>
      <c r="EE21" s="253"/>
      <c r="EF21" s="253"/>
      <c r="EG21" s="253"/>
      <c r="EH21" s="253"/>
      <c r="EI21" s="253"/>
      <c r="EJ21" s="253"/>
      <c r="EK21" s="253"/>
      <c r="EL21" s="253"/>
      <c r="EM21" s="253"/>
      <c r="EN21" s="253"/>
      <c r="EO21" s="253"/>
      <c r="EP21" s="253"/>
      <c r="EQ21" s="253"/>
      <c r="ER21" s="253"/>
      <c r="ES21" s="253"/>
      <c r="ET21" s="253"/>
      <c r="EU21" s="253"/>
      <c r="EV21" s="253"/>
      <c r="EW21" s="253"/>
      <c r="EX21" s="253"/>
      <c r="EY21" s="253"/>
      <c r="EZ21" s="253"/>
      <c r="FA21" s="253"/>
      <c r="FB21" s="253"/>
      <c r="FC21" s="253"/>
      <c r="FD21" s="253"/>
      <c r="FE21" s="253"/>
      <c r="FF21" s="253"/>
      <c r="FG21" s="253"/>
      <c r="FH21" s="253"/>
      <c r="FI21" s="253"/>
      <c r="FJ21" s="253"/>
      <c r="FK21" s="256"/>
      <c r="FL21" s="257" t="s">
        <v>817</v>
      </c>
      <c r="FM21" s="258" t="s">
        <v>389</v>
      </c>
      <c r="FN21" s="258"/>
      <c r="FO21" s="258" t="s">
        <v>824</v>
      </c>
      <c r="FP21" s="259">
        <f t="shared" si="0"/>
        <v>0</v>
      </c>
      <c r="FQ21" s="260" t="s">
        <v>820</v>
      </c>
      <c r="FR21" s="260"/>
    </row>
    <row r="22" spans="1:174" hidden="1">
      <c r="A22" s="251" t="s">
        <v>393</v>
      </c>
      <c r="B22" s="251" t="s">
        <v>385</v>
      </c>
      <c r="C22" s="251" t="s">
        <v>394</v>
      </c>
      <c r="D22" s="251" t="s">
        <v>1</v>
      </c>
      <c r="E22" s="252" t="s">
        <v>823</v>
      </c>
      <c r="F22" s="251" t="s">
        <v>388</v>
      </c>
      <c r="G22" s="251"/>
      <c r="H22" s="253"/>
      <c r="I22" s="253"/>
      <c r="J22" s="253"/>
      <c r="K22" s="253"/>
      <c r="L22" s="253"/>
      <c r="M22" s="253"/>
      <c r="N22" s="253"/>
      <c r="O22" s="253"/>
      <c r="P22" s="253"/>
      <c r="Q22" s="253"/>
      <c r="R22" s="253"/>
      <c r="S22" s="253"/>
      <c r="T22" s="253"/>
      <c r="U22" s="253"/>
      <c r="V22" s="253"/>
      <c r="W22" s="253"/>
      <c r="X22" s="253"/>
      <c r="Y22" s="253"/>
      <c r="Z22" s="253"/>
      <c r="AA22" s="253"/>
      <c r="AB22" s="255">
        <f>100-100</f>
        <v>0</v>
      </c>
      <c r="AC22" s="253"/>
      <c r="AD22" s="253"/>
      <c r="AE22" s="253"/>
      <c r="AF22" s="253"/>
      <c r="AG22" s="253"/>
      <c r="AH22" s="253"/>
      <c r="AI22" s="253"/>
      <c r="AJ22" s="253"/>
      <c r="AK22" s="253"/>
      <c r="AL22" s="253"/>
      <c r="AM22" s="253"/>
      <c r="AN22" s="253"/>
      <c r="AO22" s="253"/>
      <c r="AP22" s="253"/>
      <c r="AQ22" s="253"/>
      <c r="AR22" s="253"/>
      <c r="AS22" s="253"/>
      <c r="AT22" s="253"/>
      <c r="AU22" s="255">
        <f>100-100</f>
        <v>0</v>
      </c>
      <c r="AV22" s="253"/>
      <c r="AW22" s="253"/>
      <c r="AX22" s="253"/>
      <c r="AY22" s="253"/>
      <c r="AZ22" s="253"/>
      <c r="BA22" s="253"/>
      <c r="BB22" s="253"/>
      <c r="BC22" s="253"/>
      <c r="BD22" s="253"/>
      <c r="BE22" s="253"/>
      <c r="BF22" s="253"/>
      <c r="BG22" s="253"/>
      <c r="BH22" s="255">
        <f>50-50</f>
        <v>0</v>
      </c>
      <c r="BI22" s="253"/>
      <c r="BJ22" s="253"/>
      <c r="BK22" s="253"/>
      <c r="BL22" s="253"/>
      <c r="BM22" s="253"/>
      <c r="BN22" s="253"/>
      <c r="BO22" s="253"/>
      <c r="BP22" s="253"/>
      <c r="BQ22" s="253"/>
      <c r="BR22" s="253"/>
      <c r="BS22" s="253"/>
      <c r="BT22" s="253"/>
      <c r="BU22" s="253"/>
      <c r="BV22" s="253"/>
      <c r="BW22" s="253"/>
      <c r="BX22" s="253"/>
      <c r="BY22" s="253"/>
      <c r="BZ22" s="253"/>
      <c r="CA22" s="253"/>
      <c r="CB22" s="253"/>
      <c r="CC22" s="253"/>
      <c r="CD22" s="253"/>
      <c r="CE22" s="253"/>
      <c r="CF22" s="253"/>
      <c r="CG22" s="253"/>
      <c r="CH22" s="253"/>
      <c r="CI22" s="253"/>
      <c r="CJ22" s="253"/>
      <c r="CK22" s="253"/>
      <c r="CL22" s="253"/>
      <c r="CM22" s="253"/>
      <c r="CN22" s="253"/>
      <c r="CO22" s="253"/>
      <c r="CP22" s="253"/>
      <c r="CQ22" s="253"/>
      <c r="CR22" s="253"/>
      <c r="CS22" s="253"/>
      <c r="CT22" s="253"/>
      <c r="CU22" s="253"/>
      <c r="CV22" s="253"/>
      <c r="CW22" s="253"/>
      <c r="CX22" s="253"/>
      <c r="CY22" s="253"/>
      <c r="CZ22" s="253"/>
      <c r="DA22" s="253"/>
      <c r="DB22" s="253"/>
      <c r="DC22" s="253"/>
      <c r="DD22" s="253"/>
      <c r="DE22" s="253"/>
      <c r="DF22" s="253"/>
      <c r="DG22" s="253"/>
      <c r="DH22" s="253"/>
      <c r="DI22" s="253"/>
      <c r="DJ22" s="253"/>
      <c r="DK22" s="253"/>
      <c r="DL22" s="253"/>
      <c r="DM22" s="253"/>
      <c r="DN22" s="253"/>
      <c r="DO22" s="253"/>
      <c r="DP22" s="253"/>
      <c r="DQ22" s="253"/>
      <c r="DR22" s="253"/>
      <c r="DS22" s="253"/>
      <c r="DT22" s="253"/>
      <c r="DU22" s="253"/>
      <c r="DV22" s="253"/>
      <c r="DW22" s="253"/>
      <c r="DX22" s="253"/>
      <c r="DY22" s="253"/>
      <c r="DZ22" s="253"/>
      <c r="EA22" s="253"/>
      <c r="EB22" s="253"/>
      <c r="EC22" s="253"/>
      <c r="ED22" s="253"/>
      <c r="EE22" s="253"/>
      <c r="EF22" s="253"/>
      <c r="EG22" s="253"/>
      <c r="EH22" s="253"/>
      <c r="EI22" s="253"/>
      <c r="EJ22" s="253"/>
      <c r="EK22" s="253"/>
      <c r="EL22" s="253"/>
      <c r="EM22" s="253"/>
      <c r="EN22" s="253"/>
      <c r="EO22" s="253"/>
      <c r="EP22" s="253"/>
      <c r="EQ22" s="253"/>
      <c r="ER22" s="253"/>
      <c r="ES22" s="253"/>
      <c r="ET22" s="253"/>
      <c r="EU22" s="253"/>
      <c r="EV22" s="253"/>
      <c r="EW22" s="253"/>
      <c r="EX22" s="253"/>
      <c r="EY22" s="253"/>
      <c r="EZ22" s="253"/>
      <c r="FA22" s="253"/>
      <c r="FB22" s="253"/>
      <c r="FC22" s="253"/>
      <c r="FD22" s="253"/>
      <c r="FE22" s="253"/>
      <c r="FF22" s="253"/>
      <c r="FG22" s="253"/>
      <c r="FH22" s="253"/>
      <c r="FI22" s="253"/>
      <c r="FJ22" s="253"/>
      <c r="FK22" s="256"/>
      <c r="FL22" s="257" t="s">
        <v>817</v>
      </c>
      <c r="FM22" s="258" t="s">
        <v>389</v>
      </c>
      <c r="FN22" s="258"/>
      <c r="FO22" s="258" t="s">
        <v>824</v>
      </c>
      <c r="FP22" s="259">
        <f t="shared" si="0"/>
        <v>0</v>
      </c>
      <c r="FQ22" s="260" t="s">
        <v>820</v>
      </c>
      <c r="FR22" s="260"/>
    </row>
    <row r="23" spans="1:174" hidden="1">
      <c r="A23" s="251" t="s">
        <v>393</v>
      </c>
      <c r="B23" s="251" t="s">
        <v>385</v>
      </c>
      <c r="C23" s="251" t="s">
        <v>394</v>
      </c>
      <c r="D23" s="251" t="s">
        <v>291</v>
      </c>
      <c r="E23" s="252" t="s">
        <v>825</v>
      </c>
      <c r="F23" s="251" t="s">
        <v>388</v>
      </c>
      <c r="G23" s="251"/>
      <c r="H23" s="253"/>
      <c r="I23" s="253"/>
      <c r="J23" s="253"/>
      <c r="K23" s="253"/>
      <c r="L23" s="253"/>
      <c r="M23" s="253"/>
      <c r="N23" s="253"/>
      <c r="O23" s="253"/>
      <c r="P23" s="253"/>
      <c r="Q23" s="253"/>
      <c r="R23" s="253"/>
      <c r="S23" s="253"/>
      <c r="T23" s="253"/>
      <c r="U23" s="253"/>
      <c r="V23" s="253"/>
      <c r="W23" s="253"/>
      <c r="X23" s="253"/>
      <c r="Y23" s="253"/>
      <c r="Z23" s="253"/>
      <c r="AA23" s="253"/>
      <c r="AB23" s="253"/>
      <c r="AC23" s="253"/>
      <c r="AD23" s="253"/>
      <c r="AE23" s="253"/>
      <c r="AF23" s="253"/>
      <c r="AG23" s="253"/>
      <c r="AH23" s="255">
        <f>10-10</f>
        <v>0</v>
      </c>
      <c r="AI23" s="253"/>
      <c r="AJ23" s="253"/>
      <c r="AK23" s="253"/>
      <c r="AL23" s="253"/>
      <c r="AM23" s="253"/>
      <c r="AN23" s="253"/>
      <c r="AO23" s="253"/>
      <c r="AP23" s="253"/>
      <c r="AQ23" s="253"/>
      <c r="AR23" s="255">
        <f>40-40</f>
        <v>0</v>
      </c>
      <c r="AS23" s="253"/>
      <c r="AT23" s="253"/>
      <c r="AU23" s="253"/>
      <c r="AV23" s="253"/>
      <c r="AW23" s="253"/>
      <c r="AX23" s="253"/>
      <c r="AY23" s="253"/>
      <c r="AZ23" s="253"/>
      <c r="BA23" s="253"/>
      <c r="BB23" s="253"/>
      <c r="BC23" s="253"/>
      <c r="BD23" s="253"/>
      <c r="BE23" s="253"/>
      <c r="BF23" s="255">
        <f>40-40</f>
        <v>0</v>
      </c>
      <c r="BG23" s="253"/>
      <c r="BH23" s="253"/>
      <c r="BI23" s="253"/>
      <c r="BJ23" s="253"/>
      <c r="BK23" s="253"/>
      <c r="BL23" s="253"/>
      <c r="BM23" s="253"/>
      <c r="BN23" s="253"/>
      <c r="BO23" s="253"/>
      <c r="BP23" s="253"/>
      <c r="BQ23" s="253"/>
      <c r="BR23" s="253"/>
      <c r="BS23" s="253"/>
      <c r="BT23" s="253"/>
      <c r="BU23" s="253"/>
      <c r="BV23" s="253"/>
      <c r="BW23" s="253"/>
      <c r="BX23" s="253"/>
      <c r="BY23" s="253"/>
      <c r="BZ23" s="253"/>
      <c r="CA23" s="253"/>
      <c r="CB23" s="253"/>
      <c r="CC23" s="253"/>
      <c r="CD23" s="253"/>
      <c r="CE23" s="253"/>
      <c r="CF23" s="253"/>
      <c r="CG23" s="253"/>
      <c r="CH23" s="253"/>
      <c r="CI23" s="253"/>
      <c r="CJ23" s="253"/>
      <c r="CK23" s="253"/>
      <c r="CL23" s="253"/>
      <c r="CM23" s="253"/>
      <c r="CN23" s="253"/>
      <c r="CO23" s="253"/>
      <c r="CP23" s="253"/>
      <c r="CQ23" s="253"/>
      <c r="CR23" s="253"/>
      <c r="CS23" s="253"/>
      <c r="CT23" s="253"/>
      <c r="CU23" s="253"/>
      <c r="CV23" s="253"/>
      <c r="CW23" s="253"/>
      <c r="CX23" s="253"/>
      <c r="CY23" s="253"/>
      <c r="CZ23" s="253"/>
      <c r="DA23" s="253"/>
      <c r="DB23" s="253"/>
      <c r="DC23" s="253"/>
      <c r="DD23" s="253"/>
      <c r="DE23" s="253"/>
      <c r="DF23" s="253"/>
      <c r="DG23" s="253"/>
      <c r="DH23" s="253"/>
      <c r="DI23" s="253"/>
      <c r="DJ23" s="253"/>
      <c r="DK23" s="253"/>
      <c r="DL23" s="253"/>
      <c r="DM23" s="253"/>
      <c r="DN23" s="253"/>
      <c r="DO23" s="253"/>
      <c r="DP23" s="253"/>
      <c r="DQ23" s="253"/>
      <c r="DR23" s="253"/>
      <c r="DS23" s="253"/>
      <c r="DT23" s="253"/>
      <c r="DU23" s="253"/>
      <c r="DV23" s="253"/>
      <c r="DW23" s="253"/>
      <c r="DX23" s="253"/>
      <c r="DY23" s="253"/>
      <c r="DZ23" s="253"/>
      <c r="EA23" s="253"/>
      <c r="EB23" s="253"/>
      <c r="EC23" s="253"/>
      <c r="ED23" s="253"/>
      <c r="EE23" s="253"/>
      <c r="EF23" s="253"/>
      <c r="EG23" s="253"/>
      <c r="EH23" s="253"/>
      <c r="EI23" s="253"/>
      <c r="EJ23" s="253"/>
      <c r="EK23" s="253"/>
      <c r="EL23" s="253"/>
      <c r="EM23" s="253"/>
      <c r="EN23" s="253"/>
      <c r="EO23" s="253"/>
      <c r="EP23" s="253"/>
      <c r="EQ23" s="253"/>
      <c r="ER23" s="253"/>
      <c r="ES23" s="253"/>
      <c r="ET23" s="253"/>
      <c r="EU23" s="253"/>
      <c r="EV23" s="253"/>
      <c r="EW23" s="253"/>
      <c r="EX23" s="253"/>
      <c r="EY23" s="253"/>
      <c r="EZ23" s="253"/>
      <c r="FA23" s="253"/>
      <c r="FB23" s="253"/>
      <c r="FC23" s="253"/>
      <c r="FD23" s="253"/>
      <c r="FE23" s="253"/>
      <c r="FF23" s="253"/>
      <c r="FG23" s="253"/>
      <c r="FH23" s="253"/>
      <c r="FI23" s="253"/>
      <c r="FJ23" s="253"/>
      <c r="FK23" s="256"/>
      <c r="FL23" s="257" t="s">
        <v>817</v>
      </c>
      <c r="FM23" s="258" t="s">
        <v>389</v>
      </c>
      <c r="FN23" s="258"/>
      <c r="FO23" s="258" t="s">
        <v>826</v>
      </c>
      <c r="FP23" s="259">
        <f t="shared" si="0"/>
        <v>0</v>
      </c>
      <c r="FQ23" s="260" t="s">
        <v>820</v>
      </c>
      <c r="FR23" s="260"/>
    </row>
    <row r="24" spans="1:174" hidden="1">
      <c r="A24" s="251" t="s">
        <v>393</v>
      </c>
      <c r="B24" s="251" t="s">
        <v>385</v>
      </c>
      <c r="C24" s="251" t="s">
        <v>394</v>
      </c>
      <c r="D24" s="251" t="s">
        <v>1</v>
      </c>
      <c r="E24" s="252" t="s">
        <v>825</v>
      </c>
      <c r="F24" s="251" t="s">
        <v>388</v>
      </c>
      <c r="G24" s="251"/>
      <c r="H24" s="253"/>
      <c r="I24" s="253"/>
      <c r="J24" s="253"/>
      <c r="K24" s="253"/>
      <c r="L24" s="253"/>
      <c r="M24" s="253"/>
      <c r="N24" s="253"/>
      <c r="O24" s="253"/>
      <c r="P24" s="253"/>
      <c r="Q24" s="253"/>
      <c r="R24" s="253"/>
      <c r="S24" s="253"/>
      <c r="T24" s="253"/>
      <c r="U24" s="253"/>
      <c r="V24" s="253"/>
      <c r="W24" s="253"/>
      <c r="X24" s="253"/>
      <c r="Y24" s="253"/>
      <c r="Z24" s="253"/>
      <c r="AA24" s="253"/>
      <c r="AB24" s="255">
        <f>10-10</f>
        <v>0</v>
      </c>
      <c r="AC24" s="253"/>
      <c r="AD24" s="253"/>
      <c r="AE24" s="255">
        <f>10-10</f>
        <v>0</v>
      </c>
      <c r="AF24" s="253"/>
      <c r="AG24" s="253"/>
      <c r="AH24" s="253"/>
      <c r="AI24" s="253"/>
      <c r="AJ24" s="253"/>
      <c r="AK24" s="253"/>
      <c r="AL24" s="253"/>
      <c r="AM24" s="253"/>
      <c r="AN24" s="253"/>
      <c r="AO24" s="253"/>
      <c r="AP24" s="253"/>
      <c r="AQ24" s="253"/>
      <c r="AR24" s="253"/>
      <c r="AS24" s="253"/>
      <c r="AT24" s="253"/>
      <c r="AU24" s="255">
        <f>40-40</f>
        <v>0</v>
      </c>
      <c r="AV24" s="253"/>
      <c r="AW24" s="253"/>
      <c r="AX24" s="253"/>
      <c r="AY24" s="253"/>
      <c r="AZ24" s="253"/>
      <c r="BA24" s="253"/>
      <c r="BB24" s="253"/>
      <c r="BC24" s="253"/>
      <c r="BD24" s="253"/>
      <c r="BE24" s="253"/>
      <c r="BF24" s="253"/>
      <c r="BG24" s="253"/>
      <c r="BH24" s="255">
        <f>40-40</f>
        <v>0</v>
      </c>
      <c r="BI24" s="253"/>
      <c r="BJ24" s="253"/>
      <c r="BK24" s="253"/>
      <c r="BL24" s="253"/>
      <c r="BM24" s="253"/>
      <c r="BN24" s="253"/>
      <c r="BO24" s="253"/>
      <c r="BP24" s="253"/>
      <c r="BQ24" s="253"/>
      <c r="BR24" s="253"/>
      <c r="BS24" s="253"/>
      <c r="BT24" s="253"/>
      <c r="BU24" s="253"/>
      <c r="BV24" s="253"/>
      <c r="BW24" s="253"/>
      <c r="BX24" s="253"/>
      <c r="BY24" s="253"/>
      <c r="BZ24" s="253"/>
      <c r="CA24" s="253"/>
      <c r="CB24" s="253"/>
      <c r="CC24" s="253"/>
      <c r="CD24" s="253"/>
      <c r="CE24" s="253"/>
      <c r="CF24" s="253"/>
      <c r="CG24" s="253"/>
      <c r="CH24" s="253"/>
      <c r="CI24" s="253"/>
      <c r="CJ24" s="253"/>
      <c r="CK24" s="253"/>
      <c r="CL24" s="253"/>
      <c r="CM24" s="253"/>
      <c r="CN24" s="253"/>
      <c r="CO24" s="253"/>
      <c r="CP24" s="253"/>
      <c r="CQ24" s="253"/>
      <c r="CR24" s="253"/>
      <c r="CS24" s="253"/>
      <c r="CT24" s="253"/>
      <c r="CU24" s="253"/>
      <c r="CV24" s="253"/>
      <c r="CW24" s="253"/>
      <c r="CX24" s="253"/>
      <c r="CY24" s="253"/>
      <c r="CZ24" s="253"/>
      <c r="DA24" s="253"/>
      <c r="DB24" s="253"/>
      <c r="DC24" s="253"/>
      <c r="DD24" s="253"/>
      <c r="DE24" s="253"/>
      <c r="DF24" s="253"/>
      <c r="DG24" s="253"/>
      <c r="DH24" s="253"/>
      <c r="DI24" s="253"/>
      <c r="DJ24" s="253"/>
      <c r="DK24" s="253"/>
      <c r="DL24" s="253"/>
      <c r="DM24" s="253"/>
      <c r="DN24" s="253"/>
      <c r="DO24" s="253"/>
      <c r="DP24" s="253"/>
      <c r="DQ24" s="253"/>
      <c r="DR24" s="253"/>
      <c r="DS24" s="253"/>
      <c r="DT24" s="253"/>
      <c r="DU24" s="253"/>
      <c r="DV24" s="253"/>
      <c r="DW24" s="253"/>
      <c r="DX24" s="253"/>
      <c r="DY24" s="253"/>
      <c r="DZ24" s="253"/>
      <c r="EA24" s="253"/>
      <c r="EB24" s="253"/>
      <c r="EC24" s="253"/>
      <c r="ED24" s="253"/>
      <c r="EE24" s="253"/>
      <c r="EF24" s="253"/>
      <c r="EG24" s="253"/>
      <c r="EH24" s="253"/>
      <c r="EI24" s="253"/>
      <c r="EJ24" s="253"/>
      <c r="EK24" s="253"/>
      <c r="EL24" s="253"/>
      <c r="EM24" s="253"/>
      <c r="EN24" s="253"/>
      <c r="EO24" s="253"/>
      <c r="EP24" s="253"/>
      <c r="EQ24" s="253"/>
      <c r="ER24" s="253"/>
      <c r="ES24" s="253"/>
      <c r="ET24" s="253"/>
      <c r="EU24" s="253"/>
      <c r="EV24" s="253"/>
      <c r="EW24" s="253"/>
      <c r="EX24" s="253"/>
      <c r="EY24" s="253"/>
      <c r="EZ24" s="253"/>
      <c r="FA24" s="253"/>
      <c r="FB24" s="253"/>
      <c r="FC24" s="253"/>
      <c r="FD24" s="253"/>
      <c r="FE24" s="253"/>
      <c r="FF24" s="253"/>
      <c r="FG24" s="253"/>
      <c r="FH24" s="253"/>
      <c r="FI24" s="253"/>
      <c r="FJ24" s="253"/>
      <c r="FK24" s="256"/>
      <c r="FL24" s="257" t="s">
        <v>817</v>
      </c>
      <c r="FM24" s="258" t="s">
        <v>389</v>
      </c>
      <c r="FN24" s="258"/>
      <c r="FO24" s="258" t="s">
        <v>826</v>
      </c>
      <c r="FP24" s="259">
        <f t="shared" si="0"/>
        <v>0</v>
      </c>
      <c r="FQ24" s="260" t="s">
        <v>820</v>
      </c>
      <c r="FR24" s="260"/>
    </row>
    <row r="25" spans="1:174" hidden="1">
      <c r="A25" s="251" t="s">
        <v>393</v>
      </c>
      <c r="B25" s="251" t="s">
        <v>385</v>
      </c>
      <c r="C25" s="251" t="s">
        <v>394</v>
      </c>
      <c r="D25" s="251" t="s">
        <v>291</v>
      </c>
      <c r="E25" s="252" t="s">
        <v>827</v>
      </c>
      <c r="F25" s="251" t="s">
        <v>388</v>
      </c>
      <c r="G25" s="251"/>
      <c r="H25" s="253"/>
      <c r="I25" s="253"/>
      <c r="J25" s="253"/>
      <c r="K25" s="253"/>
      <c r="L25" s="253"/>
      <c r="M25" s="253"/>
      <c r="N25" s="253"/>
      <c r="O25" s="253"/>
      <c r="P25" s="253"/>
      <c r="Q25" s="253"/>
      <c r="R25" s="253"/>
      <c r="S25" s="253"/>
      <c r="T25" s="253"/>
      <c r="U25" s="253"/>
      <c r="V25" s="253"/>
      <c r="W25" s="253"/>
      <c r="X25" s="253"/>
      <c r="Y25" s="253"/>
      <c r="Z25" s="253"/>
      <c r="AA25" s="253"/>
      <c r="AB25" s="253"/>
      <c r="AC25" s="253"/>
      <c r="AD25" s="253"/>
      <c r="AE25" s="253"/>
      <c r="AF25" s="253"/>
      <c r="AG25" s="253"/>
      <c r="AH25" s="255">
        <f>1000-1000</f>
        <v>0</v>
      </c>
      <c r="AI25" s="253"/>
      <c r="AJ25" s="253"/>
      <c r="AK25" s="253"/>
      <c r="AL25" s="253"/>
      <c r="AM25" s="253"/>
      <c r="AN25" s="253"/>
      <c r="AO25" s="253"/>
      <c r="AP25" s="253"/>
      <c r="AQ25" s="255">
        <f>1000-1000</f>
        <v>0</v>
      </c>
      <c r="AR25" s="255">
        <f>1000-1000</f>
        <v>0</v>
      </c>
      <c r="AS25" s="253"/>
      <c r="AT25" s="253"/>
      <c r="AU25" s="253"/>
      <c r="AV25" s="253"/>
      <c r="AW25" s="253"/>
      <c r="AX25" s="253"/>
      <c r="AY25" s="253"/>
      <c r="AZ25" s="253"/>
      <c r="BA25" s="253"/>
      <c r="BB25" s="253"/>
      <c r="BC25" s="253"/>
      <c r="BD25" s="253"/>
      <c r="BE25" s="253"/>
      <c r="BF25" s="253"/>
      <c r="BG25" s="253"/>
      <c r="BH25" s="253"/>
      <c r="BI25" s="253"/>
      <c r="BJ25" s="253"/>
      <c r="BK25" s="253"/>
      <c r="BL25" s="253"/>
      <c r="BM25" s="253"/>
      <c r="BN25" s="253"/>
      <c r="BO25" s="253"/>
      <c r="BP25" s="253"/>
      <c r="BQ25" s="253"/>
      <c r="BR25" s="253"/>
      <c r="BS25" s="253"/>
      <c r="BT25" s="253"/>
      <c r="BU25" s="253"/>
      <c r="BV25" s="253"/>
      <c r="BW25" s="253"/>
      <c r="BX25" s="253"/>
      <c r="BY25" s="253"/>
      <c r="BZ25" s="253"/>
      <c r="CA25" s="253"/>
      <c r="CB25" s="253"/>
      <c r="CC25" s="253"/>
      <c r="CD25" s="253"/>
      <c r="CE25" s="253"/>
      <c r="CF25" s="253"/>
      <c r="CG25" s="253"/>
      <c r="CH25" s="253"/>
      <c r="CI25" s="253"/>
      <c r="CJ25" s="253"/>
      <c r="CK25" s="253"/>
      <c r="CL25" s="253"/>
      <c r="CM25" s="253"/>
      <c r="CN25" s="253"/>
      <c r="CO25" s="253"/>
      <c r="CP25" s="253"/>
      <c r="CQ25" s="253"/>
      <c r="CR25" s="253"/>
      <c r="CS25" s="253"/>
      <c r="CT25" s="253"/>
      <c r="CU25" s="253"/>
      <c r="CV25" s="253"/>
      <c r="CW25" s="253"/>
      <c r="CX25" s="253"/>
      <c r="CY25" s="253"/>
      <c r="CZ25" s="253"/>
      <c r="DA25" s="253"/>
      <c r="DB25" s="253"/>
      <c r="DC25" s="253"/>
      <c r="DD25" s="253"/>
      <c r="DE25" s="253"/>
      <c r="DF25" s="253"/>
      <c r="DG25" s="253"/>
      <c r="DH25" s="253"/>
      <c r="DI25" s="253"/>
      <c r="DJ25" s="253"/>
      <c r="DK25" s="253"/>
      <c r="DL25" s="253"/>
      <c r="DM25" s="253"/>
      <c r="DN25" s="253"/>
      <c r="DO25" s="253"/>
      <c r="DP25" s="253"/>
      <c r="DQ25" s="253"/>
      <c r="DR25" s="253"/>
      <c r="DS25" s="253"/>
      <c r="DT25" s="253"/>
      <c r="DU25" s="253"/>
      <c r="DV25" s="253"/>
      <c r="DW25" s="253"/>
      <c r="DX25" s="253"/>
      <c r="DY25" s="253"/>
      <c r="DZ25" s="253"/>
      <c r="EA25" s="253"/>
      <c r="EB25" s="253"/>
      <c r="EC25" s="253"/>
      <c r="ED25" s="253"/>
      <c r="EE25" s="253"/>
      <c r="EF25" s="253"/>
      <c r="EG25" s="253"/>
      <c r="EH25" s="253"/>
      <c r="EI25" s="253"/>
      <c r="EJ25" s="253"/>
      <c r="EK25" s="253"/>
      <c r="EL25" s="253"/>
      <c r="EM25" s="253"/>
      <c r="EN25" s="253"/>
      <c r="EO25" s="253"/>
      <c r="EP25" s="253"/>
      <c r="EQ25" s="253"/>
      <c r="ER25" s="253"/>
      <c r="ES25" s="253"/>
      <c r="ET25" s="253"/>
      <c r="EU25" s="253"/>
      <c r="EV25" s="253"/>
      <c r="EW25" s="253"/>
      <c r="EX25" s="253"/>
      <c r="EY25" s="253"/>
      <c r="EZ25" s="253"/>
      <c r="FA25" s="253"/>
      <c r="FB25" s="253"/>
      <c r="FC25" s="253"/>
      <c r="FD25" s="253"/>
      <c r="FE25" s="253"/>
      <c r="FF25" s="253"/>
      <c r="FG25" s="253"/>
      <c r="FH25" s="253"/>
      <c r="FI25" s="253"/>
      <c r="FJ25" s="253"/>
      <c r="FK25" s="256"/>
      <c r="FL25" s="257" t="s">
        <v>817</v>
      </c>
      <c r="FM25" s="258" t="s">
        <v>389</v>
      </c>
      <c r="FN25" s="258" t="s">
        <v>828</v>
      </c>
      <c r="FO25" s="258" t="s">
        <v>397</v>
      </c>
      <c r="FP25" s="259">
        <f t="shared" si="0"/>
        <v>0</v>
      </c>
      <c r="FQ25" s="260" t="s">
        <v>398</v>
      </c>
      <c r="FR25" s="260"/>
    </row>
    <row r="26" spans="1:174" hidden="1">
      <c r="A26" s="251" t="s">
        <v>393</v>
      </c>
      <c r="B26" s="251" t="s">
        <v>385</v>
      </c>
      <c r="C26" s="251" t="s">
        <v>394</v>
      </c>
      <c r="D26" s="251" t="s">
        <v>1</v>
      </c>
      <c r="E26" s="252" t="s">
        <v>827</v>
      </c>
      <c r="F26" s="251" t="s">
        <v>388</v>
      </c>
      <c r="G26" s="251"/>
      <c r="H26" s="253"/>
      <c r="I26" s="253"/>
      <c r="J26" s="253"/>
      <c r="K26" s="253"/>
      <c r="L26" s="253"/>
      <c r="M26" s="253"/>
      <c r="N26" s="253"/>
      <c r="O26" s="253"/>
      <c r="P26" s="253"/>
      <c r="Q26" s="253"/>
      <c r="R26" s="253"/>
      <c r="S26" s="253"/>
      <c r="T26" s="253"/>
      <c r="U26" s="253"/>
      <c r="V26" s="253"/>
      <c r="W26" s="253"/>
      <c r="X26" s="253"/>
      <c r="Y26" s="253"/>
      <c r="Z26" s="253"/>
      <c r="AA26" s="255">
        <f>1000-1000</f>
        <v>0</v>
      </c>
      <c r="AB26" s="255">
        <f>1000-1000</f>
        <v>0</v>
      </c>
      <c r="AC26" s="253"/>
      <c r="AD26" s="253"/>
      <c r="AE26" s="253"/>
      <c r="AF26" s="253"/>
      <c r="AG26" s="253"/>
      <c r="AH26" s="253"/>
      <c r="AI26" s="253"/>
      <c r="AJ26" s="253"/>
      <c r="AK26" s="253"/>
      <c r="AL26" s="253"/>
      <c r="AM26" s="255">
        <f>1000-1000</f>
        <v>0</v>
      </c>
      <c r="AN26" s="253"/>
      <c r="AO26" s="253"/>
      <c r="AP26" s="253"/>
      <c r="AQ26" s="253"/>
      <c r="AR26" s="253"/>
      <c r="AS26" s="253"/>
      <c r="AT26" s="253"/>
      <c r="AU26" s="253"/>
      <c r="AV26" s="253"/>
      <c r="AW26" s="253"/>
      <c r="AX26" s="253"/>
      <c r="AY26" s="253"/>
      <c r="AZ26" s="253"/>
      <c r="BA26" s="253"/>
      <c r="BB26" s="253"/>
      <c r="BC26" s="253"/>
      <c r="BD26" s="253"/>
      <c r="BE26" s="253"/>
      <c r="BF26" s="253"/>
      <c r="BG26" s="253"/>
      <c r="BH26" s="253"/>
      <c r="BI26" s="253"/>
      <c r="BJ26" s="253"/>
      <c r="BK26" s="253"/>
      <c r="BL26" s="253"/>
      <c r="BM26" s="253"/>
      <c r="BN26" s="253"/>
      <c r="BO26" s="253"/>
      <c r="BP26" s="253"/>
      <c r="BQ26" s="253"/>
      <c r="BR26" s="253"/>
      <c r="BS26" s="253"/>
      <c r="BT26" s="253"/>
      <c r="BU26" s="253"/>
      <c r="BV26" s="253"/>
      <c r="BW26" s="253"/>
      <c r="BX26" s="253"/>
      <c r="BY26" s="253"/>
      <c r="BZ26" s="253"/>
      <c r="CA26" s="253"/>
      <c r="CB26" s="253"/>
      <c r="CC26" s="253"/>
      <c r="CD26" s="253"/>
      <c r="CE26" s="253"/>
      <c r="CF26" s="253"/>
      <c r="CG26" s="253"/>
      <c r="CH26" s="253"/>
      <c r="CI26" s="253"/>
      <c r="CJ26" s="253"/>
      <c r="CK26" s="253"/>
      <c r="CL26" s="253"/>
      <c r="CM26" s="253"/>
      <c r="CN26" s="253"/>
      <c r="CO26" s="253"/>
      <c r="CP26" s="253"/>
      <c r="CQ26" s="253"/>
      <c r="CR26" s="253"/>
      <c r="CS26" s="253"/>
      <c r="CT26" s="253"/>
      <c r="CU26" s="253"/>
      <c r="CV26" s="253"/>
      <c r="CW26" s="253"/>
      <c r="CX26" s="253"/>
      <c r="CY26" s="253"/>
      <c r="CZ26" s="253"/>
      <c r="DA26" s="253"/>
      <c r="DB26" s="253"/>
      <c r="DC26" s="253"/>
      <c r="DD26" s="253"/>
      <c r="DE26" s="253"/>
      <c r="DF26" s="253"/>
      <c r="DG26" s="253"/>
      <c r="DH26" s="253"/>
      <c r="DI26" s="253"/>
      <c r="DJ26" s="253"/>
      <c r="DK26" s="253"/>
      <c r="DL26" s="253"/>
      <c r="DM26" s="253"/>
      <c r="DN26" s="253"/>
      <c r="DO26" s="253"/>
      <c r="DP26" s="253"/>
      <c r="DQ26" s="253"/>
      <c r="DR26" s="253"/>
      <c r="DS26" s="253"/>
      <c r="DT26" s="253"/>
      <c r="DU26" s="253"/>
      <c r="DV26" s="253"/>
      <c r="DW26" s="253"/>
      <c r="DX26" s="253"/>
      <c r="DY26" s="253"/>
      <c r="DZ26" s="253"/>
      <c r="EA26" s="253"/>
      <c r="EB26" s="253"/>
      <c r="EC26" s="253"/>
      <c r="ED26" s="255">
        <f>500-500</f>
        <v>0</v>
      </c>
      <c r="EE26" s="255">
        <f>500-500</f>
        <v>0</v>
      </c>
      <c r="EF26" s="255">
        <f>500-500</f>
        <v>0</v>
      </c>
      <c r="EG26" s="253"/>
      <c r="EH26" s="255">
        <f>500-500</f>
        <v>0</v>
      </c>
      <c r="EI26" s="253"/>
      <c r="EJ26" s="255">
        <f>500-500</f>
        <v>0</v>
      </c>
      <c r="EK26" s="253"/>
      <c r="EL26" s="253"/>
      <c r="EM26" s="255">
        <f>500-500</f>
        <v>0</v>
      </c>
      <c r="EN26" s="253"/>
      <c r="EO26" s="255">
        <f>500-500</f>
        <v>0</v>
      </c>
      <c r="EP26" s="253"/>
      <c r="EQ26" s="253"/>
      <c r="ER26" s="253"/>
      <c r="ES26" s="253"/>
      <c r="ET26" s="253"/>
      <c r="EU26" s="253"/>
      <c r="EV26" s="255">
        <f>10-10</f>
        <v>0</v>
      </c>
      <c r="EW26" s="253"/>
      <c r="EX26" s="255">
        <f>20-20</f>
        <v>0</v>
      </c>
      <c r="EY26" s="255">
        <f>10-10</f>
        <v>0</v>
      </c>
      <c r="EZ26" s="253"/>
      <c r="FA26" s="253"/>
      <c r="FB26" s="255">
        <f>20-20</f>
        <v>0</v>
      </c>
      <c r="FC26" s="253"/>
      <c r="FD26" s="253"/>
      <c r="FE26" s="253"/>
      <c r="FF26" s="253"/>
      <c r="FG26" s="253"/>
      <c r="FH26" s="253"/>
      <c r="FI26" s="253"/>
      <c r="FJ26" s="253"/>
      <c r="FK26" s="256"/>
      <c r="FL26" s="257" t="s">
        <v>817</v>
      </c>
      <c r="FM26" s="258" t="s">
        <v>389</v>
      </c>
      <c r="FN26" s="258" t="s">
        <v>828</v>
      </c>
      <c r="FO26" s="258" t="s">
        <v>397</v>
      </c>
      <c r="FP26" s="259">
        <f t="shared" si="0"/>
        <v>0</v>
      </c>
      <c r="FQ26" s="260" t="s">
        <v>398</v>
      </c>
      <c r="FR26" s="260"/>
    </row>
    <row r="27" spans="1:174" hidden="1">
      <c r="A27" s="251" t="s">
        <v>417</v>
      </c>
      <c r="B27" s="251" t="s">
        <v>385</v>
      </c>
      <c r="C27" s="251" t="s">
        <v>394</v>
      </c>
      <c r="D27" s="251" t="s">
        <v>291</v>
      </c>
      <c r="E27" s="252" t="s">
        <v>829</v>
      </c>
      <c r="F27" s="251" t="s">
        <v>388</v>
      </c>
      <c r="G27" s="251"/>
      <c r="H27" s="253"/>
      <c r="I27" s="253"/>
      <c r="J27" s="253"/>
      <c r="K27" s="253"/>
      <c r="L27" s="253"/>
      <c r="M27" s="253"/>
      <c r="N27" s="255">
        <f>200-200</f>
        <v>0</v>
      </c>
      <c r="O27" s="253"/>
      <c r="P27" s="253"/>
      <c r="Q27" s="253"/>
      <c r="R27" s="253"/>
      <c r="S27" s="253"/>
      <c r="T27" s="253"/>
      <c r="U27" s="253"/>
      <c r="V27" s="253"/>
      <c r="W27" s="253"/>
      <c r="X27" s="253"/>
      <c r="Y27" s="253"/>
      <c r="Z27" s="253"/>
      <c r="AA27" s="253"/>
      <c r="AB27" s="253"/>
      <c r="AC27" s="253"/>
      <c r="AD27" s="253"/>
      <c r="AE27" s="253"/>
      <c r="AF27" s="253"/>
      <c r="AG27" s="253"/>
      <c r="AH27" s="255">
        <f>50-50</f>
        <v>0</v>
      </c>
      <c r="AI27" s="253"/>
      <c r="AJ27" s="253"/>
      <c r="AK27" s="253"/>
      <c r="AL27" s="253"/>
      <c r="AM27" s="253"/>
      <c r="AN27" s="253"/>
      <c r="AO27" s="253"/>
      <c r="AP27" s="253"/>
      <c r="AQ27" s="253"/>
      <c r="AR27" s="253"/>
      <c r="AS27" s="253"/>
      <c r="AT27" s="253"/>
      <c r="AU27" s="253"/>
      <c r="AV27" s="253"/>
      <c r="AW27" s="253"/>
      <c r="AX27" s="253"/>
      <c r="AY27" s="253"/>
      <c r="AZ27" s="253"/>
      <c r="BA27" s="253"/>
      <c r="BB27" s="253"/>
      <c r="BC27" s="253"/>
      <c r="BD27" s="253"/>
      <c r="BE27" s="253"/>
      <c r="BF27" s="255">
        <f>200-200</f>
        <v>0</v>
      </c>
      <c r="BG27" s="253"/>
      <c r="BH27" s="253"/>
      <c r="BI27" s="253"/>
      <c r="BJ27" s="253"/>
      <c r="BK27" s="253"/>
      <c r="BL27" s="253"/>
      <c r="BM27" s="253"/>
      <c r="BN27" s="253"/>
      <c r="BO27" s="253"/>
      <c r="BP27" s="253"/>
      <c r="BQ27" s="253"/>
      <c r="BR27" s="253"/>
      <c r="BS27" s="253"/>
      <c r="BT27" s="253"/>
      <c r="BU27" s="253"/>
      <c r="BV27" s="253"/>
      <c r="BW27" s="253"/>
      <c r="BX27" s="253"/>
      <c r="BY27" s="253"/>
      <c r="BZ27" s="253"/>
      <c r="CA27" s="253"/>
      <c r="CB27" s="253"/>
      <c r="CC27" s="253"/>
      <c r="CD27" s="253"/>
      <c r="CE27" s="253"/>
      <c r="CF27" s="253"/>
      <c r="CG27" s="253"/>
      <c r="CH27" s="253"/>
      <c r="CI27" s="253"/>
      <c r="CJ27" s="253"/>
      <c r="CK27" s="253"/>
      <c r="CL27" s="253"/>
      <c r="CM27" s="253"/>
      <c r="CN27" s="253"/>
      <c r="CO27" s="253"/>
      <c r="CP27" s="253"/>
      <c r="CQ27" s="253"/>
      <c r="CR27" s="253"/>
      <c r="CS27" s="253"/>
      <c r="CT27" s="253"/>
      <c r="CU27" s="253"/>
      <c r="CV27" s="253"/>
      <c r="CW27" s="253"/>
      <c r="CX27" s="253"/>
      <c r="CY27" s="253"/>
      <c r="CZ27" s="253"/>
      <c r="DA27" s="253"/>
      <c r="DB27" s="253"/>
      <c r="DC27" s="253"/>
      <c r="DD27" s="253"/>
      <c r="DE27" s="253"/>
      <c r="DF27" s="253"/>
      <c r="DG27" s="253"/>
      <c r="DH27" s="253"/>
      <c r="DI27" s="253"/>
      <c r="DJ27" s="253"/>
      <c r="DK27" s="253"/>
      <c r="DL27" s="253"/>
      <c r="DM27" s="253"/>
      <c r="DN27" s="253"/>
      <c r="DO27" s="253"/>
      <c r="DP27" s="253"/>
      <c r="DQ27" s="253"/>
      <c r="DR27" s="253"/>
      <c r="DS27" s="253"/>
      <c r="DT27" s="253"/>
      <c r="DU27" s="253"/>
      <c r="DV27" s="253"/>
      <c r="DW27" s="253"/>
      <c r="DX27" s="253"/>
      <c r="DY27" s="253"/>
      <c r="DZ27" s="253"/>
      <c r="EA27" s="253"/>
      <c r="EB27" s="253"/>
      <c r="EC27" s="253"/>
      <c r="ED27" s="253"/>
      <c r="EE27" s="253"/>
      <c r="EF27" s="253"/>
      <c r="EG27" s="253"/>
      <c r="EH27" s="253"/>
      <c r="EI27" s="253"/>
      <c r="EJ27" s="253"/>
      <c r="EK27" s="253"/>
      <c r="EL27" s="253"/>
      <c r="EM27" s="253"/>
      <c r="EN27" s="253"/>
      <c r="EO27" s="253"/>
      <c r="EP27" s="253"/>
      <c r="EQ27" s="253"/>
      <c r="ER27" s="253"/>
      <c r="ES27" s="253"/>
      <c r="ET27" s="253"/>
      <c r="EU27" s="253"/>
      <c r="EV27" s="253"/>
      <c r="EW27" s="253"/>
      <c r="EX27" s="253"/>
      <c r="EY27" s="253"/>
      <c r="EZ27" s="253"/>
      <c r="FA27" s="253"/>
      <c r="FB27" s="253"/>
      <c r="FC27" s="253"/>
      <c r="FD27" s="253"/>
      <c r="FE27" s="253"/>
      <c r="FF27" s="253"/>
      <c r="FG27" s="253"/>
      <c r="FH27" s="253"/>
      <c r="FI27" s="253"/>
      <c r="FJ27" s="253"/>
      <c r="FK27" s="256"/>
      <c r="FL27" s="257" t="s">
        <v>817</v>
      </c>
      <c r="FM27" s="258" t="s">
        <v>389</v>
      </c>
      <c r="FN27" s="258"/>
      <c r="FO27" s="258" t="s">
        <v>824</v>
      </c>
      <c r="FP27" s="259">
        <f t="shared" si="0"/>
        <v>0</v>
      </c>
      <c r="FQ27" s="260" t="s">
        <v>820</v>
      </c>
      <c r="FR27" s="260"/>
    </row>
    <row r="28" spans="1:174" hidden="1">
      <c r="A28" s="251" t="s">
        <v>417</v>
      </c>
      <c r="B28" s="251" t="s">
        <v>385</v>
      </c>
      <c r="C28" s="251" t="s">
        <v>394</v>
      </c>
      <c r="D28" s="251" t="s">
        <v>1</v>
      </c>
      <c r="E28" s="252" t="s">
        <v>829</v>
      </c>
      <c r="F28" s="251" t="s">
        <v>388</v>
      </c>
      <c r="G28" s="251"/>
      <c r="H28" s="253"/>
      <c r="I28" s="253"/>
      <c r="J28" s="253"/>
      <c r="K28" s="253"/>
      <c r="L28" s="253"/>
      <c r="M28" s="253"/>
      <c r="N28" s="254">
        <f>0+20</f>
        <v>20</v>
      </c>
      <c r="O28" s="255">
        <f>200-200</f>
        <v>0</v>
      </c>
      <c r="P28" s="253"/>
      <c r="Q28" s="253"/>
      <c r="R28" s="253"/>
      <c r="S28" s="253"/>
      <c r="T28" s="253"/>
      <c r="U28" s="253"/>
      <c r="V28" s="253"/>
      <c r="W28" s="253"/>
      <c r="X28" s="253"/>
      <c r="Y28" s="253"/>
      <c r="Z28" s="253"/>
      <c r="AA28" s="253"/>
      <c r="AB28" s="255">
        <f>100-100</f>
        <v>0</v>
      </c>
      <c r="AC28" s="253"/>
      <c r="AD28" s="253"/>
      <c r="AE28" s="255">
        <f>100-100</f>
        <v>0</v>
      </c>
      <c r="AF28" s="253"/>
      <c r="AG28" s="253"/>
      <c r="AH28" s="253"/>
      <c r="AI28" s="253"/>
      <c r="AJ28" s="253"/>
      <c r="AK28" s="253"/>
      <c r="AL28" s="253"/>
      <c r="AM28" s="255">
        <f>100-100</f>
        <v>0</v>
      </c>
      <c r="AN28" s="253"/>
      <c r="AO28" s="253"/>
      <c r="AP28" s="253"/>
      <c r="AQ28" s="253"/>
      <c r="AR28" s="253"/>
      <c r="AS28" s="253"/>
      <c r="AT28" s="253"/>
      <c r="AU28" s="255">
        <f>150-150</f>
        <v>0</v>
      </c>
      <c r="AV28" s="253"/>
      <c r="AW28" s="253"/>
      <c r="AX28" s="253"/>
      <c r="AY28" s="253"/>
      <c r="AZ28" s="253"/>
      <c r="BA28" s="253"/>
      <c r="BB28" s="253"/>
      <c r="BC28" s="253"/>
      <c r="BD28" s="253"/>
      <c r="BE28" s="253"/>
      <c r="BF28" s="253"/>
      <c r="BG28" s="253"/>
      <c r="BH28" s="255">
        <f>50-50</f>
        <v>0</v>
      </c>
      <c r="BI28" s="253"/>
      <c r="BJ28" s="253"/>
      <c r="BK28" s="253"/>
      <c r="BL28" s="253"/>
      <c r="BM28" s="253"/>
      <c r="BN28" s="253"/>
      <c r="BO28" s="253"/>
      <c r="BP28" s="253"/>
      <c r="BQ28" s="253"/>
      <c r="BR28" s="253"/>
      <c r="BS28" s="253"/>
      <c r="BT28" s="253"/>
      <c r="BU28" s="253"/>
      <c r="BV28" s="253"/>
      <c r="BW28" s="253"/>
      <c r="BX28" s="253"/>
      <c r="BY28" s="253"/>
      <c r="BZ28" s="253"/>
      <c r="CA28" s="253"/>
      <c r="CB28" s="253"/>
      <c r="CC28" s="253"/>
      <c r="CD28" s="253"/>
      <c r="CE28" s="253"/>
      <c r="CF28" s="253"/>
      <c r="CG28" s="253"/>
      <c r="CH28" s="253"/>
      <c r="CI28" s="253"/>
      <c r="CJ28" s="253"/>
      <c r="CK28" s="253"/>
      <c r="CL28" s="253"/>
      <c r="CM28" s="253"/>
      <c r="CN28" s="253"/>
      <c r="CO28" s="253"/>
      <c r="CP28" s="253"/>
      <c r="CQ28" s="253"/>
      <c r="CR28" s="253"/>
      <c r="CS28" s="253"/>
      <c r="CT28" s="253"/>
      <c r="CU28" s="253"/>
      <c r="CV28" s="253"/>
      <c r="CW28" s="253"/>
      <c r="CX28" s="253"/>
      <c r="CY28" s="253"/>
      <c r="CZ28" s="253"/>
      <c r="DA28" s="253"/>
      <c r="DB28" s="253"/>
      <c r="DC28" s="253"/>
      <c r="DD28" s="253"/>
      <c r="DE28" s="253"/>
      <c r="DF28" s="253"/>
      <c r="DG28" s="253"/>
      <c r="DH28" s="253"/>
      <c r="DI28" s="253"/>
      <c r="DJ28" s="253"/>
      <c r="DK28" s="253"/>
      <c r="DL28" s="253"/>
      <c r="DM28" s="253"/>
      <c r="DN28" s="253"/>
      <c r="DO28" s="253"/>
      <c r="DP28" s="253"/>
      <c r="DQ28" s="253"/>
      <c r="DR28" s="253"/>
      <c r="DS28" s="253"/>
      <c r="DT28" s="253"/>
      <c r="DU28" s="253"/>
      <c r="DV28" s="253"/>
      <c r="DW28" s="253"/>
      <c r="DX28" s="253"/>
      <c r="DY28" s="253"/>
      <c r="DZ28" s="253"/>
      <c r="EA28" s="253"/>
      <c r="EB28" s="253"/>
      <c r="EC28" s="253"/>
      <c r="ED28" s="253"/>
      <c r="EE28" s="253"/>
      <c r="EF28" s="253"/>
      <c r="EG28" s="253"/>
      <c r="EH28" s="253"/>
      <c r="EI28" s="253"/>
      <c r="EJ28" s="253"/>
      <c r="EK28" s="253"/>
      <c r="EL28" s="253"/>
      <c r="EM28" s="253"/>
      <c r="EN28" s="253"/>
      <c r="EO28" s="253"/>
      <c r="EP28" s="253"/>
      <c r="EQ28" s="253"/>
      <c r="ER28" s="253"/>
      <c r="ES28" s="253"/>
      <c r="ET28" s="253"/>
      <c r="EU28" s="253"/>
      <c r="EV28" s="253"/>
      <c r="EW28" s="253"/>
      <c r="EX28" s="253"/>
      <c r="EY28" s="253"/>
      <c r="EZ28" s="253"/>
      <c r="FA28" s="253"/>
      <c r="FB28" s="253"/>
      <c r="FC28" s="253"/>
      <c r="FD28" s="253"/>
      <c r="FE28" s="253"/>
      <c r="FF28" s="253"/>
      <c r="FG28" s="253"/>
      <c r="FH28" s="253"/>
      <c r="FI28" s="253"/>
      <c r="FJ28" s="253"/>
      <c r="FK28" s="256"/>
      <c r="FL28" s="257" t="s">
        <v>817</v>
      </c>
      <c r="FM28" s="258" t="s">
        <v>389</v>
      </c>
      <c r="FN28" s="258"/>
      <c r="FO28" s="258" t="s">
        <v>824</v>
      </c>
      <c r="FP28" s="259">
        <f t="shared" si="0"/>
        <v>20</v>
      </c>
      <c r="FQ28" s="260" t="s">
        <v>820</v>
      </c>
      <c r="FR28" s="260"/>
    </row>
    <row r="29" spans="1:174" hidden="1">
      <c r="A29" s="251" t="s">
        <v>385</v>
      </c>
      <c r="B29" s="251" t="s">
        <v>385</v>
      </c>
      <c r="C29" s="251" t="s">
        <v>394</v>
      </c>
      <c r="D29" s="251" t="s">
        <v>291</v>
      </c>
      <c r="E29" s="252" t="s">
        <v>404</v>
      </c>
      <c r="F29" s="251" t="s">
        <v>388</v>
      </c>
      <c r="G29" s="251"/>
      <c r="H29" s="253"/>
      <c r="I29" s="253"/>
      <c r="J29" s="253"/>
      <c r="K29" s="253"/>
      <c r="L29" s="253"/>
      <c r="M29" s="253"/>
      <c r="N29" s="253"/>
      <c r="O29" s="253"/>
      <c r="P29" s="253"/>
      <c r="Q29" s="255">
        <f>100-100</f>
        <v>0</v>
      </c>
      <c r="R29" s="253"/>
      <c r="S29" s="253"/>
      <c r="T29" s="255">
        <f>100-100</f>
        <v>0</v>
      </c>
      <c r="U29" s="253"/>
      <c r="V29" s="253"/>
      <c r="W29" s="253"/>
      <c r="X29" s="253"/>
      <c r="Y29" s="253"/>
      <c r="Z29" s="253"/>
      <c r="AA29" s="253"/>
      <c r="AB29" s="253"/>
      <c r="AC29" s="253"/>
      <c r="AD29" s="254">
        <f>0+20</f>
        <v>20</v>
      </c>
      <c r="AE29" s="253"/>
      <c r="AF29" s="253"/>
      <c r="AG29" s="255">
        <f>100-100</f>
        <v>0</v>
      </c>
      <c r="AH29" s="253"/>
      <c r="AI29" s="253"/>
      <c r="AJ29" s="253"/>
      <c r="AK29" s="253"/>
      <c r="AL29" s="253"/>
      <c r="AM29" s="253"/>
      <c r="AN29" s="253"/>
      <c r="AO29" s="253"/>
      <c r="AP29" s="253"/>
      <c r="AQ29" s="255">
        <f>100-100</f>
        <v>0</v>
      </c>
      <c r="AR29" s="255">
        <f>100-100</f>
        <v>0</v>
      </c>
      <c r="AS29" s="253"/>
      <c r="AT29" s="253"/>
      <c r="AU29" s="253"/>
      <c r="AV29" s="253"/>
      <c r="AW29" s="253"/>
      <c r="AX29" s="253"/>
      <c r="AY29" s="253"/>
      <c r="AZ29" s="253"/>
      <c r="BA29" s="253"/>
      <c r="BB29" s="253"/>
      <c r="BC29" s="253"/>
      <c r="BD29" s="253"/>
      <c r="BE29" s="253"/>
      <c r="BF29" s="255">
        <f>100-100</f>
        <v>0</v>
      </c>
      <c r="BG29" s="253"/>
      <c r="BH29" s="253"/>
      <c r="BI29" s="253"/>
      <c r="BJ29" s="253"/>
      <c r="BK29" s="253"/>
      <c r="BL29" s="253"/>
      <c r="BM29" s="253"/>
      <c r="BN29" s="253"/>
      <c r="BO29" s="253"/>
      <c r="BP29" s="253"/>
      <c r="BQ29" s="253"/>
      <c r="BR29" s="253"/>
      <c r="BS29" s="253"/>
      <c r="BT29" s="253"/>
      <c r="BU29" s="253"/>
      <c r="BV29" s="253"/>
      <c r="BW29" s="253"/>
      <c r="BX29" s="253"/>
      <c r="BY29" s="253"/>
      <c r="BZ29" s="253"/>
      <c r="CA29" s="253"/>
      <c r="CB29" s="253"/>
      <c r="CC29" s="253"/>
      <c r="CD29" s="253"/>
      <c r="CE29" s="253"/>
      <c r="CF29" s="253"/>
      <c r="CG29" s="253"/>
      <c r="CH29" s="253"/>
      <c r="CI29" s="253"/>
      <c r="CJ29" s="253"/>
      <c r="CK29" s="253"/>
      <c r="CL29" s="253"/>
      <c r="CM29" s="253"/>
      <c r="CN29" s="253"/>
      <c r="CO29" s="253"/>
      <c r="CP29" s="253"/>
      <c r="CQ29" s="253"/>
      <c r="CR29" s="253"/>
      <c r="CS29" s="253"/>
      <c r="CT29" s="253"/>
      <c r="CU29" s="253"/>
      <c r="CV29" s="253"/>
      <c r="CW29" s="253"/>
      <c r="CX29" s="253"/>
      <c r="CY29" s="253"/>
      <c r="CZ29" s="253"/>
      <c r="DA29" s="253"/>
      <c r="DB29" s="253"/>
      <c r="DC29" s="253"/>
      <c r="DD29" s="253"/>
      <c r="DE29" s="253"/>
      <c r="DF29" s="253"/>
      <c r="DG29" s="253"/>
      <c r="DH29" s="253"/>
      <c r="DI29" s="253"/>
      <c r="DJ29" s="253"/>
      <c r="DK29" s="253"/>
      <c r="DL29" s="253"/>
      <c r="DM29" s="253"/>
      <c r="DN29" s="253"/>
      <c r="DO29" s="253"/>
      <c r="DP29" s="253"/>
      <c r="DQ29" s="253"/>
      <c r="DR29" s="253"/>
      <c r="DS29" s="253"/>
      <c r="DT29" s="253"/>
      <c r="DU29" s="253"/>
      <c r="DV29" s="253"/>
      <c r="DW29" s="253"/>
      <c r="DX29" s="253"/>
      <c r="DY29" s="253"/>
      <c r="DZ29" s="253"/>
      <c r="EA29" s="253"/>
      <c r="EB29" s="253"/>
      <c r="EC29" s="253"/>
      <c r="ED29" s="253"/>
      <c r="EE29" s="253"/>
      <c r="EF29" s="253"/>
      <c r="EG29" s="253"/>
      <c r="EH29" s="253"/>
      <c r="EI29" s="253"/>
      <c r="EJ29" s="253"/>
      <c r="EK29" s="253"/>
      <c r="EL29" s="253"/>
      <c r="EM29" s="253"/>
      <c r="EN29" s="253"/>
      <c r="EO29" s="253"/>
      <c r="EP29" s="253"/>
      <c r="EQ29" s="253"/>
      <c r="ER29" s="253"/>
      <c r="ES29" s="253"/>
      <c r="ET29" s="253"/>
      <c r="EU29" s="253"/>
      <c r="EV29" s="253"/>
      <c r="EW29" s="253"/>
      <c r="EX29" s="253"/>
      <c r="EY29" s="253"/>
      <c r="EZ29" s="253"/>
      <c r="FA29" s="253"/>
      <c r="FB29" s="253"/>
      <c r="FC29" s="253"/>
      <c r="FD29" s="253"/>
      <c r="FE29" s="253"/>
      <c r="FF29" s="253"/>
      <c r="FG29" s="253"/>
      <c r="FH29" s="253"/>
      <c r="FI29" s="253"/>
      <c r="FJ29" s="253"/>
      <c r="FK29" s="256"/>
      <c r="FL29" s="257" t="s">
        <v>817</v>
      </c>
      <c r="FM29" s="258" t="s">
        <v>389</v>
      </c>
      <c r="FN29" s="258"/>
      <c r="FO29" s="258" t="s">
        <v>402</v>
      </c>
      <c r="FP29" s="259">
        <f t="shared" si="0"/>
        <v>20</v>
      </c>
      <c r="FQ29" s="260" t="s">
        <v>403</v>
      </c>
      <c r="FR29" s="260"/>
    </row>
    <row r="30" spans="1:174" hidden="1">
      <c r="A30" s="251" t="s">
        <v>385</v>
      </c>
      <c r="B30" s="251" t="s">
        <v>385</v>
      </c>
      <c r="C30" s="251" t="s">
        <v>394</v>
      </c>
      <c r="D30" s="251" t="s">
        <v>1</v>
      </c>
      <c r="E30" s="252" t="s">
        <v>404</v>
      </c>
      <c r="F30" s="251" t="s">
        <v>388</v>
      </c>
      <c r="G30" s="251"/>
      <c r="H30" s="253"/>
      <c r="I30" s="253"/>
      <c r="J30" s="253"/>
      <c r="K30" s="253"/>
      <c r="L30" s="253"/>
      <c r="M30" s="253"/>
      <c r="N30" s="253"/>
      <c r="O30" s="253"/>
      <c r="P30" s="253"/>
      <c r="Q30" s="253"/>
      <c r="R30" s="253"/>
      <c r="S30" s="255">
        <f>100-100</f>
        <v>0</v>
      </c>
      <c r="T30" s="253"/>
      <c r="U30" s="255">
        <f>100-100</f>
        <v>0</v>
      </c>
      <c r="V30" s="255">
        <f>100-100</f>
        <v>0</v>
      </c>
      <c r="W30" s="253"/>
      <c r="X30" s="253"/>
      <c r="Y30" s="255">
        <f t="shared" ref="Y30:AF30" si="4">100-100</f>
        <v>0</v>
      </c>
      <c r="Z30" s="255">
        <f t="shared" si="4"/>
        <v>0</v>
      </c>
      <c r="AA30" s="255">
        <f t="shared" si="4"/>
        <v>0</v>
      </c>
      <c r="AB30" s="255">
        <f t="shared" si="4"/>
        <v>0</v>
      </c>
      <c r="AC30" s="255">
        <f t="shared" si="4"/>
        <v>0</v>
      </c>
      <c r="AD30" s="255">
        <f t="shared" si="4"/>
        <v>0</v>
      </c>
      <c r="AE30" s="254">
        <f>100-100+10</f>
        <v>10</v>
      </c>
      <c r="AF30" s="255">
        <f t="shared" si="4"/>
        <v>0</v>
      </c>
      <c r="AG30" s="253"/>
      <c r="AH30" s="253"/>
      <c r="AI30" s="255">
        <f>100-100</f>
        <v>0</v>
      </c>
      <c r="AJ30" s="253"/>
      <c r="AK30" s="253"/>
      <c r="AL30" s="253"/>
      <c r="AM30" s="255">
        <f>100-100</f>
        <v>0</v>
      </c>
      <c r="AN30" s="253"/>
      <c r="AO30" s="253"/>
      <c r="AP30" s="253"/>
      <c r="AQ30" s="253"/>
      <c r="AR30" s="253"/>
      <c r="AS30" s="253"/>
      <c r="AT30" s="253"/>
      <c r="AU30" s="255">
        <f>100-100</f>
        <v>0</v>
      </c>
      <c r="AV30" s="253"/>
      <c r="AW30" s="253"/>
      <c r="AX30" s="253"/>
      <c r="AY30" s="253"/>
      <c r="AZ30" s="253"/>
      <c r="BA30" s="253"/>
      <c r="BB30" s="255">
        <f>100-100</f>
        <v>0</v>
      </c>
      <c r="BC30" s="253"/>
      <c r="BD30" s="253"/>
      <c r="BE30" s="253"/>
      <c r="BF30" s="253"/>
      <c r="BG30" s="255">
        <f>100-100</f>
        <v>0</v>
      </c>
      <c r="BH30" s="255">
        <f>100-100</f>
        <v>0</v>
      </c>
      <c r="BI30" s="253"/>
      <c r="BJ30" s="253"/>
      <c r="BK30" s="253"/>
      <c r="BL30" s="253"/>
      <c r="BM30" s="253"/>
      <c r="BN30" s="253"/>
      <c r="BO30" s="253"/>
      <c r="BP30" s="253"/>
      <c r="BQ30" s="253"/>
      <c r="BR30" s="253"/>
      <c r="BS30" s="253"/>
      <c r="BT30" s="253"/>
      <c r="BU30" s="253"/>
      <c r="BV30" s="253"/>
      <c r="BW30" s="253"/>
      <c r="BX30" s="253"/>
      <c r="BY30" s="253"/>
      <c r="BZ30" s="253"/>
      <c r="CA30" s="253"/>
      <c r="CB30" s="253"/>
      <c r="CC30" s="253"/>
      <c r="CD30" s="253"/>
      <c r="CE30" s="253"/>
      <c r="CF30" s="253"/>
      <c r="CG30" s="253"/>
      <c r="CH30" s="253"/>
      <c r="CI30" s="253"/>
      <c r="CJ30" s="253"/>
      <c r="CK30" s="253"/>
      <c r="CL30" s="253"/>
      <c r="CM30" s="253"/>
      <c r="CN30" s="253"/>
      <c r="CO30" s="253"/>
      <c r="CP30" s="253"/>
      <c r="CQ30" s="253"/>
      <c r="CR30" s="253"/>
      <c r="CS30" s="253"/>
      <c r="CT30" s="253"/>
      <c r="CU30" s="253"/>
      <c r="CV30" s="253"/>
      <c r="CW30" s="253"/>
      <c r="CX30" s="253"/>
      <c r="CY30" s="253"/>
      <c r="CZ30" s="253"/>
      <c r="DA30" s="253"/>
      <c r="DB30" s="253"/>
      <c r="DC30" s="253"/>
      <c r="DD30" s="253"/>
      <c r="DE30" s="253"/>
      <c r="DF30" s="253"/>
      <c r="DG30" s="253"/>
      <c r="DH30" s="253"/>
      <c r="DI30" s="253"/>
      <c r="DJ30" s="253"/>
      <c r="DK30" s="253"/>
      <c r="DL30" s="253"/>
      <c r="DM30" s="253"/>
      <c r="DN30" s="253"/>
      <c r="DO30" s="253"/>
      <c r="DP30" s="253"/>
      <c r="DQ30" s="253"/>
      <c r="DR30" s="253"/>
      <c r="DS30" s="253"/>
      <c r="DT30" s="253"/>
      <c r="DU30" s="253"/>
      <c r="DV30" s="253"/>
      <c r="DW30" s="253"/>
      <c r="DX30" s="253"/>
      <c r="DY30" s="253"/>
      <c r="DZ30" s="253"/>
      <c r="EA30" s="253"/>
      <c r="EB30" s="255">
        <f t="shared" ref="EB30:EO30" si="5">50-50</f>
        <v>0</v>
      </c>
      <c r="EC30" s="255">
        <f t="shared" si="5"/>
        <v>0</v>
      </c>
      <c r="ED30" s="255">
        <f t="shared" si="5"/>
        <v>0</v>
      </c>
      <c r="EE30" s="255">
        <f t="shared" si="5"/>
        <v>0</v>
      </c>
      <c r="EF30" s="255">
        <f t="shared" si="5"/>
        <v>0</v>
      </c>
      <c r="EG30" s="255">
        <f t="shared" si="5"/>
        <v>0</v>
      </c>
      <c r="EH30" s="255">
        <f t="shared" si="5"/>
        <v>0</v>
      </c>
      <c r="EI30" s="255">
        <f t="shared" si="5"/>
        <v>0</v>
      </c>
      <c r="EJ30" s="255">
        <f t="shared" si="5"/>
        <v>0</v>
      </c>
      <c r="EK30" s="255">
        <f t="shared" si="5"/>
        <v>0</v>
      </c>
      <c r="EL30" s="255">
        <f t="shared" si="5"/>
        <v>0</v>
      </c>
      <c r="EM30" s="255">
        <f t="shared" si="5"/>
        <v>0</v>
      </c>
      <c r="EN30" s="255">
        <f t="shared" si="5"/>
        <v>0</v>
      </c>
      <c r="EO30" s="255">
        <f t="shared" si="5"/>
        <v>0</v>
      </c>
      <c r="EP30" s="253"/>
      <c r="EQ30" s="253"/>
      <c r="ER30" s="253"/>
      <c r="ES30" s="253"/>
      <c r="ET30" s="253"/>
      <c r="EU30" s="253"/>
      <c r="EV30" s="255">
        <f>50-50</f>
        <v>0</v>
      </c>
      <c r="EW30" s="253"/>
      <c r="EX30" s="255">
        <f>50-50</f>
        <v>0</v>
      </c>
      <c r="EY30" s="255">
        <f>50-50</f>
        <v>0</v>
      </c>
      <c r="EZ30" s="255">
        <f>50-50</f>
        <v>0</v>
      </c>
      <c r="FA30" s="253"/>
      <c r="FB30" s="255">
        <f>50-50</f>
        <v>0</v>
      </c>
      <c r="FC30" s="253"/>
      <c r="FD30" s="253"/>
      <c r="FE30" s="253"/>
      <c r="FF30" s="255">
        <f>50-50</f>
        <v>0</v>
      </c>
      <c r="FG30" s="253"/>
      <c r="FH30" s="253"/>
      <c r="FI30" s="253"/>
      <c r="FJ30" s="253"/>
      <c r="FK30" s="256"/>
      <c r="FL30" s="257" t="s">
        <v>817</v>
      </c>
      <c r="FM30" s="258" t="s">
        <v>389</v>
      </c>
      <c r="FN30" s="258"/>
      <c r="FO30" s="258" t="s">
        <v>402</v>
      </c>
      <c r="FP30" s="259">
        <f t="shared" si="0"/>
        <v>10</v>
      </c>
      <c r="FQ30" s="260" t="s">
        <v>403</v>
      </c>
      <c r="FR30" s="260"/>
    </row>
    <row r="31" spans="1:174" hidden="1">
      <c r="A31" s="251" t="s">
        <v>385</v>
      </c>
      <c r="B31" s="251" t="s">
        <v>385</v>
      </c>
      <c r="C31" s="251" t="s">
        <v>394</v>
      </c>
      <c r="D31" s="251" t="s">
        <v>293</v>
      </c>
      <c r="E31" s="252" t="s">
        <v>404</v>
      </c>
      <c r="F31" s="251" t="s">
        <v>388</v>
      </c>
      <c r="G31" s="251"/>
      <c r="H31" s="253"/>
      <c r="I31" s="253"/>
      <c r="J31" s="253"/>
      <c r="K31" s="253"/>
      <c r="L31" s="253"/>
      <c r="M31" s="253"/>
      <c r="N31" s="253"/>
      <c r="O31" s="253"/>
      <c r="P31" s="253"/>
      <c r="Q31" s="253"/>
      <c r="R31" s="253"/>
      <c r="S31" s="253"/>
      <c r="T31" s="253"/>
      <c r="U31" s="253"/>
      <c r="V31" s="253"/>
      <c r="W31" s="253"/>
      <c r="X31" s="253"/>
      <c r="Y31" s="253"/>
      <c r="Z31" s="253"/>
      <c r="AA31" s="253"/>
      <c r="AB31" s="253"/>
      <c r="AC31" s="253"/>
      <c r="AD31" s="253"/>
      <c r="AE31" s="253"/>
      <c r="AF31" s="253"/>
      <c r="AG31" s="253"/>
      <c r="AH31" s="253"/>
      <c r="AI31" s="253"/>
      <c r="AJ31" s="253"/>
      <c r="AK31" s="253"/>
      <c r="AL31" s="253"/>
      <c r="AM31" s="253"/>
      <c r="AN31" s="253"/>
      <c r="AO31" s="253"/>
      <c r="AP31" s="253"/>
      <c r="AQ31" s="253"/>
      <c r="AR31" s="253"/>
      <c r="AS31" s="253"/>
      <c r="AT31" s="253"/>
      <c r="AU31" s="253"/>
      <c r="AV31" s="253"/>
      <c r="AW31" s="253"/>
      <c r="AX31" s="253"/>
      <c r="AY31" s="253"/>
      <c r="AZ31" s="253"/>
      <c r="BA31" s="253"/>
      <c r="BB31" s="253"/>
      <c r="BC31" s="253"/>
      <c r="BD31" s="253"/>
      <c r="BE31" s="253"/>
      <c r="BF31" s="253"/>
      <c r="BG31" s="253"/>
      <c r="BH31" s="253"/>
      <c r="BI31" s="253"/>
      <c r="BJ31" s="253"/>
      <c r="BK31" s="253"/>
      <c r="BL31" s="253"/>
      <c r="BM31" s="253"/>
      <c r="BN31" s="253"/>
      <c r="BO31" s="253"/>
      <c r="BP31" s="253"/>
      <c r="BQ31" s="253"/>
      <c r="BR31" s="253"/>
      <c r="BS31" s="253"/>
      <c r="BT31" s="253"/>
      <c r="BU31" s="253"/>
      <c r="BV31" s="253"/>
      <c r="BW31" s="253"/>
      <c r="BX31" s="253"/>
      <c r="BY31" s="253"/>
      <c r="BZ31" s="253"/>
      <c r="CA31" s="253"/>
      <c r="CB31" s="253"/>
      <c r="CC31" s="253"/>
      <c r="CD31" s="253"/>
      <c r="CE31" s="253"/>
      <c r="CF31" s="253"/>
      <c r="CG31" s="253"/>
      <c r="CH31" s="253"/>
      <c r="CI31" s="253"/>
      <c r="CJ31" s="253"/>
      <c r="CK31" s="253"/>
      <c r="CL31" s="253"/>
      <c r="CM31" s="253"/>
      <c r="CN31" s="253"/>
      <c r="CO31" s="253"/>
      <c r="CP31" s="253"/>
      <c r="CQ31" s="253"/>
      <c r="CR31" s="253"/>
      <c r="CS31" s="253"/>
      <c r="CT31" s="253"/>
      <c r="CU31" s="253"/>
      <c r="CV31" s="253"/>
      <c r="CW31" s="253"/>
      <c r="CX31" s="253"/>
      <c r="CY31" s="253"/>
      <c r="CZ31" s="253"/>
      <c r="DA31" s="253"/>
      <c r="DB31" s="253"/>
      <c r="DC31" s="253"/>
      <c r="DD31" s="253"/>
      <c r="DE31" s="253"/>
      <c r="DF31" s="253"/>
      <c r="DG31" s="253"/>
      <c r="DH31" s="253"/>
      <c r="DI31" s="253"/>
      <c r="DJ31" s="253"/>
      <c r="DK31" s="253"/>
      <c r="DL31" s="253"/>
      <c r="DM31" s="253"/>
      <c r="DN31" s="253"/>
      <c r="DO31" s="253"/>
      <c r="DP31" s="253"/>
      <c r="DQ31" s="253"/>
      <c r="DR31" s="253"/>
      <c r="DS31" s="253"/>
      <c r="DT31" s="253"/>
      <c r="DU31" s="253"/>
      <c r="DV31" s="253"/>
      <c r="DW31" s="253"/>
      <c r="DX31" s="253"/>
      <c r="DY31" s="253"/>
      <c r="DZ31" s="253"/>
      <c r="EA31" s="253"/>
      <c r="EB31" s="253"/>
      <c r="EC31" s="253"/>
      <c r="ED31" s="253"/>
      <c r="EE31" s="253"/>
      <c r="EF31" s="253"/>
      <c r="EG31" s="253"/>
      <c r="EH31" s="253"/>
      <c r="EI31" s="253"/>
      <c r="EJ31" s="253"/>
      <c r="EK31" s="253"/>
      <c r="EL31" s="253"/>
      <c r="EM31" s="253"/>
      <c r="EN31" s="253"/>
      <c r="EO31" s="253"/>
      <c r="EP31" s="253"/>
      <c r="EQ31" s="253"/>
      <c r="ER31" s="253"/>
      <c r="ES31" s="253"/>
      <c r="ET31" s="253"/>
      <c r="EU31" s="253"/>
      <c r="EV31" s="253"/>
      <c r="EW31" s="255">
        <f>50-50</f>
        <v>0</v>
      </c>
      <c r="EX31" s="253"/>
      <c r="EY31" s="253"/>
      <c r="EZ31" s="253"/>
      <c r="FA31" s="255">
        <f>50-50</f>
        <v>0</v>
      </c>
      <c r="FB31" s="253"/>
      <c r="FC31" s="253"/>
      <c r="FD31" s="253"/>
      <c r="FE31" s="255">
        <f>50-50</f>
        <v>0</v>
      </c>
      <c r="FF31" s="253"/>
      <c r="FG31" s="253"/>
      <c r="FH31" s="253"/>
      <c r="FI31" s="253"/>
      <c r="FJ31" s="253"/>
      <c r="FK31" s="256"/>
      <c r="FL31" s="257" t="s">
        <v>817</v>
      </c>
      <c r="FM31" s="258" t="s">
        <v>389</v>
      </c>
      <c r="FN31" s="258"/>
      <c r="FO31" s="258" t="s">
        <v>402</v>
      </c>
      <c r="FP31" s="259">
        <f t="shared" si="0"/>
        <v>0</v>
      </c>
      <c r="FQ31" s="260" t="s">
        <v>403</v>
      </c>
      <c r="FR31" s="260"/>
    </row>
    <row r="32" spans="1:174" hidden="1">
      <c r="A32" s="251" t="s">
        <v>393</v>
      </c>
      <c r="B32" s="251" t="s">
        <v>385</v>
      </c>
      <c r="C32" s="251" t="s">
        <v>394</v>
      </c>
      <c r="D32" s="251" t="s">
        <v>291</v>
      </c>
      <c r="E32" s="252" t="s">
        <v>830</v>
      </c>
      <c r="F32" s="251" t="s">
        <v>388</v>
      </c>
      <c r="G32" s="251"/>
      <c r="H32" s="253"/>
      <c r="I32" s="253"/>
      <c r="J32" s="253"/>
      <c r="K32" s="253"/>
      <c r="L32" s="253"/>
      <c r="M32" s="253"/>
      <c r="N32" s="253"/>
      <c r="O32" s="253"/>
      <c r="P32" s="253"/>
      <c r="Q32" s="253"/>
      <c r="R32" s="253"/>
      <c r="S32" s="253"/>
      <c r="T32" s="253"/>
      <c r="U32" s="253"/>
      <c r="V32" s="253"/>
      <c r="W32" s="253"/>
      <c r="X32" s="253"/>
      <c r="Y32" s="253"/>
      <c r="Z32" s="253"/>
      <c r="AA32" s="253"/>
      <c r="AB32" s="253"/>
      <c r="AC32" s="253"/>
      <c r="AD32" s="253"/>
      <c r="AE32" s="253"/>
      <c r="AF32" s="253"/>
      <c r="AG32" s="253"/>
      <c r="AH32" s="255">
        <f>50-50</f>
        <v>0</v>
      </c>
      <c r="AI32" s="253"/>
      <c r="AJ32" s="253"/>
      <c r="AK32" s="253"/>
      <c r="AL32" s="253"/>
      <c r="AM32" s="253"/>
      <c r="AN32" s="253"/>
      <c r="AO32" s="253"/>
      <c r="AP32" s="253"/>
      <c r="AQ32" s="253"/>
      <c r="AR32" s="253"/>
      <c r="AS32" s="253"/>
      <c r="AT32" s="253"/>
      <c r="AU32" s="253"/>
      <c r="AV32" s="253"/>
      <c r="AW32" s="253"/>
      <c r="AX32" s="253"/>
      <c r="AY32" s="253"/>
      <c r="AZ32" s="253"/>
      <c r="BA32" s="253"/>
      <c r="BB32" s="253"/>
      <c r="BC32" s="253"/>
      <c r="BD32" s="253"/>
      <c r="BE32" s="253"/>
      <c r="BF32" s="255">
        <f>50-50</f>
        <v>0</v>
      </c>
      <c r="BG32" s="253"/>
      <c r="BH32" s="253"/>
      <c r="BI32" s="253"/>
      <c r="BJ32" s="253"/>
      <c r="BK32" s="253"/>
      <c r="BL32" s="253"/>
      <c r="BM32" s="253"/>
      <c r="BN32" s="253"/>
      <c r="BO32" s="253"/>
      <c r="BP32" s="253"/>
      <c r="BQ32" s="253"/>
      <c r="BR32" s="253"/>
      <c r="BS32" s="253"/>
      <c r="BT32" s="253"/>
      <c r="BU32" s="253"/>
      <c r="BV32" s="253"/>
      <c r="BW32" s="253"/>
      <c r="BX32" s="253"/>
      <c r="BY32" s="253"/>
      <c r="BZ32" s="253"/>
      <c r="CA32" s="253"/>
      <c r="CB32" s="253"/>
      <c r="CC32" s="253"/>
      <c r="CD32" s="253"/>
      <c r="CE32" s="253"/>
      <c r="CF32" s="253"/>
      <c r="CG32" s="253"/>
      <c r="CH32" s="253"/>
      <c r="CI32" s="253"/>
      <c r="CJ32" s="253"/>
      <c r="CK32" s="253"/>
      <c r="CL32" s="253"/>
      <c r="CM32" s="253"/>
      <c r="CN32" s="253"/>
      <c r="CO32" s="253"/>
      <c r="CP32" s="253"/>
      <c r="CQ32" s="253"/>
      <c r="CR32" s="253"/>
      <c r="CS32" s="253"/>
      <c r="CT32" s="253"/>
      <c r="CU32" s="253"/>
      <c r="CV32" s="253"/>
      <c r="CW32" s="253"/>
      <c r="CX32" s="253"/>
      <c r="CY32" s="253"/>
      <c r="CZ32" s="253"/>
      <c r="DA32" s="253"/>
      <c r="DB32" s="253"/>
      <c r="DC32" s="253"/>
      <c r="DD32" s="253"/>
      <c r="DE32" s="253"/>
      <c r="DF32" s="253"/>
      <c r="DG32" s="253"/>
      <c r="DH32" s="253"/>
      <c r="DI32" s="253"/>
      <c r="DJ32" s="253"/>
      <c r="DK32" s="253"/>
      <c r="DL32" s="253"/>
      <c r="DM32" s="253"/>
      <c r="DN32" s="253"/>
      <c r="DO32" s="253"/>
      <c r="DP32" s="253"/>
      <c r="DQ32" s="253"/>
      <c r="DR32" s="253"/>
      <c r="DS32" s="253"/>
      <c r="DT32" s="253"/>
      <c r="DU32" s="253"/>
      <c r="DV32" s="253"/>
      <c r="DW32" s="253"/>
      <c r="DX32" s="253"/>
      <c r="DY32" s="253"/>
      <c r="DZ32" s="253"/>
      <c r="EA32" s="253"/>
      <c r="EB32" s="253"/>
      <c r="EC32" s="253"/>
      <c r="ED32" s="253"/>
      <c r="EE32" s="253"/>
      <c r="EF32" s="253"/>
      <c r="EG32" s="253"/>
      <c r="EH32" s="253"/>
      <c r="EI32" s="253"/>
      <c r="EJ32" s="253"/>
      <c r="EK32" s="253"/>
      <c r="EL32" s="253"/>
      <c r="EM32" s="253"/>
      <c r="EN32" s="253"/>
      <c r="EO32" s="253"/>
      <c r="EP32" s="253"/>
      <c r="EQ32" s="253"/>
      <c r="ER32" s="253"/>
      <c r="ES32" s="253"/>
      <c r="ET32" s="253"/>
      <c r="EU32" s="253"/>
      <c r="EV32" s="253"/>
      <c r="EW32" s="253"/>
      <c r="EX32" s="253"/>
      <c r="EY32" s="253"/>
      <c r="EZ32" s="253"/>
      <c r="FA32" s="253"/>
      <c r="FB32" s="253"/>
      <c r="FC32" s="253"/>
      <c r="FD32" s="253"/>
      <c r="FE32" s="253"/>
      <c r="FF32" s="253"/>
      <c r="FG32" s="253"/>
      <c r="FH32" s="253"/>
      <c r="FI32" s="253"/>
      <c r="FJ32" s="253"/>
      <c r="FK32" s="256"/>
      <c r="FL32" s="257" t="s">
        <v>817</v>
      </c>
      <c r="FM32" s="258" t="s">
        <v>389</v>
      </c>
      <c r="FN32" s="258"/>
      <c r="FO32" s="258" t="s">
        <v>824</v>
      </c>
      <c r="FP32" s="259">
        <f t="shared" si="0"/>
        <v>0</v>
      </c>
      <c r="FQ32" s="260" t="s">
        <v>820</v>
      </c>
      <c r="FR32" s="260"/>
    </row>
    <row r="33" spans="1:174" hidden="1">
      <c r="A33" s="251" t="s">
        <v>393</v>
      </c>
      <c r="B33" s="251" t="s">
        <v>385</v>
      </c>
      <c r="C33" s="251" t="s">
        <v>394</v>
      </c>
      <c r="D33" s="251" t="s">
        <v>1</v>
      </c>
      <c r="E33" s="252" t="s">
        <v>830</v>
      </c>
      <c r="F33" s="251" t="s">
        <v>388</v>
      </c>
      <c r="G33" s="251"/>
      <c r="H33" s="253"/>
      <c r="I33" s="253"/>
      <c r="J33" s="253"/>
      <c r="K33" s="253"/>
      <c r="L33" s="253"/>
      <c r="M33" s="253"/>
      <c r="N33" s="253"/>
      <c r="O33" s="253"/>
      <c r="P33" s="253"/>
      <c r="Q33" s="253"/>
      <c r="R33" s="253"/>
      <c r="S33" s="253"/>
      <c r="T33" s="253"/>
      <c r="U33" s="253"/>
      <c r="V33" s="253"/>
      <c r="W33" s="253"/>
      <c r="X33" s="253"/>
      <c r="Y33" s="253"/>
      <c r="Z33" s="253"/>
      <c r="AA33" s="253"/>
      <c r="AB33" s="255">
        <f>50-50</f>
        <v>0</v>
      </c>
      <c r="AC33" s="253"/>
      <c r="AD33" s="253"/>
      <c r="AE33" s="255">
        <f>50-50</f>
        <v>0</v>
      </c>
      <c r="AF33" s="253"/>
      <c r="AG33" s="253"/>
      <c r="AH33" s="253"/>
      <c r="AI33" s="253"/>
      <c r="AJ33" s="253"/>
      <c r="AK33" s="253"/>
      <c r="AL33" s="253"/>
      <c r="AM33" s="253"/>
      <c r="AN33" s="253"/>
      <c r="AO33" s="253"/>
      <c r="AP33" s="253"/>
      <c r="AQ33" s="253"/>
      <c r="AR33" s="253"/>
      <c r="AS33" s="253"/>
      <c r="AT33" s="253"/>
      <c r="AU33" s="255">
        <f>200-200</f>
        <v>0</v>
      </c>
      <c r="AV33" s="253"/>
      <c r="AW33" s="253"/>
      <c r="AX33" s="253"/>
      <c r="AY33" s="253"/>
      <c r="AZ33" s="253"/>
      <c r="BA33" s="253"/>
      <c r="BB33" s="253"/>
      <c r="BC33" s="253"/>
      <c r="BD33" s="253"/>
      <c r="BE33" s="253"/>
      <c r="BF33" s="253"/>
      <c r="BG33" s="253"/>
      <c r="BH33" s="255">
        <f>20-20</f>
        <v>0</v>
      </c>
      <c r="BI33" s="253"/>
      <c r="BJ33" s="253"/>
      <c r="BK33" s="253"/>
      <c r="BL33" s="253"/>
      <c r="BM33" s="253"/>
      <c r="BN33" s="253"/>
      <c r="BO33" s="253"/>
      <c r="BP33" s="253"/>
      <c r="BQ33" s="253"/>
      <c r="BR33" s="253"/>
      <c r="BS33" s="253"/>
      <c r="BT33" s="253"/>
      <c r="BU33" s="253"/>
      <c r="BV33" s="253"/>
      <c r="BW33" s="253"/>
      <c r="BX33" s="253"/>
      <c r="BY33" s="253"/>
      <c r="BZ33" s="253"/>
      <c r="CA33" s="253"/>
      <c r="CB33" s="253"/>
      <c r="CC33" s="253"/>
      <c r="CD33" s="253"/>
      <c r="CE33" s="253"/>
      <c r="CF33" s="253"/>
      <c r="CG33" s="253"/>
      <c r="CH33" s="253"/>
      <c r="CI33" s="253"/>
      <c r="CJ33" s="253"/>
      <c r="CK33" s="253"/>
      <c r="CL33" s="253"/>
      <c r="CM33" s="253"/>
      <c r="CN33" s="253"/>
      <c r="CO33" s="253"/>
      <c r="CP33" s="253"/>
      <c r="CQ33" s="253"/>
      <c r="CR33" s="253"/>
      <c r="CS33" s="253"/>
      <c r="CT33" s="253"/>
      <c r="CU33" s="253"/>
      <c r="CV33" s="253"/>
      <c r="CW33" s="253"/>
      <c r="CX33" s="253"/>
      <c r="CY33" s="253"/>
      <c r="CZ33" s="253"/>
      <c r="DA33" s="253"/>
      <c r="DB33" s="253"/>
      <c r="DC33" s="253"/>
      <c r="DD33" s="253"/>
      <c r="DE33" s="253"/>
      <c r="DF33" s="253"/>
      <c r="DG33" s="253"/>
      <c r="DH33" s="253"/>
      <c r="DI33" s="253"/>
      <c r="DJ33" s="253"/>
      <c r="DK33" s="253"/>
      <c r="DL33" s="253"/>
      <c r="DM33" s="253"/>
      <c r="DN33" s="253"/>
      <c r="DO33" s="253"/>
      <c r="DP33" s="253"/>
      <c r="DQ33" s="253"/>
      <c r="DR33" s="253"/>
      <c r="DS33" s="253"/>
      <c r="DT33" s="253"/>
      <c r="DU33" s="253"/>
      <c r="DV33" s="253"/>
      <c r="DW33" s="253"/>
      <c r="DX33" s="253"/>
      <c r="DY33" s="253"/>
      <c r="DZ33" s="253"/>
      <c r="EA33" s="253"/>
      <c r="EB33" s="253"/>
      <c r="EC33" s="253"/>
      <c r="ED33" s="253"/>
      <c r="EE33" s="253"/>
      <c r="EF33" s="253"/>
      <c r="EG33" s="253"/>
      <c r="EH33" s="253"/>
      <c r="EI33" s="253"/>
      <c r="EJ33" s="253"/>
      <c r="EK33" s="253"/>
      <c r="EL33" s="255">
        <f>100-100</f>
        <v>0</v>
      </c>
      <c r="EM33" s="253"/>
      <c r="EN33" s="253"/>
      <c r="EO33" s="255">
        <f>100-100</f>
        <v>0</v>
      </c>
      <c r="EP33" s="253"/>
      <c r="EQ33" s="253"/>
      <c r="ER33" s="253"/>
      <c r="ES33" s="253"/>
      <c r="ET33" s="253"/>
      <c r="EU33" s="253"/>
      <c r="EV33" s="253"/>
      <c r="EW33" s="253"/>
      <c r="EX33" s="253"/>
      <c r="EY33" s="253"/>
      <c r="EZ33" s="253"/>
      <c r="FA33" s="253"/>
      <c r="FB33" s="253"/>
      <c r="FC33" s="253"/>
      <c r="FD33" s="253"/>
      <c r="FE33" s="253"/>
      <c r="FF33" s="253"/>
      <c r="FG33" s="253"/>
      <c r="FH33" s="253"/>
      <c r="FI33" s="253"/>
      <c r="FJ33" s="253"/>
      <c r="FK33" s="256"/>
      <c r="FL33" s="257" t="s">
        <v>817</v>
      </c>
      <c r="FM33" s="258" t="s">
        <v>389</v>
      </c>
      <c r="FN33" s="258"/>
      <c r="FO33" s="258" t="s">
        <v>824</v>
      </c>
      <c r="FP33" s="259">
        <f t="shared" si="0"/>
        <v>0</v>
      </c>
      <c r="FQ33" s="260" t="s">
        <v>820</v>
      </c>
      <c r="FR33" s="260"/>
    </row>
    <row r="34" spans="1:174" hidden="1">
      <c r="A34" s="251" t="s">
        <v>393</v>
      </c>
      <c r="B34" s="251" t="s">
        <v>385</v>
      </c>
      <c r="C34" s="251" t="s">
        <v>394</v>
      </c>
      <c r="D34" s="251" t="s">
        <v>291</v>
      </c>
      <c r="E34" s="252" t="s">
        <v>405</v>
      </c>
      <c r="F34" s="251" t="s">
        <v>388</v>
      </c>
      <c r="G34" s="251"/>
      <c r="H34" s="253"/>
      <c r="I34" s="253"/>
      <c r="J34" s="253"/>
      <c r="K34" s="253"/>
      <c r="L34" s="253"/>
      <c r="M34" s="253"/>
      <c r="N34" s="253"/>
      <c r="O34" s="253"/>
      <c r="P34" s="253"/>
      <c r="Q34" s="253"/>
      <c r="R34" s="253"/>
      <c r="S34" s="253"/>
      <c r="T34" s="253"/>
      <c r="U34" s="253"/>
      <c r="V34" s="253"/>
      <c r="W34" s="253"/>
      <c r="X34" s="253"/>
      <c r="Y34" s="253"/>
      <c r="Z34" s="253"/>
      <c r="AA34" s="253"/>
      <c r="AB34" s="253"/>
      <c r="AC34" s="253"/>
      <c r="AD34" s="253"/>
      <c r="AE34" s="253"/>
      <c r="AF34" s="253"/>
      <c r="AG34" s="255">
        <f>3000-3000</f>
        <v>0</v>
      </c>
      <c r="AH34" s="255">
        <f>3000-3000</f>
        <v>0</v>
      </c>
      <c r="AI34" s="253"/>
      <c r="AJ34" s="253"/>
      <c r="AK34" s="253"/>
      <c r="AL34" s="253"/>
      <c r="AM34" s="253"/>
      <c r="AN34" s="253"/>
      <c r="AO34" s="253"/>
      <c r="AP34" s="253"/>
      <c r="AQ34" s="255">
        <f>100-100</f>
        <v>0</v>
      </c>
      <c r="AR34" s="255">
        <f>50-50</f>
        <v>0</v>
      </c>
      <c r="AS34" s="253"/>
      <c r="AT34" s="253"/>
      <c r="AU34" s="253"/>
      <c r="AV34" s="253"/>
      <c r="AW34" s="253"/>
      <c r="AX34" s="253"/>
      <c r="AY34" s="253"/>
      <c r="AZ34" s="253"/>
      <c r="BA34" s="253"/>
      <c r="BB34" s="253"/>
      <c r="BC34" s="253"/>
      <c r="BD34" s="253"/>
      <c r="BE34" s="253"/>
      <c r="BF34" s="253"/>
      <c r="BG34" s="253"/>
      <c r="BH34" s="253"/>
      <c r="BI34" s="253"/>
      <c r="BJ34" s="253"/>
      <c r="BK34" s="253"/>
      <c r="BL34" s="253"/>
      <c r="BM34" s="253"/>
      <c r="BN34" s="253"/>
      <c r="BO34" s="253"/>
      <c r="BP34" s="253"/>
      <c r="BQ34" s="253"/>
      <c r="BR34" s="253"/>
      <c r="BS34" s="253"/>
      <c r="BT34" s="253"/>
      <c r="BU34" s="253"/>
      <c r="BV34" s="253"/>
      <c r="BW34" s="253"/>
      <c r="BX34" s="253"/>
      <c r="BY34" s="253"/>
      <c r="BZ34" s="253"/>
      <c r="CA34" s="253"/>
      <c r="CB34" s="253"/>
      <c r="CC34" s="253"/>
      <c r="CD34" s="253"/>
      <c r="CE34" s="253"/>
      <c r="CF34" s="253"/>
      <c r="CG34" s="253"/>
      <c r="CH34" s="253"/>
      <c r="CI34" s="253"/>
      <c r="CJ34" s="253"/>
      <c r="CK34" s="253"/>
      <c r="CL34" s="253"/>
      <c r="CM34" s="253"/>
      <c r="CN34" s="253"/>
      <c r="CO34" s="253"/>
      <c r="CP34" s="253"/>
      <c r="CQ34" s="253"/>
      <c r="CR34" s="253"/>
      <c r="CS34" s="253"/>
      <c r="CT34" s="253"/>
      <c r="CU34" s="253"/>
      <c r="CV34" s="253"/>
      <c r="CW34" s="253"/>
      <c r="CX34" s="253"/>
      <c r="CY34" s="253"/>
      <c r="CZ34" s="253"/>
      <c r="DA34" s="253"/>
      <c r="DB34" s="253"/>
      <c r="DC34" s="253"/>
      <c r="DD34" s="253"/>
      <c r="DE34" s="253"/>
      <c r="DF34" s="253"/>
      <c r="DG34" s="253"/>
      <c r="DH34" s="253"/>
      <c r="DI34" s="253"/>
      <c r="DJ34" s="253"/>
      <c r="DK34" s="253"/>
      <c r="DL34" s="253"/>
      <c r="DM34" s="253"/>
      <c r="DN34" s="253"/>
      <c r="DO34" s="253"/>
      <c r="DP34" s="253"/>
      <c r="DQ34" s="253"/>
      <c r="DR34" s="253"/>
      <c r="DS34" s="253"/>
      <c r="DT34" s="253"/>
      <c r="DU34" s="253"/>
      <c r="DV34" s="253"/>
      <c r="DW34" s="253"/>
      <c r="DX34" s="253"/>
      <c r="DY34" s="253"/>
      <c r="DZ34" s="253"/>
      <c r="EA34" s="253"/>
      <c r="EB34" s="253"/>
      <c r="EC34" s="253"/>
      <c r="ED34" s="253"/>
      <c r="EE34" s="253"/>
      <c r="EF34" s="253"/>
      <c r="EG34" s="253"/>
      <c r="EH34" s="253"/>
      <c r="EI34" s="253"/>
      <c r="EJ34" s="253"/>
      <c r="EK34" s="253"/>
      <c r="EL34" s="253"/>
      <c r="EM34" s="253"/>
      <c r="EN34" s="253"/>
      <c r="EO34" s="253"/>
      <c r="EP34" s="253"/>
      <c r="EQ34" s="253"/>
      <c r="ER34" s="253"/>
      <c r="ES34" s="253"/>
      <c r="ET34" s="253"/>
      <c r="EU34" s="253"/>
      <c r="EV34" s="253"/>
      <c r="EW34" s="253"/>
      <c r="EX34" s="253"/>
      <c r="EY34" s="253"/>
      <c r="EZ34" s="253"/>
      <c r="FA34" s="253"/>
      <c r="FB34" s="253"/>
      <c r="FC34" s="253"/>
      <c r="FD34" s="253"/>
      <c r="FE34" s="253"/>
      <c r="FF34" s="253"/>
      <c r="FG34" s="253"/>
      <c r="FH34" s="253"/>
      <c r="FI34" s="253"/>
      <c r="FJ34" s="253"/>
      <c r="FK34" s="256"/>
      <c r="FL34" s="257" t="s">
        <v>817</v>
      </c>
      <c r="FM34" s="258" t="s">
        <v>389</v>
      </c>
      <c r="FN34" s="258"/>
      <c r="FO34" s="258" t="s">
        <v>397</v>
      </c>
      <c r="FP34" s="259">
        <f t="shared" si="0"/>
        <v>0</v>
      </c>
      <c r="FQ34" s="260" t="s">
        <v>398</v>
      </c>
      <c r="FR34" s="260"/>
    </row>
    <row r="35" spans="1:174" hidden="1">
      <c r="A35" s="251" t="s">
        <v>393</v>
      </c>
      <c r="B35" s="251" t="s">
        <v>385</v>
      </c>
      <c r="C35" s="251" t="s">
        <v>394</v>
      </c>
      <c r="D35" s="251" t="s">
        <v>1</v>
      </c>
      <c r="E35" s="252" t="s">
        <v>405</v>
      </c>
      <c r="F35" s="251" t="s">
        <v>388</v>
      </c>
      <c r="G35" s="251"/>
      <c r="H35" s="253"/>
      <c r="I35" s="253"/>
      <c r="J35" s="253"/>
      <c r="K35" s="253"/>
      <c r="L35" s="253"/>
      <c r="M35" s="253"/>
      <c r="N35" s="253"/>
      <c r="O35" s="253"/>
      <c r="P35" s="253"/>
      <c r="Q35" s="253"/>
      <c r="R35" s="253"/>
      <c r="S35" s="253"/>
      <c r="T35" s="253"/>
      <c r="U35" s="253"/>
      <c r="V35" s="253"/>
      <c r="W35" s="253"/>
      <c r="X35" s="253"/>
      <c r="Y35" s="253"/>
      <c r="Z35" s="253"/>
      <c r="AA35" s="255">
        <f>100-100</f>
        <v>0</v>
      </c>
      <c r="AB35" s="253"/>
      <c r="AC35" s="253"/>
      <c r="AD35" s="253"/>
      <c r="AE35" s="255">
        <f>100-100</f>
        <v>0</v>
      </c>
      <c r="AF35" s="253"/>
      <c r="AG35" s="253"/>
      <c r="AH35" s="253"/>
      <c r="AI35" s="253"/>
      <c r="AJ35" s="253"/>
      <c r="AK35" s="253"/>
      <c r="AL35" s="253"/>
      <c r="AM35" s="253"/>
      <c r="AN35" s="253"/>
      <c r="AO35" s="253"/>
      <c r="AP35" s="253"/>
      <c r="AQ35" s="253"/>
      <c r="AR35" s="253"/>
      <c r="AS35" s="253"/>
      <c r="AT35" s="253"/>
      <c r="AU35" s="255">
        <f>2000-2000</f>
        <v>0</v>
      </c>
      <c r="AV35" s="253"/>
      <c r="AW35" s="253"/>
      <c r="AX35" s="253"/>
      <c r="AY35" s="253"/>
      <c r="AZ35" s="253"/>
      <c r="BA35" s="253"/>
      <c r="BB35" s="253"/>
      <c r="BC35" s="253"/>
      <c r="BD35" s="253"/>
      <c r="BE35" s="253"/>
      <c r="BF35" s="253"/>
      <c r="BG35" s="253"/>
      <c r="BH35" s="253"/>
      <c r="BI35" s="253"/>
      <c r="BJ35" s="253"/>
      <c r="BK35" s="253"/>
      <c r="BL35" s="253"/>
      <c r="BM35" s="253"/>
      <c r="BN35" s="253"/>
      <c r="BO35" s="253"/>
      <c r="BP35" s="253"/>
      <c r="BQ35" s="253"/>
      <c r="BR35" s="253"/>
      <c r="BS35" s="253"/>
      <c r="BT35" s="253"/>
      <c r="BU35" s="253"/>
      <c r="BV35" s="253"/>
      <c r="BW35" s="253"/>
      <c r="BX35" s="253"/>
      <c r="BY35" s="253"/>
      <c r="BZ35" s="253"/>
      <c r="CA35" s="253"/>
      <c r="CB35" s="253"/>
      <c r="CC35" s="253"/>
      <c r="CD35" s="253"/>
      <c r="CE35" s="253"/>
      <c r="CF35" s="253"/>
      <c r="CG35" s="253"/>
      <c r="CH35" s="253"/>
      <c r="CI35" s="253"/>
      <c r="CJ35" s="253"/>
      <c r="CK35" s="253"/>
      <c r="CL35" s="253"/>
      <c r="CM35" s="253"/>
      <c r="CN35" s="253"/>
      <c r="CO35" s="253"/>
      <c r="CP35" s="253"/>
      <c r="CQ35" s="253"/>
      <c r="CR35" s="253"/>
      <c r="CS35" s="253"/>
      <c r="CT35" s="253"/>
      <c r="CU35" s="253"/>
      <c r="CV35" s="253"/>
      <c r="CW35" s="253"/>
      <c r="CX35" s="253"/>
      <c r="CY35" s="253"/>
      <c r="CZ35" s="253"/>
      <c r="DA35" s="253"/>
      <c r="DB35" s="253"/>
      <c r="DC35" s="253"/>
      <c r="DD35" s="253"/>
      <c r="DE35" s="253"/>
      <c r="DF35" s="253"/>
      <c r="DG35" s="253"/>
      <c r="DH35" s="253"/>
      <c r="DI35" s="253"/>
      <c r="DJ35" s="253"/>
      <c r="DK35" s="253"/>
      <c r="DL35" s="253"/>
      <c r="DM35" s="253"/>
      <c r="DN35" s="253"/>
      <c r="DO35" s="253"/>
      <c r="DP35" s="253"/>
      <c r="DQ35" s="253"/>
      <c r="DR35" s="253"/>
      <c r="DS35" s="253"/>
      <c r="DT35" s="253"/>
      <c r="DU35" s="253"/>
      <c r="DV35" s="253"/>
      <c r="DW35" s="253"/>
      <c r="DX35" s="253"/>
      <c r="DY35" s="253"/>
      <c r="DZ35" s="253"/>
      <c r="EA35" s="253"/>
      <c r="EB35" s="253"/>
      <c r="EC35" s="253"/>
      <c r="ED35" s="253"/>
      <c r="EE35" s="253"/>
      <c r="EF35" s="253"/>
      <c r="EG35" s="253"/>
      <c r="EH35" s="253"/>
      <c r="EI35" s="253"/>
      <c r="EJ35" s="253"/>
      <c r="EK35" s="253"/>
      <c r="EL35" s="253"/>
      <c r="EM35" s="253"/>
      <c r="EN35" s="253"/>
      <c r="EO35" s="253"/>
      <c r="EP35" s="253"/>
      <c r="EQ35" s="253"/>
      <c r="ER35" s="253"/>
      <c r="ES35" s="253"/>
      <c r="ET35" s="253"/>
      <c r="EU35" s="253"/>
      <c r="EV35" s="255">
        <f>10-10</f>
        <v>0</v>
      </c>
      <c r="EW35" s="253"/>
      <c r="EX35" s="255">
        <f>20-20</f>
        <v>0</v>
      </c>
      <c r="EY35" s="255">
        <f>10-10</f>
        <v>0</v>
      </c>
      <c r="EZ35" s="253"/>
      <c r="FA35" s="253"/>
      <c r="FB35" s="255">
        <f>20-20</f>
        <v>0</v>
      </c>
      <c r="FC35" s="253"/>
      <c r="FD35" s="253"/>
      <c r="FE35" s="253"/>
      <c r="FF35" s="253"/>
      <c r="FG35" s="253"/>
      <c r="FH35" s="253"/>
      <c r="FI35" s="253"/>
      <c r="FJ35" s="253"/>
      <c r="FK35" s="256"/>
      <c r="FL35" s="257" t="s">
        <v>817</v>
      </c>
      <c r="FM35" s="258" t="s">
        <v>389</v>
      </c>
      <c r="FN35" s="258"/>
      <c r="FO35" s="258" t="s">
        <v>397</v>
      </c>
      <c r="FP35" s="259">
        <f t="shared" si="0"/>
        <v>0</v>
      </c>
      <c r="FQ35" s="260" t="s">
        <v>398</v>
      </c>
      <c r="FR35" s="260"/>
    </row>
    <row r="36" spans="1:174" hidden="1">
      <c r="A36" s="251" t="s">
        <v>393</v>
      </c>
      <c r="B36" s="251" t="s">
        <v>385</v>
      </c>
      <c r="C36" s="251" t="s">
        <v>407</v>
      </c>
      <c r="D36" s="251" t="s">
        <v>291</v>
      </c>
      <c r="E36" s="252" t="s">
        <v>408</v>
      </c>
      <c r="F36" s="251" t="s">
        <v>388</v>
      </c>
      <c r="G36" s="251"/>
      <c r="H36" s="253"/>
      <c r="I36" s="255">
        <f>200-200</f>
        <v>0</v>
      </c>
      <c r="J36" s="253"/>
      <c r="K36" s="253"/>
      <c r="L36" s="253"/>
      <c r="M36" s="253"/>
      <c r="N36" s="255">
        <f>500-500</f>
        <v>0</v>
      </c>
      <c r="O36" s="253"/>
      <c r="P36" s="253"/>
      <c r="Q36" s="253"/>
      <c r="R36" s="253"/>
      <c r="S36" s="253"/>
      <c r="T36" s="253"/>
      <c r="U36" s="253"/>
      <c r="V36" s="253"/>
      <c r="W36" s="253"/>
      <c r="X36" s="253"/>
      <c r="Y36" s="253"/>
      <c r="Z36" s="253"/>
      <c r="AA36" s="253"/>
      <c r="AB36" s="253"/>
      <c r="AC36" s="253"/>
      <c r="AD36" s="253"/>
      <c r="AE36" s="253"/>
      <c r="AF36" s="253"/>
      <c r="AG36" s="253"/>
      <c r="AH36" s="253"/>
      <c r="AI36" s="253"/>
      <c r="AJ36" s="253"/>
      <c r="AK36" s="253"/>
      <c r="AL36" s="253"/>
      <c r="AM36" s="253"/>
      <c r="AN36" s="253"/>
      <c r="AO36" s="253"/>
      <c r="AP36" s="253"/>
      <c r="AQ36" s="253"/>
      <c r="AR36" s="253"/>
      <c r="AS36" s="253"/>
      <c r="AT36" s="253"/>
      <c r="AU36" s="253"/>
      <c r="AV36" s="253"/>
      <c r="AW36" s="253"/>
      <c r="AX36" s="253"/>
      <c r="AY36" s="253"/>
      <c r="AZ36" s="253"/>
      <c r="BA36" s="253"/>
      <c r="BB36" s="253"/>
      <c r="BC36" s="253"/>
      <c r="BD36" s="253"/>
      <c r="BE36" s="253"/>
      <c r="BF36" s="255">
        <f>2000-2000</f>
        <v>0</v>
      </c>
      <c r="BG36" s="253"/>
      <c r="BH36" s="253"/>
      <c r="BI36" s="253"/>
      <c r="BJ36" s="253"/>
      <c r="BK36" s="253"/>
      <c r="BL36" s="253"/>
      <c r="BM36" s="253"/>
      <c r="BN36" s="253"/>
      <c r="BO36" s="253"/>
      <c r="BP36" s="253"/>
      <c r="BQ36" s="253"/>
      <c r="BR36" s="253"/>
      <c r="BS36" s="253"/>
      <c r="BT36" s="253"/>
      <c r="BU36" s="253"/>
      <c r="BV36" s="253"/>
      <c r="BW36" s="253"/>
      <c r="BX36" s="253"/>
      <c r="BY36" s="253"/>
      <c r="BZ36" s="253"/>
      <c r="CA36" s="253"/>
      <c r="CB36" s="253"/>
      <c r="CC36" s="253"/>
      <c r="CD36" s="253"/>
      <c r="CE36" s="253"/>
      <c r="CF36" s="253"/>
      <c r="CG36" s="253"/>
      <c r="CH36" s="253"/>
      <c r="CI36" s="253"/>
      <c r="CJ36" s="253"/>
      <c r="CK36" s="253"/>
      <c r="CL36" s="253"/>
      <c r="CM36" s="253"/>
      <c r="CN36" s="253"/>
      <c r="CO36" s="253"/>
      <c r="CP36" s="253"/>
      <c r="CQ36" s="253"/>
      <c r="CR36" s="253"/>
      <c r="CS36" s="253"/>
      <c r="CT36" s="253"/>
      <c r="CU36" s="253"/>
      <c r="CV36" s="253"/>
      <c r="CW36" s="253"/>
      <c r="CX36" s="253"/>
      <c r="CY36" s="253"/>
      <c r="CZ36" s="253"/>
      <c r="DA36" s="253"/>
      <c r="DB36" s="253"/>
      <c r="DC36" s="253"/>
      <c r="DD36" s="253"/>
      <c r="DE36" s="253"/>
      <c r="DF36" s="253"/>
      <c r="DG36" s="253"/>
      <c r="DH36" s="253"/>
      <c r="DI36" s="253"/>
      <c r="DJ36" s="253"/>
      <c r="DK36" s="253"/>
      <c r="DL36" s="253"/>
      <c r="DM36" s="253"/>
      <c r="DN36" s="253"/>
      <c r="DO36" s="253"/>
      <c r="DP36" s="253"/>
      <c r="DQ36" s="253"/>
      <c r="DR36" s="253"/>
      <c r="DS36" s="253"/>
      <c r="DT36" s="253"/>
      <c r="DU36" s="253"/>
      <c r="DV36" s="253"/>
      <c r="DW36" s="253"/>
      <c r="DX36" s="253"/>
      <c r="DY36" s="253"/>
      <c r="DZ36" s="253"/>
      <c r="EA36" s="253"/>
      <c r="EB36" s="253"/>
      <c r="EC36" s="253"/>
      <c r="ED36" s="253"/>
      <c r="EE36" s="253"/>
      <c r="EF36" s="253"/>
      <c r="EG36" s="253"/>
      <c r="EH36" s="253"/>
      <c r="EI36" s="253"/>
      <c r="EJ36" s="253"/>
      <c r="EK36" s="253"/>
      <c r="EL36" s="253"/>
      <c r="EM36" s="253"/>
      <c r="EN36" s="253"/>
      <c r="EO36" s="253"/>
      <c r="EP36" s="253"/>
      <c r="EQ36" s="253"/>
      <c r="ER36" s="253"/>
      <c r="ES36" s="253"/>
      <c r="ET36" s="253"/>
      <c r="EU36" s="253"/>
      <c r="EV36" s="253"/>
      <c r="EW36" s="253"/>
      <c r="EX36" s="253"/>
      <c r="EY36" s="253"/>
      <c r="EZ36" s="253"/>
      <c r="FA36" s="253"/>
      <c r="FB36" s="253"/>
      <c r="FC36" s="253"/>
      <c r="FD36" s="253"/>
      <c r="FE36" s="253"/>
      <c r="FF36" s="253"/>
      <c r="FG36" s="253"/>
      <c r="FH36" s="253"/>
      <c r="FI36" s="253"/>
      <c r="FJ36" s="253"/>
      <c r="FK36" s="256"/>
      <c r="FL36" s="257" t="s">
        <v>817</v>
      </c>
      <c r="FM36" s="258" t="s">
        <v>389</v>
      </c>
      <c r="FN36" s="258"/>
      <c r="FO36" s="258" t="s">
        <v>409</v>
      </c>
      <c r="FP36" s="259">
        <f t="shared" si="0"/>
        <v>0</v>
      </c>
      <c r="FQ36" s="260" t="s">
        <v>410</v>
      </c>
      <c r="FR36" s="260"/>
    </row>
    <row r="37" spans="1:174" hidden="1">
      <c r="A37" s="251" t="s">
        <v>393</v>
      </c>
      <c r="B37" s="251" t="s">
        <v>385</v>
      </c>
      <c r="C37" s="251" t="s">
        <v>407</v>
      </c>
      <c r="D37" s="251" t="s">
        <v>1</v>
      </c>
      <c r="E37" s="252" t="s">
        <v>408</v>
      </c>
      <c r="F37" s="251" t="s">
        <v>388</v>
      </c>
      <c r="G37" s="251"/>
      <c r="H37" s="253"/>
      <c r="I37" s="253"/>
      <c r="J37" s="253"/>
      <c r="K37" s="253"/>
      <c r="L37" s="253"/>
      <c r="M37" s="253"/>
      <c r="N37" s="254">
        <f>0+20</f>
        <v>20</v>
      </c>
      <c r="O37" s="255">
        <f>1000-1000</f>
        <v>0</v>
      </c>
      <c r="P37" s="255">
        <f>500-500</f>
        <v>0</v>
      </c>
      <c r="Q37" s="253"/>
      <c r="R37" s="253"/>
      <c r="S37" s="253"/>
      <c r="T37" s="253"/>
      <c r="U37" s="253"/>
      <c r="V37" s="253"/>
      <c r="W37" s="253"/>
      <c r="X37" s="253"/>
      <c r="Y37" s="253"/>
      <c r="Z37" s="253"/>
      <c r="AA37" s="253"/>
      <c r="AB37" s="255">
        <f>1000-1000</f>
        <v>0</v>
      </c>
      <c r="AC37" s="253"/>
      <c r="AD37" s="253"/>
      <c r="AE37" s="253"/>
      <c r="AF37" s="253"/>
      <c r="AG37" s="253"/>
      <c r="AH37" s="253"/>
      <c r="AI37" s="253"/>
      <c r="AJ37" s="253"/>
      <c r="AK37" s="253"/>
      <c r="AL37" s="253"/>
      <c r="AM37" s="255">
        <f>500-500</f>
        <v>0</v>
      </c>
      <c r="AN37" s="253"/>
      <c r="AO37" s="253"/>
      <c r="AP37" s="253"/>
      <c r="AQ37" s="253"/>
      <c r="AR37" s="253"/>
      <c r="AS37" s="253"/>
      <c r="AT37" s="253"/>
      <c r="AU37" s="255">
        <f>2000-2000</f>
        <v>0</v>
      </c>
      <c r="AV37" s="253"/>
      <c r="AW37" s="253"/>
      <c r="AX37" s="253"/>
      <c r="AY37" s="253"/>
      <c r="AZ37" s="253"/>
      <c r="BA37" s="253"/>
      <c r="BB37" s="253"/>
      <c r="BC37" s="253"/>
      <c r="BD37" s="253"/>
      <c r="BE37" s="253"/>
      <c r="BF37" s="253"/>
      <c r="BG37" s="253"/>
      <c r="BH37" s="253"/>
      <c r="BI37" s="253"/>
      <c r="BJ37" s="253"/>
      <c r="BK37" s="253"/>
      <c r="BL37" s="253"/>
      <c r="BM37" s="253"/>
      <c r="BN37" s="253"/>
      <c r="BO37" s="253"/>
      <c r="BP37" s="253"/>
      <c r="BQ37" s="253"/>
      <c r="BR37" s="253"/>
      <c r="BS37" s="253"/>
      <c r="BT37" s="253"/>
      <c r="BU37" s="253"/>
      <c r="BV37" s="253"/>
      <c r="BW37" s="253"/>
      <c r="BX37" s="253"/>
      <c r="BY37" s="253"/>
      <c r="BZ37" s="253"/>
      <c r="CA37" s="253"/>
      <c r="CB37" s="253"/>
      <c r="CC37" s="253"/>
      <c r="CD37" s="253"/>
      <c r="CE37" s="253"/>
      <c r="CF37" s="253"/>
      <c r="CG37" s="253"/>
      <c r="CH37" s="253"/>
      <c r="CI37" s="253"/>
      <c r="CJ37" s="253"/>
      <c r="CK37" s="253"/>
      <c r="CL37" s="253"/>
      <c r="CM37" s="253"/>
      <c r="CN37" s="253"/>
      <c r="CO37" s="253"/>
      <c r="CP37" s="253"/>
      <c r="CQ37" s="253"/>
      <c r="CR37" s="253"/>
      <c r="CS37" s="253"/>
      <c r="CT37" s="253"/>
      <c r="CU37" s="253"/>
      <c r="CV37" s="253"/>
      <c r="CW37" s="253"/>
      <c r="CX37" s="253"/>
      <c r="CY37" s="253"/>
      <c r="CZ37" s="253"/>
      <c r="DA37" s="253"/>
      <c r="DB37" s="253"/>
      <c r="DC37" s="253"/>
      <c r="DD37" s="253"/>
      <c r="DE37" s="253"/>
      <c r="DF37" s="253"/>
      <c r="DG37" s="253"/>
      <c r="DH37" s="253"/>
      <c r="DI37" s="253"/>
      <c r="DJ37" s="253"/>
      <c r="DK37" s="253"/>
      <c r="DL37" s="253"/>
      <c r="DM37" s="253"/>
      <c r="DN37" s="253"/>
      <c r="DO37" s="253"/>
      <c r="DP37" s="253"/>
      <c r="DQ37" s="253"/>
      <c r="DR37" s="253"/>
      <c r="DS37" s="253"/>
      <c r="DT37" s="253"/>
      <c r="DU37" s="253"/>
      <c r="DV37" s="253"/>
      <c r="DW37" s="253"/>
      <c r="DX37" s="253"/>
      <c r="DY37" s="253"/>
      <c r="DZ37" s="253"/>
      <c r="EA37" s="253"/>
      <c r="EB37" s="253"/>
      <c r="EC37" s="253"/>
      <c r="ED37" s="253"/>
      <c r="EE37" s="253"/>
      <c r="EF37" s="253"/>
      <c r="EG37" s="253"/>
      <c r="EH37" s="253"/>
      <c r="EI37" s="253"/>
      <c r="EJ37" s="253"/>
      <c r="EK37" s="253"/>
      <c r="EL37" s="253"/>
      <c r="EM37" s="253"/>
      <c r="EN37" s="253"/>
      <c r="EO37" s="255">
        <f>500-500</f>
        <v>0</v>
      </c>
      <c r="EP37" s="253"/>
      <c r="EQ37" s="253"/>
      <c r="ER37" s="253"/>
      <c r="ES37" s="253"/>
      <c r="ET37" s="253"/>
      <c r="EU37" s="253"/>
      <c r="EV37" s="253"/>
      <c r="EW37" s="253"/>
      <c r="EX37" s="253"/>
      <c r="EY37" s="253"/>
      <c r="EZ37" s="253"/>
      <c r="FA37" s="253"/>
      <c r="FB37" s="253"/>
      <c r="FC37" s="253"/>
      <c r="FD37" s="253"/>
      <c r="FE37" s="253"/>
      <c r="FF37" s="253"/>
      <c r="FG37" s="253"/>
      <c r="FH37" s="253"/>
      <c r="FI37" s="253"/>
      <c r="FJ37" s="253"/>
      <c r="FK37" s="256"/>
      <c r="FL37" s="257" t="s">
        <v>817</v>
      </c>
      <c r="FM37" s="258" t="s">
        <v>389</v>
      </c>
      <c r="FN37" s="258"/>
      <c r="FO37" s="258" t="s">
        <v>409</v>
      </c>
      <c r="FP37" s="259">
        <f t="shared" si="0"/>
        <v>20</v>
      </c>
      <c r="FQ37" s="260" t="s">
        <v>410</v>
      </c>
      <c r="FR37" s="260"/>
    </row>
    <row r="38" spans="1:174">
      <c r="A38" s="251" t="s">
        <v>393</v>
      </c>
      <c r="B38" s="251" t="s">
        <v>385</v>
      </c>
      <c r="C38" s="251" t="s">
        <v>411</v>
      </c>
      <c r="D38" s="251" t="s">
        <v>291</v>
      </c>
      <c r="E38" s="252" t="s">
        <v>831</v>
      </c>
      <c r="F38" s="251" t="s">
        <v>388</v>
      </c>
      <c r="G38" s="251" t="s">
        <v>832</v>
      </c>
      <c r="H38" s="253"/>
      <c r="I38" s="253"/>
      <c r="J38" s="253"/>
      <c r="K38" s="253"/>
      <c r="L38" s="253"/>
      <c r="M38" s="253"/>
      <c r="N38" s="253"/>
      <c r="O38" s="253"/>
      <c r="P38" s="253"/>
      <c r="Q38" s="253"/>
      <c r="R38" s="253"/>
      <c r="S38" s="253"/>
      <c r="T38" s="253"/>
      <c r="U38" s="253"/>
      <c r="V38" s="253"/>
      <c r="W38" s="253"/>
      <c r="X38" s="253"/>
      <c r="Y38" s="253"/>
      <c r="Z38" s="253"/>
      <c r="AA38" s="253"/>
      <c r="AB38" s="253"/>
      <c r="AC38" s="253"/>
      <c r="AD38" s="253"/>
      <c r="AE38" s="253"/>
      <c r="AF38" s="253"/>
      <c r="AG38" s="255">
        <f>400-400</f>
        <v>0</v>
      </c>
      <c r="AH38" s="255">
        <f>400-400</f>
        <v>0</v>
      </c>
      <c r="AI38" s="253"/>
      <c r="AJ38" s="253"/>
      <c r="AK38" s="253"/>
      <c r="AL38" s="253"/>
      <c r="AM38" s="253"/>
      <c r="AN38" s="253"/>
      <c r="AO38" s="253"/>
      <c r="AP38" s="253"/>
      <c r="AQ38" s="253"/>
      <c r="AR38" s="253"/>
      <c r="AS38" s="253"/>
      <c r="AT38" s="253"/>
      <c r="AU38" s="253"/>
      <c r="AV38" s="253"/>
      <c r="AW38" s="253"/>
      <c r="AX38" s="253"/>
      <c r="AY38" s="255">
        <f>400-400</f>
        <v>0</v>
      </c>
      <c r="AZ38" s="253"/>
      <c r="BA38" s="253"/>
      <c r="BB38" s="253"/>
      <c r="BC38" s="253"/>
      <c r="BD38" s="253"/>
      <c r="BE38" s="253"/>
      <c r="BF38" s="255">
        <f>400-400</f>
        <v>0</v>
      </c>
      <c r="BG38" s="253"/>
      <c r="BH38" s="253"/>
      <c r="BI38" s="253"/>
      <c r="BJ38" s="253"/>
      <c r="BK38" s="253"/>
      <c r="BL38" s="253"/>
      <c r="BM38" s="253"/>
      <c r="BN38" s="253"/>
      <c r="BO38" s="253"/>
      <c r="BP38" s="253"/>
      <c r="BQ38" s="253"/>
      <c r="BR38" s="253"/>
      <c r="BS38" s="253"/>
      <c r="BT38" s="253"/>
      <c r="BU38" s="253"/>
      <c r="BV38" s="253"/>
      <c r="BW38" s="253"/>
      <c r="BX38" s="253"/>
      <c r="BY38" s="253"/>
      <c r="BZ38" s="253"/>
      <c r="CA38" s="253"/>
      <c r="CB38" s="253"/>
      <c r="CC38" s="253"/>
      <c r="CD38" s="253"/>
      <c r="CE38" s="253"/>
      <c r="CF38" s="253"/>
      <c r="CG38" s="253"/>
      <c r="CH38" s="253"/>
      <c r="CI38" s="253"/>
      <c r="CJ38" s="253"/>
      <c r="CK38" s="253"/>
      <c r="CL38" s="253"/>
      <c r="CM38" s="253"/>
      <c r="CN38" s="253"/>
      <c r="CO38" s="253"/>
      <c r="CP38" s="253"/>
      <c r="CQ38" s="253"/>
      <c r="CR38" s="253"/>
      <c r="CS38" s="253"/>
      <c r="CT38" s="253"/>
      <c r="CU38" s="253"/>
      <c r="CV38" s="253"/>
      <c r="CW38" s="253"/>
      <c r="CX38" s="253"/>
      <c r="CY38" s="253"/>
      <c r="CZ38" s="253"/>
      <c r="DA38" s="253"/>
      <c r="DB38" s="253"/>
      <c r="DC38" s="253"/>
      <c r="DD38" s="253"/>
      <c r="DE38" s="253"/>
      <c r="DF38" s="253"/>
      <c r="DG38" s="253"/>
      <c r="DH38" s="253"/>
      <c r="DI38" s="253"/>
      <c r="DJ38" s="253"/>
      <c r="DK38" s="253"/>
      <c r="DL38" s="253"/>
      <c r="DM38" s="253"/>
      <c r="DN38" s="253"/>
      <c r="DO38" s="253"/>
      <c r="DP38" s="253"/>
      <c r="DQ38" s="253"/>
      <c r="DR38" s="253"/>
      <c r="DS38" s="253"/>
      <c r="DT38" s="253"/>
      <c r="DU38" s="253"/>
      <c r="DV38" s="253"/>
      <c r="DW38" s="253"/>
      <c r="DX38" s="253"/>
      <c r="DY38" s="253"/>
      <c r="DZ38" s="253"/>
      <c r="EA38" s="253"/>
      <c r="EB38" s="253"/>
      <c r="EC38" s="253"/>
      <c r="ED38" s="253"/>
      <c r="EE38" s="253"/>
      <c r="EF38" s="253"/>
      <c r="EG38" s="253"/>
      <c r="EH38" s="253"/>
      <c r="EI38" s="253"/>
      <c r="EJ38" s="253"/>
      <c r="EK38" s="253"/>
      <c r="EL38" s="253"/>
      <c r="EM38" s="253"/>
      <c r="EN38" s="253"/>
      <c r="EO38" s="253"/>
      <c r="EP38" s="253"/>
      <c r="EQ38" s="253"/>
      <c r="ER38" s="253"/>
      <c r="ES38" s="253"/>
      <c r="ET38" s="253"/>
      <c r="EU38" s="253"/>
      <c r="EV38" s="253"/>
      <c r="EW38" s="253"/>
      <c r="EX38" s="253"/>
      <c r="EY38" s="253"/>
      <c r="EZ38" s="253"/>
      <c r="FA38" s="253"/>
      <c r="FB38" s="253"/>
      <c r="FC38" s="253"/>
      <c r="FD38" s="253"/>
      <c r="FE38" s="253"/>
      <c r="FF38" s="253"/>
      <c r="FG38" s="253"/>
      <c r="FH38" s="253"/>
      <c r="FI38" s="253"/>
      <c r="FJ38" s="253"/>
      <c r="FK38" s="262"/>
      <c r="FL38" s="257" t="s">
        <v>817</v>
      </c>
      <c r="FM38" s="258" t="s">
        <v>389</v>
      </c>
      <c r="FN38" s="258" t="s">
        <v>833</v>
      </c>
      <c r="FO38" s="258" t="s">
        <v>834</v>
      </c>
      <c r="FP38" s="259">
        <f t="shared" si="0"/>
        <v>0</v>
      </c>
      <c r="FQ38" s="260" t="s">
        <v>433</v>
      </c>
      <c r="FR38" s="260"/>
    </row>
    <row r="39" spans="1:174">
      <c r="A39" s="251" t="s">
        <v>393</v>
      </c>
      <c r="B39" s="251" t="s">
        <v>385</v>
      </c>
      <c r="C39" s="251" t="s">
        <v>411</v>
      </c>
      <c r="D39" s="251" t="s">
        <v>1</v>
      </c>
      <c r="E39" s="252" t="s">
        <v>831</v>
      </c>
      <c r="F39" s="251" t="s">
        <v>388</v>
      </c>
      <c r="G39" s="251" t="s">
        <v>832</v>
      </c>
      <c r="H39" s="253"/>
      <c r="I39" s="253"/>
      <c r="J39" s="253"/>
      <c r="K39" s="253"/>
      <c r="L39" s="253"/>
      <c r="M39" s="253"/>
      <c r="N39" s="253"/>
      <c r="O39" s="255">
        <f>400-400</f>
        <v>0</v>
      </c>
      <c r="P39" s="253"/>
      <c r="Q39" s="253"/>
      <c r="R39" s="253"/>
      <c r="S39" s="253"/>
      <c r="T39" s="253"/>
      <c r="U39" s="253"/>
      <c r="V39" s="253"/>
      <c r="W39" s="253"/>
      <c r="X39" s="253"/>
      <c r="Y39" s="253"/>
      <c r="Z39" s="253"/>
      <c r="AA39" s="253"/>
      <c r="AB39" s="255">
        <f>400-400</f>
        <v>0</v>
      </c>
      <c r="AC39" s="253"/>
      <c r="AD39" s="253"/>
      <c r="AE39" s="255">
        <f>400-400</f>
        <v>0</v>
      </c>
      <c r="AF39" s="253"/>
      <c r="AG39" s="253"/>
      <c r="AH39" s="253"/>
      <c r="AI39" s="253"/>
      <c r="AJ39" s="253"/>
      <c r="AK39" s="253"/>
      <c r="AL39" s="253"/>
      <c r="AM39" s="255">
        <f>400-400</f>
        <v>0</v>
      </c>
      <c r="AN39" s="253"/>
      <c r="AO39" s="253"/>
      <c r="AP39" s="253"/>
      <c r="AQ39" s="253"/>
      <c r="AR39" s="253"/>
      <c r="AS39" s="253"/>
      <c r="AT39" s="253"/>
      <c r="AU39" s="255">
        <f>400-400</f>
        <v>0</v>
      </c>
      <c r="AV39" s="253"/>
      <c r="AW39" s="253"/>
      <c r="AX39" s="253"/>
      <c r="AY39" s="253"/>
      <c r="AZ39" s="253"/>
      <c r="BA39" s="253"/>
      <c r="BB39" s="253"/>
      <c r="BC39" s="253"/>
      <c r="BD39" s="253"/>
      <c r="BE39" s="253"/>
      <c r="BF39" s="253"/>
      <c r="BG39" s="253"/>
      <c r="BH39" s="253"/>
      <c r="BI39" s="253"/>
      <c r="BJ39" s="253"/>
      <c r="BK39" s="253"/>
      <c r="BL39" s="253"/>
      <c r="BM39" s="253"/>
      <c r="BN39" s="253"/>
      <c r="BO39" s="253"/>
      <c r="BP39" s="253"/>
      <c r="BQ39" s="253"/>
      <c r="BR39" s="253"/>
      <c r="BS39" s="253"/>
      <c r="BT39" s="253"/>
      <c r="BU39" s="253"/>
      <c r="BV39" s="253"/>
      <c r="BW39" s="253"/>
      <c r="BX39" s="253"/>
      <c r="BY39" s="253"/>
      <c r="BZ39" s="253"/>
      <c r="CA39" s="253"/>
      <c r="CB39" s="253"/>
      <c r="CC39" s="253"/>
      <c r="CD39" s="253"/>
      <c r="CE39" s="253"/>
      <c r="CF39" s="253"/>
      <c r="CG39" s="253"/>
      <c r="CH39" s="253"/>
      <c r="CI39" s="253"/>
      <c r="CJ39" s="253"/>
      <c r="CK39" s="253"/>
      <c r="CL39" s="253"/>
      <c r="CM39" s="253"/>
      <c r="CN39" s="253"/>
      <c r="CO39" s="253"/>
      <c r="CP39" s="253"/>
      <c r="CQ39" s="253"/>
      <c r="CR39" s="253"/>
      <c r="CS39" s="253"/>
      <c r="CT39" s="253"/>
      <c r="CU39" s="253"/>
      <c r="CV39" s="253"/>
      <c r="CW39" s="253"/>
      <c r="CX39" s="253"/>
      <c r="CY39" s="253"/>
      <c r="CZ39" s="253"/>
      <c r="DA39" s="253"/>
      <c r="DB39" s="253"/>
      <c r="DC39" s="253"/>
      <c r="DD39" s="253"/>
      <c r="DE39" s="253"/>
      <c r="DF39" s="253"/>
      <c r="DG39" s="253"/>
      <c r="DH39" s="253"/>
      <c r="DI39" s="253"/>
      <c r="DJ39" s="253"/>
      <c r="DK39" s="253"/>
      <c r="DL39" s="253"/>
      <c r="DM39" s="253"/>
      <c r="DN39" s="253"/>
      <c r="DO39" s="253"/>
      <c r="DP39" s="253"/>
      <c r="DQ39" s="253"/>
      <c r="DR39" s="253"/>
      <c r="DS39" s="253"/>
      <c r="DT39" s="253"/>
      <c r="DU39" s="253"/>
      <c r="DV39" s="253"/>
      <c r="DW39" s="253"/>
      <c r="DX39" s="253"/>
      <c r="DY39" s="253"/>
      <c r="DZ39" s="253"/>
      <c r="EA39" s="253"/>
      <c r="EB39" s="253"/>
      <c r="EC39" s="253"/>
      <c r="ED39" s="253"/>
      <c r="EE39" s="253"/>
      <c r="EF39" s="253"/>
      <c r="EG39" s="253"/>
      <c r="EH39" s="253"/>
      <c r="EI39" s="253"/>
      <c r="EJ39" s="253"/>
      <c r="EK39" s="253"/>
      <c r="EL39" s="253"/>
      <c r="EM39" s="253"/>
      <c r="EN39" s="253"/>
      <c r="EO39" s="253"/>
      <c r="EP39" s="253"/>
      <c r="EQ39" s="253"/>
      <c r="ER39" s="253"/>
      <c r="ES39" s="253"/>
      <c r="ET39" s="253"/>
      <c r="EU39" s="253"/>
      <c r="EV39" s="253"/>
      <c r="EW39" s="253"/>
      <c r="EX39" s="253"/>
      <c r="EY39" s="253"/>
      <c r="EZ39" s="253"/>
      <c r="FA39" s="253"/>
      <c r="FB39" s="253"/>
      <c r="FC39" s="253"/>
      <c r="FD39" s="253"/>
      <c r="FE39" s="253"/>
      <c r="FF39" s="253"/>
      <c r="FG39" s="253"/>
      <c r="FH39" s="253"/>
      <c r="FI39" s="253"/>
      <c r="FJ39" s="253"/>
      <c r="FK39" s="262"/>
      <c r="FL39" s="257" t="s">
        <v>817</v>
      </c>
      <c r="FM39" s="258" t="s">
        <v>389</v>
      </c>
      <c r="FN39" s="258" t="s">
        <v>833</v>
      </c>
      <c r="FO39" s="258" t="s">
        <v>834</v>
      </c>
      <c r="FP39" s="259">
        <f t="shared" ref="FP39:FP102" si="6">SUM(H39:FJ39)</f>
        <v>0</v>
      </c>
      <c r="FQ39" s="260" t="s">
        <v>433</v>
      </c>
      <c r="FR39" s="260"/>
    </row>
    <row r="40" spans="1:174">
      <c r="A40" s="251" t="s">
        <v>393</v>
      </c>
      <c r="B40" s="251" t="s">
        <v>385</v>
      </c>
      <c r="C40" s="251" t="s">
        <v>411</v>
      </c>
      <c r="D40" s="251" t="s">
        <v>291</v>
      </c>
      <c r="E40" s="252" t="s">
        <v>412</v>
      </c>
      <c r="F40" s="251" t="s">
        <v>388</v>
      </c>
      <c r="G40" s="251"/>
      <c r="H40" s="253"/>
      <c r="I40" s="253"/>
      <c r="J40" s="253"/>
      <c r="K40" s="253"/>
      <c r="L40" s="253"/>
      <c r="M40" s="253"/>
      <c r="N40" s="255">
        <f>80-80</f>
        <v>0</v>
      </c>
      <c r="O40" s="253"/>
      <c r="P40" s="253"/>
      <c r="Q40" s="253"/>
      <c r="R40" s="253"/>
      <c r="S40" s="253"/>
      <c r="T40" s="253"/>
      <c r="U40" s="253"/>
      <c r="V40" s="253"/>
      <c r="W40" s="253"/>
      <c r="X40" s="253"/>
      <c r="Y40" s="253"/>
      <c r="Z40" s="253"/>
      <c r="AA40" s="253"/>
      <c r="AB40" s="253"/>
      <c r="AC40" s="253"/>
      <c r="AD40" s="253"/>
      <c r="AE40" s="253"/>
      <c r="AF40" s="253"/>
      <c r="AG40" s="255">
        <f>100-100</f>
        <v>0</v>
      </c>
      <c r="AH40" s="253"/>
      <c r="AI40" s="253"/>
      <c r="AJ40" s="253"/>
      <c r="AK40" s="253"/>
      <c r="AL40" s="253"/>
      <c r="AM40" s="253"/>
      <c r="AN40" s="253"/>
      <c r="AO40" s="253"/>
      <c r="AP40" s="253"/>
      <c r="AQ40" s="255">
        <f>200-200</f>
        <v>0</v>
      </c>
      <c r="AR40" s="255">
        <f>200-200</f>
        <v>0</v>
      </c>
      <c r="AS40" s="253"/>
      <c r="AT40" s="253"/>
      <c r="AU40" s="253"/>
      <c r="AV40" s="253"/>
      <c r="AW40" s="253"/>
      <c r="AX40" s="253"/>
      <c r="AY40" s="253"/>
      <c r="AZ40" s="253"/>
      <c r="BA40" s="253"/>
      <c r="BB40" s="253"/>
      <c r="BC40" s="253"/>
      <c r="BD40" s="253"/>
      <c r="BE40" s="253"/>
      <c r="BF40" s="255">
        <f>60-60</f>
        <v>0</v>
      </c>
      <c r="BG40" s="253"/>
      <c r="BH40" s="253"/>
      <c r="BI40" s="253"/>
      <c r="BJ40" s="253"/>
      <c r="BK40" s="253"/>
      <c r="BL40" s="253"/>
      <c r="BM40" s="253"/>
      <c r="BN40" s="253"/>
      <c r="BO40" s="253"/>
      <c r="BP40" s="253"/>
      <c r="BQ40" s="253"/>
      <c r="BR40" s="253"/>
      <c r="BS40" s="253"/>
      <c r="BT40" s="253"/>
      <c r="BU40" s="253"/>
      <c r="BV40" s="253"/>
      <c r="BW40" s="253"/>
      <c r="BX40" s="253"/>
      <c r="BY40" s="253"/>
      <c r="BZ40" s="253"/>
      <c r="CA40" s="253"/>
      <c r="CB40" s="253"/>
      <c r="CC40" s="253"/>
      <c r="CD40" s="253"/>
      <c r="CE40" s="253"/>
      <c r="CF40" s="253"/>
      <c r="CG40" s="253"/>
      <c r="CH40" s="253"/>
      <c r="CI40" s="253"/>
      <c r="CJ40" s="253"/>
      <c r="CK40" s="253"/>
      <c r="CL40" s="253"/>
      <c r="CM40" s="253"/>
      <c r="CN40" s="253"/>
      <c r="CO40" s="253"/>
      <c r="CP40" s="253"/>
      <c r="CQ40" s="253"/>
      <c r="CR40" s="253"/>
      <c r="CS40" s="253"/>
      <c r="CT40" s="253"/>
      <c r="CU40" s="253"/>
      <c r="CV40" s="253"/>
      <c r="CW40" s="253"/>
      <c r="CX40" s="253"/>
      <c r="CY40" s="253"/>
      <c r="CZ40" s="253"/>
      <c r="DA40" s="253"/>
      <c r="DB40" s="253"/>
      <c r="DC40" s="253"/>
      <c r="DD40" s="253"/>
      <c r="DE40" s="253"/>
      <c r="DF40" s="253"/>
      <c r="DG40" s="253"/>
      <c r="DH40" s="253"/>
      <c r="DI40" s="253"/>
      <c r="DJ40" s="253"/>
      <c r="DK40" s="253"/>
      <c r="DL40" s="253"/>
      <c r="DM40" s="253"/>
      <c r="DN40" s="253"/>
      <c r="DO40" s="253"/>
      <c r="DP40" s="253"/>
      <c r="DQ40" s="253"/>
      <c r="DR40" s="253"/>
      <c r="DS40" s="253"/>
      <c r="DT40" s="253"/>
      <c r="DU40" s="253"/>
      <c r="DV40" s="253"/>
      <c r="DW40" s="253"/>
      <c r="DX40" s="253"/>
      <c r="DY40" s="253"/>
      <c r="DZ40" s="253"/>
      <c r="EA40" s="253"/>
      <c r="EB40" s="253"/>
      <c r="EC40" s="253"/>
      <c r="ED40" s="253"/>
      <c r="EE40" s="253"/>
      <c r="EF40" s="253"/>
      <c r="EG40" s="253"/>
      <c r="EH40" s="253"/>
      <c r="EI40" s="253"/>
      <c r="EJ40" s="253"/>
      <c r="EK40" s="253"/>
      <c r="EL40" s="253"/>
      <c r="EM40" s="253"/>
      <c r="EN40" s="253"/>
      <c r="EO40" s="253"/>
      <c r="EP40" s="253"/>
      <c r="EQ40" s="253"/>
      <c r="ER40" s="253"/>
      <c r="ES40" s="253"/>
      <c r="ET40" s="253"/>
      <c r="EU40" s="253"/>
      <c r="EV40" s="253"/>
      <c r="EW40" s="253"/>
      <c r="EX40" s="253"/>
      <c r="EY40" s="253"/>
      <c r="EZ40" s="253"/>
      <c r="FA40" s="253"/>
      <c r="FB40" s="253"/>
      <c r="FC40" s="253"/>
      <c r="FD40" s="253"/>
      <c r="FE40" s="253"/>
      <c r="FF40" s="253"/>
      <c r="FG40" s="253"/>
      <c r="FH40" s="253"/>
      <c r="FI40" s="253"/>
      <c r="FJ40" s="253"/>
      <c r="FK40" s="256"/>
      <c r="FL40" s="257" t="s">
        <v>817</v>
      </c>
      <c r="FM40" s="258" t="s">
        <v>389</v>
      </c>
      <c r="FN40" s="258"/>
      <c r="FO40" s="258" t="s">
        <v>413</v>
      </c>
      <c r="FP40" s="259">
        <f t="shared" si="6"/>
        <v>0</v>
      </c>
      <c r="FQ40" s="260" t="s">
        <v>414</v>
      </c>
      <c r="FR40" s="260"/>
    </row>
    <row r="41" spans="1:174">
      <c r="A41" s="251" t="s">
        <v>393</v>
      </c>
      <c r="B41" s="251" t="s">
        <v>385</v>
      </c>
      <c r="C41" s="251" t="s">
        <v>411</v>
      </c>
      <c r="D41" s="251" t="s">
        <v>1</v>
      </c>
      <c r="E41" s="252" t="s">
        <v>412</v>
      </c>
      <c r="F41" s="251" t="s">
        <v>388</v>
      </c>
      <c r="G41" s="251"/>
      <c r="H41" s="253"/>
      <c r="I41" s="253"/>
      <c r="J41" s="253"/>
      <c r="K41" s="253"/>
      <c r="L41" s="253"/>
      <c r="M41" s="253"/>
      <c r="N41" s="254">
        <f>0+20</f>
        <v>20</v>
      </c>
      <c r="O41" s="255">
        <f>80-80</f>
        <v>0</v>
      </c>
      <c r="P41" s="253"/>
      <c r="Q41" s="253"/>
      <c r="R41" s="253"/>
      <c r="S41" s="253"/>
      <c r="T41" s="253"/>
      <c r="U41" s="255">
        <f>100-100</f>
        <v>0</v>
      </c>
      <c r="V41" s="253"/>
      <c r="W41" s="253"/>
      <c r="X41" s="253"/>
      <c r="Y41" s="255">
        <f>100-100</f>
        <v>0</v>
      </c>
      <c r="Z41" s="253"/>
      <c r="AA41" s="253"/>
      <c r="AB41" s="255">
        <f>200-200</f>
        <v>0</v>
      </c>
      <c r="AC41" s="253"/>
      <c r="AD41" s="253"/>
      <c r="AE41" s="254">
        <f>100-100+10</f>
        <v>10</v>
      </c>
      <c r="AF41" s="253"/>
      <c r="AG41" s="253"/>
      <c r="AH41" s="253"/>
      <c r="AI41" s="255">
        <f>100-100</f>
        <v>0</v>
      </c>
      <c r="AJ41" s="255">
        <f>60-60</f>
        <v>0</v>
      </c>
      <c r="AK41" s="253"/>
      <c r="AL41" s="253"/>
      <c r="AM41" s="255">
        <f>140-140</f>
        <v>0</v>
      </c>
      <c r="AN41" s="253"/>
      <c r="AO41" s="253"/>
      <c r="AP41" s="253"/>
      <c r="AQ41" s="253"/>
      <c r="AR41" s="253"/>
      <c r="AS41" s="253"/>
      <c r="AT41" s="253"/>
      <c r="AU41" s="255">
        <f>300-300</f>
        <v>0</v>
      </c>
      <c r="AV41" s="253"/>
      <c r="AW41" s="253"/>
      <c r="AX41" s="253"/>
      <c r="AY41" s="253"/>
      <c r="AZ41" s="253"/>
      <c r="BA41" s="253"/>
      <c r="BB41" s="253"/>
      <c r="BC41" s="253"/>
      <c r="BD41" s="253"/>
      <c r="BE41" s="253"/>
      <c r="BF41" s="253"/>
      <c r="BG41" s="253"/>
      <c r="BH41" s="253"/>
      <c r="BI41" s="253"/>
      <c r="BJ41" s="253"/>
      <c r="BK41" s="253"/>
      <c r="BL41" s="253"/>
      <c r="BM41" s="253"/>
      <c r="BN41" s="253"/>
      <c r="BO41" s="253"/>
      <c r="BP41" s="253"/>
      <c r="BQ41" s="253"/>
      <c r="BR41" s="253"/>
      <c r="BS41" s="253"/>
      <c r="BT41" s="253"/>
      <c r="BU41" s="253"/>
      <c r="BV41" s="253"/>
      <c r="BW41" s="253"/>
      <c r="BX41" s="253"/>
      <c r="BY41" s="253"/>
      <c r="BZ41" s="253"/>
      <c r="CA41" s="253"/>
      <c r="CB41" s="253"/>
      <c r="CC41" s="253"/>
      <c r="CD41" s="253"/>
      <c r="CE41" s="253"/>
      <c r="CF41" s="253"/>
      <c r="CG41" s="253"/>
      <c r="CH41" s="253"/>
      <c r="CI41" s="253"/>
      <c r="CJ41" s="253"/>
      <c r="CK41" s="253"/>
      <c r="CL41" s="253"/>
      <c r="CM41" s="253"/>
      <c r="CN41" s="253"/>
      <c r="CO41" s="253"/>
      <c r="CP41" s="253"/>
      <c r="CQ41" s="253"/>
      <c r="CR41" s="253"/>
      <c r="CS41" s="253"/>
      <c r="CT41" s="253"/>
      <c r="CU41" s="253"/>
      <c r="CV41" s="253"/>
      <c r="CW41" s="253"/>
      <c r="CX41" s="253"/>
      <c r="CY41" s="253"/>
      <c r="CZ41" s="253"/>
      <c r="DA41" s="253"/>
      <c r="DB41" s="253"/>
      <c r="DC41" s="253"/>
      <c r="DD41" s="253"/>
      <c r="DE41" s="253"/>
      <c r="DF41" s="253"/>
      <c r="DG41" s="253"/>
      <c r="DH41" s="253"/>
      <c r="DI41" s="253"/>
      <c r="DJ41" s="253"/>
      <c r="DK41" s="253"/>
      <c r="DL41" s="253"/>
      <c r="DM41" s="253"/>
      <c r="DN41" s="253"/>
      <c r="DO41" s="253"/>
      <c r="DP41" s="253"/>
      <c r="DQ41" s="253"/>
      <c r="DR41" s="253"/>
      <c r="DS41" s="253"/>
      <c r="DT41" s="253"/>
      <c r="DU41" s="253"/>
      <c r="DV41" s="253"/>
      <c r="DW41" s="253"/>
      <c r="DX41" s="253"/>
      <c r="DY41" s="253"/>
      <c r="DZ41" s="253"/>
      <c r="EA41" s="253"/>
      <c r="EB41" s="255">
        <f>80-80</f>
        <v>0</v>
      </c>
      <c r="EC41" s="253"/>
      <c r="ED41" s="253"/>
      <c r="EE41" s="253"/>
      <c r="EF41" s="255">
        <f>80-80</f>
        <v>0</v>
      </c>
      <c r="EG41" s="253"/>
      <c r="EH41" s="255">
        <f>80-80</f>
        <v>0</v>
      </c>
      <c r="EI41" s="255">
        <f>80-80</f>
        <v>0</v>
      </c>
      <c r="EJ41" s="255">
        <f>80-80</f>
        <v>0</v>
      </c>
      <c r="EK41" s="253"/>
      <c r="EL41" s="253"/>
      <c r="EM41" s="253"/>
      <c r="EN41" s="253"/>
      <c r="EO41" s="255">
        <f>100-100</f>
        <v>0</v>
      </c>
      <c r="EP41" s="253"/>
      <c r="EQ41" s="253"/>
      <c r="ER41" s="253"/>
      <c r="ES41" s="253"/>
      <c r="ET41" s="253"/>
      <c r="EU41" s="253"/>
      <c r="EV41" s="253"/>
      <c r="EW41" s="253"/>
      <c r="EX41" s="253"/>
      <c r="EY41" s="253"/>
      <c r="EZ41" s="253"/>
      <c r="FA41" s="253"/>
      <c r="FB41" s="253"/>
      <c r="FC41" s="253"/>
      <c r="FD41" s="253"/>
      <c r="FE41" s="253"/>
      <c r="FF41" s="253"/>
      <c r="FG41" s="253"/>
      <c r="FH41" s="253"/>
      <c r="FI41" s="253"/>
      <c r="FJ41" s="253"/>
      <c r="FK41" s="256"/>
      <c r="FL41" s="257" t="s">
        <v>817</v>
      </c>
      <c r="FM41" s="258" t="s">
        <v>389</v>
      </c>
      <c r="FN41" s="258"/>
      <c r="FO41" s="258" t="s">
        <v>413</v>
      </c>
      <c r="FP41" s="259">
        <f t="shared" si="6"/>
        <v>30</v>
      </c>
      <c r="FQ41" s="260" t="s">
        <v>414</v>
      </c>
      <c r="FR41" s="260"/>
    </row>
    <row r="42" spans="1:174">
      <c r="A42" s="251" t="s">
        <v>385</v>
      </c>
      <c r="B42" s="251" t="s">
        <v>385</v>
      </c>
      <c r="C42" s="251" t="s">
        <v>411</v>
      </c>
      <c r="D42" s="251" t="s">
        <v>291</v>
      </c>
      <c r="E42" s="252" t="s">
        <v>415</v>
      </c>
      <c r="F42" s="251" t="s">
        <v>388</v>
      </c>
      <c r="G42" s="251"/>
      <c r="H42" s="253"/>
      <c r="I42" s="253"/>
      <c r="J42" s="253"/>
      <c r="K42" s="253"/>
      <c r="L42" s="253"/>
      <c r="M42" s="253"/>
      <c r="N42" s="253"/>
      <c r="O42" s="253"/>
      <c r="P42" s="253"/>
      <c r="Q42" s="253"/>
      <c r="R42" s="253"/>
      <c r="S42" s="253"/>
      <c r="T42" s="253"/>
      <c r="U42" s="253"/>
      <c r="V42" s="253"/>
      <c r="W42" s="253"/>
      <c r="X42" s="253"/>
      <c r="Y42" s="253"/>
      <c r="Z42" s="253"/>
      <c r="AA42" s="253"/>
      <c r="AB42" s="253"/>
      <c r="AC42" s="253"/>
      <c r="AD42" s="253"/>
      <c r="AE42" s="253"/>
      <c r="AF42" s="253"/>
      <c r="AG42" s="255">
        <f>200-200</f>
        <v>0</v>
      </c>
      <c r="AH42" s="255">
        <f>200-200</f>
        <v>0</v>
      </c>
      <c r="AI42" s="253"/>
      <c r="AJ42" s="253"/>
      <c r="AK42" s="253"/>
      <c r="AL42" s="253"/>
      <c r="AM42" s="253"/>
      <c r="AN42" s="253"/>
      <c r="AO42" s="254">
        <f>300-300+9</f>
        <v>9</v>
      </c>
      <c r="AP42" s="253"/>
      <c r="AQ42" s="255">
        <f>600-600</f>
        <v>0</v>
      </c>
      <c r="AR42" s="255">
        <f>600-600</f>
        <v>0</v>
      </c>
      <c r="AS42" s="253"/>
      <c r="AT42" s="253"/>
      <c r="AU42" s="253"/>
      <c r="AV42" s="253"/>
      <c r="AW42" s="253"/>
      <c r="AX42" s="253"/>
      <c r="AY42" s="255">
        <f>120-120</f>
        <v>0</v>
      </c>
      <c r="AZ42" s="253"/>
      <c r="BA42" s="253"/>
      <c r="BB42" s="253"/>
      <c r="BC42" s="253"/>
      <c r="BD42" s="253"/>
      <c r="BE42" s="253"/>
      <c r="BF42" s="253"/>
      <c r="BG42" s="253"/>
      <c r="BH42" s="253"/>
      <c r="BI42" s="253"/>
      <c r="BJ42" s="253"/>
      <c r="BK42" s="253"/>
      <c r="BL42" s="253"/>
      <c r="BM42" s="253"/>
      <c r="BN42" s="253"/>
      <c r="BO42" s="253"/>
      <c r="BP42" s="253"/>
      <c r="BQ42" s="253"/>
      <c r="BR42" s="253"/>
      <c r="BS42" s="253"/>
      <c r="BT42" s="253"/>
      <c r="BU42" s="253"/>
      <c r="BV42" s="253"/>
      <c r="BW42" s="253"/>
      <c r="BX42" s="253"/>
      <c r="BY42" s="253"/>
      <c r="BZ42" s="253"/>
      <c r="CA42" s="253"/>
      <c r="CB42" s="253"/>
      <c r="CC42" s="253"/>
      <c r="CD42" s="253"/>
      <c r="CE42" s="253"/>
      <c r="CF42" s="253"/>
      <c r="CG42" s="253"/>
      <c r="CH42" s="253"/>
      <c r="CI42" s="253"/>
      <c r="CJ42" s="253"/>
      <c r="CK42" s="253"/>
      <c r="CL42" s="253"/>
      <c r="CM42" s="253"/>
      <c r="CN42" s="253"/>
      <c r="CO42" s="253"/>
      <c r="CP42" s="253"/>
      <c r="CQ42" s="253"/>
      <c r="CR42" s="253"/>
      <c r="CS42" s="253"/>
      <c r="CT42" s="253"/>
      <c r="CU42" s="253"/>
      <c r="CV42" s="253"/>
      <c r="CW42" s="253"/>
      <c r="CX42" s="253"/>
      <c r="CY42" s="253"/>
      <c r="CZ42" s="253"/>
      <c r="DA42" s="253"/>
      <c r="DB42" s="253"/>
      <c r="DC42" s="253"/>
      <c r="DD42" s="253"/>
      <c r="DE42" s="253"/>
      <c r="DF42" s="253"/>
      <c r="DG42" s="253"/>
      <c r="DH42" s="253"/>
      <c r="DI42" s="253"/>
      <c r="DJ42" s="253"/>
      <c r="DK42" s="253"/>
      <c r="DL42" s="253"/>
      <c r="DM42" s="253"/>
      <c r="DN42" s="253"/>
      <c r="DO42" s="253"/>
      <c r="DP42" s="253"/>
      <c r="DQ42" s="253"/>
      <c r="DR42" s="253"/>
      <c r="DS42" s="253"/>
      <c r="DT42" s="253"/>
      <c r="DU42" s="253"/>
      <c r="DV42" s="253"/>
      <c r="DW42" s="253"/>
      <c r="DX42" s="253"/>
      <c r="DY42" s="253"/>
      <c r="DZ42" s="253"/>
      <c r="EA42" s="253"/>
      <c r="EB42" s="253"/>
      <c r="EC42" s="253"/>
      <c r="ED42" s="253"/>
      <c r="EE42" s="253"/>
      <c r="EF42" s="253"/>
      <c r="EG42" s="253"/>
      <c r="EH42" s="253"/>
      <c r="EI42" s="253"/>
      <c r="EJ42" s="253"/>
      <c r="EK42" s="253"/>
      <c r="EL42" s="253"/>
      <c r="EM42" s="253"/>
      <c r="EN42" s="253"/>
      <c r="EO42" s="253"/>
      <c r="EP42" s="253"/>
      <c r="EQ42" s="253"/>
      <c r="ER42" s="253"/>
      <c r="ES42" s="253"/>
      <c r="ET42" s="253"/>
      <c r="EU42" s="253"/>
      <c r="EV42" s="253"/>
      <c r="EW42" s="253"/>
      <c r="EX42" s="253"/>
      <c r="EY42" s="253"/>
      <c r="EZ42" s="253"/>
      <c r="FA42" s="253"/>
      <c r="FB42" s="253"/>
      <c r="FC42" s="253"/>
      <c r="FD42" s="253"/>
      <c r="FE42" s="253"/>
      <c r="FF42" s="253"/>
      <c r="FG42" s="253"/>
      <c r="FH42" s="253"/>
      <c r="FI42" s="253"/>
      <c r="FJ42" s="253"/>
      <c r="FK42" s="256"/>
      <c r="FL42" s="257" t="s">
        <v>817</v>
      </c>
      <c r="FM42" s="258" t="s">
        <v>389</v>
      </c>
      <c r="FN42" s="258"/>
      <c r="FO42" s="258" t="s">
        <v>416</v>
      </c>
      <c r="FP42" s="259">
        <f t="shared" si="6"/>
        <v>9</v>
      </c>
      <c r="FQ42" s="260" t="s">
        <v>835</v>
      </c>
      <c r="FR42" s="260"/>
    </row>
    <row r="43" spans="1:174">
      <c r="A43" s="251" t="s">
        <v>385</v>
      </c>
      <c r="B43" s="251" t="s">
        <v>385</v>
      </c>
      <c r="C43" s="251" t="s">
        <v>411</v>
      </c>
      <c r="D43" s="251" t="s">
        <v>1</v>
      </c>
      <c r="E43" s="252" t="s">
        <v>415</v>
      </c>
      <c r="F43" s="251" t="s">
        <v>388</v>
      </c>
      <c r="G43" s="251"/>
      <c r="H43" s="253"/>
      <c r="I43" s="253"/>
      <c r="J43" s="253"/>
      <c r="K43" s="253"/>
      <c r="L43" s="253"/>
      <c r="M43" s="255">
        <f>200-200</f>
        <v>0</v>
      </c>
      <c r="N43" s="253"/>
      <c r="O43" s="253"/>
      <c r="P43" s="253"/>
      <c r="Q43" s="253"/>
      <c r="R43" s="253"/>
      <c r="S43" s="253"/>
      <c r="T43" s="253"/>
      <c r="U43" s="253"/>
      <c r="V43" s="253"/>
      <c r="W43" s="253"/>
      <c r="X43" s="253"/>
      <c r="Y43" s="255">
        <f>200-200</f>
        <v>0</v>
      </c>
      <c r="Z43" s="255">
        <f>200-200</f>
        <v>0</v>
      </c>
      <c r="AA43" s="253"/>
      <c r="AB43" s="255">
        <f>200-200</f>
        <v>0</v>
      </c>
      <c r="AC43" s="255">
        <f>200-200</f>
        <v>0</v>
      </c>
      <c r="AD43" s="255">
        <f>200-200</f>
        <v>0</v>
      </c>
      <c r="AE43" s="255">
        <f>200-200</f>
        <v>0</v>
      </c>
      <c r="AF43" s="255">
        <f>200-200</f>
        <v>0</v>
      </c>
      <c r="AG43" s="253"/>
      <c r="AH43" s="253"/>
      <c r="AI43" s="255">
        <f>150-150</f>
        <v>0</v>
      </c>
      <c r="AJ43" s="255">
        <f>150-150</f>
        <v>0</v>
      </c>
      <c r="AK43" s="255">
        <f>150-150</f>
        <v>0</v>
      </c>
      <c r="AL43" s="253"/>
      <c r="AM43" s="255">
        <f>150-150</f>
        <v>0</v>
      </c>
      <c r="AN43" s="255">
        <f>500-500</f>
        <v>0</v>
      </c>
      <c r="AO43" s="253"/>
      <c r="AP43" s="253"/>
      <c r="AQ43" s="253"/>
      <c r="AR43" s="253"/>
      <c r="AS43" s="255">
        <f>120-120</f>
        <v>0</v>
      </c>
      <c r="AT43" s="255">
        <f>120-120</f>
        <v>0</v>
      </c>
      <c r="AU43" s="255">
        <f>600-600</f>
        <v>0</v>
      </c>
      <c r="AV43" s="253"/>
      <c r="AW43" s="255">
        <f>120-120</f>
        <v>0</v>
      </c>
      <c r="AX43" s="255">
        <f>120-120</f>
        <v>0</v>
      </c>
      <c r="AY43" s="253"/>
      <c r="AZ43" s="253"/>
      <c r="BA43" s="253"/>
      <c r="BB43" s="253"/>
      <c r="BC43" s="253"/>
      <c r="BD43" s="253"/>
      <c r="BE43" s="253"/>
      <c r="BF43" s="253"/>
      <c r="BG43" s="255">
        <f>50-50</f>
        <v>0</v>
      </c>
      <c r="BH43" s="253"/>
      <c r="BI43" s="253"/>
      <c r="BJ43" s="253"/>
      <c r="BK43" s="253"/>
      <c r="BL43" s="253"/>
      <c r="BM43" s="253"/>
      <c r="BN43" s="253"/>
      <c r="BO43" s="253"/>
      <c r="BP43" s="253"/>
      <c r="BQ43" s="253"/>
      <c r="BR43" s="253"/>
      <c r="BS43" s="253"/>
      <c r="BT43" s="253"/>
      <c r="BU43" s="253"/>
      <c r="BV43" s="253"/>
      <c r="BW43" s="253"/>
      <c r="BX43" s="253"/>
      <c r="BY43" s="253"/>
      <c r="BZ43" s="253"/>
      <c r="CA43" s="253"/>
      <c r="CB43" s="253"/>
      <c r="CC43" s="253"/>
      <c r="CD43" s="253"/>
      <c r="CE43" s="253"/>
      <c r="CF43" s="253"/>
      <c r="CG43" s="253"/>
      <c r="CH43" s="253"/>
      <c r="CI43" s="253"/>
      <c r="CJ43" s="253"/>
      <c r="CK43" s="253"/>
      <c r="CL43" s="253"/>
      <c r="CM43" s="253"/>
      <c r="CN43" s="253"/>
      <c r="CO43" s="253"/>
      <c r="CP43" s="253"/>
      <c r="CQ43" s="253"/>
      <c r="CR43" s="253"/>
      <c r="CS43" s="253"/>
      <c r="CT43" s="253"/>
      <c r="CU43" s="253"/>
      <c r="CV43" s="253"/>
      <c r="CW43" s="253"/>
      <c r="CX43" s="253"/>
      <c r="CY43" s="253"/>
      <c r="CZ43" s="253"/>
      <c r="DA43" s="253"/>
      <c r="DB43" s="253"/>
      <c r="DC43" s="253"/>
      <c r="DD43" s="253"/>
      <c r="DE43" s="253"/>
      <c r="DF43" s="253"/>
      <c r="DG43" s="253"/>
      <c r="DH43" s="253"/>
      <c r="DI43" s="253"/>
      <c r="DJ43" s="253"/>
      <c r="DK43" s="253"/>
      <c r="DL43" s="253"/>
      <c r="DM43" s="253"/>
      <c r="DN43" s="253"/>
      <c r="DO43" s="253"/>
      <c r="DP43" s="253"/>
      <c r="DQ43" s="253"/>
      <c r="DR43" s="253"/>
      <c r="DS43" s="253"/>
      <c r="DT43" s="253"/>
      <c r="DU43" s="253"/>
      <c r="DV43" s="253"/>
      <c r="DW43" s="253"/>
      <c r="DX43" s="253"/>
      <c r="DY43" s="253"/>
      <c r="DZ43" s="253"/>
      <c r="EA43" s="253"/>
      <c r="EB43" s="255">
        <f>250-250</f>
        <v>0</v>
      </c>
      <c r="EC43" s="255">
        <f>250-250</f>
        <v>0</v>
      </c>
      <c r="ED43" s="253"/>
      <c r="EE43" s="253"/>
      <c r="EF43" s="255">
        <f>250-250</f>
        <v>0</v>
      </c>
      <c r="EG43" s="255">
        <f>250-250</f>
        <v>0</v>
      </c>
      <c r="EH43" s="255">
        <f>250-250</f>
        <v>0</v>
      </c>
      <c r="EI43" s="255">
        <f>250-250</f>
        <v>0</v>
      </c>
      <c r="EJ43" s="255">
        <f>250-250</f>
        <v>0</v>
      </c>
      <c r="EK43" s="255">
        <f>400-400</f>
        <v>0</v>
      </c>
      <c r="EL43" s="255">
        <f>400-400</f>
        <v>0</v>
      </c>
      <c r="EM43" s="255">
        <f>400-400</f>
        <v>0</v>
      </c>
      <c r="EN43" s="255">
        <f>400-400</f>
        <v>0</v>
      </c>
      <c r="EO43" s="255">
        <f>400-400</f>
        <v>0</v>
      </c>
      <c r="EP43" s="253"/>
      <c r="EQ43" s="253"/>
      <c r="ER43" s="253"/>
      <c r="ES43" s="253"/>
      <c r="ET43" s="253"/>
      <c r="EU43" s="253"/>
      <c r="EV43" s="253"/>
      <c r="EW43" s="253"/>
      <c r="EX43" s="253"/>
      <c r="EY43" s="253"/>
      <c r="EZ43" s="253"/>
      <c r="FA43" s="253"/>
      <c r="FB43" s="253"/>
      <c r="FC43" s="253"/>
      <c r="FD43" s="253"/>
      <c r="FE43" s="253"/>
      <c r="FF43" s="253"/>
      <c r="FG43" s="253"/>
      <c r="FH43" s="255">
        <f>400-400</f>
        <v>0</v>
      </c>
      <c r="FI43" s="253"/>
      <c r="FJ43" s="253"/>
      <c r="FK43" s="256"/>
      <c r="FL43" s="257" t="s">
        <v>817</v>
      </c>
      <c r="FM43" s="258" t="s">
        <v>389</v>
      </c>
      <c r="FN43" s="258"/>
      <c r="FO43" s="258" t="s">
        <v>416</v>
      </c>
      <c r="FP43" s="259">
        <f t="shared" si="6"/>
        <v>0</v>
      </c>
      <c r="FQ43" s="260" t="s">
        <v>835</v>
      </c>
      <c r="FR43" s="260"/>
    </row>
    <row r="44" spans="1:174">
      <c r="A44" s="251" t="s">
        <v>393</v>
      </c>
      <c r="B44" s="251" t="s">
        <v>385</v>
      </c>
      <c r="C44" s="251" t="s">
        <v>411</v>
      </c>
      <c r="D44" s="251" t="s">
        <v>291</v>
      </c>
      <c r="E44" s="252" t="s">
        <v>836</v>
      </c>
      <c r="F44" s="251" t="s">
        <v>388</v>
      </c>
      <c r="G44" s="251"/>
      <c r="H44" s="253"/>
      <c r="I44" s="253"/>
      <c r="J44" s="253"/>
      <c r="K44" s="253"/>
      <c r="L44" s="253"/>
      <c r="M44" s="253"/>
      <c r="N44" s="253"/>
      <c r="O44" s="253"/>
      <c r="P44" s="253"/>
      <c r="Q44" s="253"/>
      <c r="R44" s="253"/>
      <c r="S44" s="253"/>
      <c r="T44" s="253"/>
      <c r="U44" s="253"/>
      <c r="V44" s="253"/>
      <c r="W44" s="253"/>
      <c r="X44" s="253"/>
      <c r="Y44" s="253"/>
      <c r="Z44" s="253"/>
      <c r="AA44" s="253"/>
      <c r="AB44" s="253"/>
      <c r="AC44" s="253"/>
      <c r="AD44" s="253"/>
      <c r="AE44" s="253"/>
      <c r="AF44" s="253"/>
      <c r="AG44" s="255">
        <f>20-20</f>
        <v>0</v>
      </c>
      <c r="AH44" s="253"/>
      <c r="AI44" s="253"/>
      <c r="AJ44" s="253"/>
      <c r="AK44" s="253"/>
      <c r="AL44" s="253"/>
      <c r="AM44" s="253"/>
      <c r="AN44" s="253"/>
      <c r="AO44" s="254">
        <f>20-20+9</f>
        <v>9</v>
      </c>
      <c r="AP44" s="253"/>
      <c r="AQ44" s="253"/>
      <c r="AR44" s="253"/>
      <c r="AS44" s="253"/>
      <c r="AT44" s="253"/>
      <c r="AU44" s="253"/>
      <c r="AV44" s="253"/>
      <c r="AW44" s="253"/>
      <c r="AX44" s="253"/>
      <c r="AY44" s="253"/>
      <c r="AZ44" s="253"/>
      <c r="BA44" s="253"/>
      <c r="BB44" s="253"/>
      <c r="BC44" s="253"/>
      <c r="BD44" s="253"/>
      <c r="BE44" s="253"/>
      <c r="BF44" s="255">
        <f>20-20</f>
        <v>0</v>
      </c>
      <c r="BG44" s="253"/>
      <c r="BH44" s="253"/>
      <c r="BI44" s="253"/>
      <c r="BJ44" s="253"/>
      <c r="BK44" s="253"/>
      <c r="BL44" s="253"/>
      <c r="BM44" s="253"/>
      <c r="BN44" s="253"/>
      <c r="BO44" s="253"/>
      <c r="BP44" s="253"/>
      <c r="BQ44" s="253"/>
      <c r="BR44" s="253"/>
      <c r="BS44" s="253"/>
      <c r="BT44" s="253"/>
      <c r="BU44" s="253"/>
      <c r="BV44" s="253"/>
      <c r="BW44" s="253"/>
      <c r="BX44" s="253"/>
      <c r="BY44" s="253"/>
      <c r="BZ44" s="253"/>
      <c r="CA44" s="253"/>
      <c r="CB44" s="253"/>
      <c r="CC44" s="253"/>
      <c r="CD44" s="253"/>
      <c r="CE44" s="253"/>
      <c r="CF44" s="253"/>
      <c r="CG44" s="253"/>
      <c r="CH44" s="253"/>
      <c r="CI44" s="253"/>
      <c r="CJ44" s="253"/>
      <c r="CK44" s="253"/>
      <c r="CL44" s="253"/>
      <c r="CM44" s="253"/>
      <c r="CN44" s="253"/>
      <c r="CO44" s="253"/>
      <c r="CP44" s="253"/>
      <c r="CQ44" s="253"/>
      <c r="CR44" s="253"/>
      <c r="CS44" s="253"/>
      <c r="CT44" s="253"/>
      <c r="CU44" s="253"/>
      <c r="CV44" s="253"/>
      <c r="CW44" s="253"/>
      <c r="CX44" s="253"/>
      <c r="CY44" s="253"/>
      <c r="CZ44" s="253"/>
      <c r="DA44" s="253"/>
      <c r="DB44" s="253"/>
      <c r="DC44" s="253"/>
      <c r="DD44" s="253"/>
      <c r="DE44" s="253"/>
      <c r="DF44" s="253"/>
      <c r="DG44" s="253"/>
      <c r="DH44" s="253"/>
      <c r="DI44" s="253"/>
      <c r="DJ44" s="253"/>
      <c r="DK44" s="253"/>
      <c r="DL44" s="253"/>
      <c r="DM44" s="253"/>
      <c r="DN44" s="253"/>
      <c r="DO44" s="253"/>
      <c r="DP44" s="253"/>
      <c r="DQ44" s="253"/>
      <c r="DR44" s="253"/>
      <c r="DS44" s="253"/>
      <c r="DT44" s="253"/>
      <c r="DU44" s="253"/>
      <c r="DV44" s="253"/>
      <c r="DW44" s="253"/>
      <c r="DX44" s="253"/>
      <c r="DY44" s="253"/>
      <c r="DZ44" s="253"/>
      <c r="EA44" s="253"/>
      <c r="EB44" s="253"/>
      <c r="EC44" s="253"/>
      <c r="ED44" s="253"/>
      <c r="EE44" s="253"/>
      <c r="EF44" s="253"/>
      <c r="EG44" s="253"/>
      <c r="EH44" s="253"/>
      <c r="EI44" s="253"/>
      <c r="EJ44" s="253"/>
      <c r="EK44" s="253"/>
      <c r="EL44" s="253"/>
      <c r="EM44" s="253"/>
      <c r="EN44" s="253"/>
      <c r="EO44" s="253"/>
      <c r="EP44" s="253"/>
      <c r="EQ44" s="253"/>
      <c r="ER44" s="253"/>
      <c r="ES44" s="253"/>
      <c r="ET44" s="253"/>
      <c r="EU44" s="253"/>
      <c r="EV44" s="253"/>
      <c r="EW44" s="253"/>
      <c r="EX44" s="253"/>
      <c r="EY44" s="253"/>
      <c r="EZ44" s="253"/>
      <c r="FA44" s="253"/>
      <c r="FB44" s="253"/>
      <c r="FC44" s="253"/>
      <c r="FD44" s="253"/>
      <c r="FE44" s="253"/>
      <c r="FF44" s="253"/>
      <c r="FG44" s="253"/>
      <c r="FH44" s="253"/>
      <c r="FI44" s="253"/>
      <c r="FJ44" s="253"/>
      <c r="FK44" s="256"/>
      <c r="FL44" s="257" t="s">
        <v>817</v>
      </c>
      <c r="FM44" s="258" t="s">
        <v>389</v>
      </c>
      <c r="FN44" s="258"/>
      <c r="FO44" s="258" t="s">
        <v>837</v>
      </c>
      <c r="FP44" s="259">
        <f t="shared" si="6"/>
        <v>9</v>
      </c>
      <c r="FQ44" s="260" t="s">
        <v>414</v>
      </c>
      <c r="FR44" s="260"/>
    </row>
    <row r="45" spans="1:174">
      <c r="A45" s="251" t="s">
        <v>393</v>
      </c>
      <c r="B45" s="251" t="s">
        <v>385</v>
      </c>
      <c r="C45" s="251" t="s">
        <v>411</v>
      </c>
      <c r="D45" s="251" t="s">
        <v>1</v>
      </c>
      <c r="E45" s="252" t="s">
        <v>836</v>
      </c>
      <c r="F45" s="251" t="s">
        <v>388</v>
      </c>
      <c r="G45" s="251"/>
      <c r="H45" s="253"/>
      <c r="I45" s="253"/>
      <c r="J45" s="253"/>
      <c r="K45" s="253"/>
      <c r="L45" s="253"/>
      <c r="M45" s="253"/>
      <c r="N45" s="253"/>
      <c r="O45" s="253"/>
      <c r="P45" s="253"/>
      <c r="Q45" s="253"/>
      <c r="R45" s="253"/>
      <c r="S45" s="253"/>
      <c r="T45" s="253"/>
      <c r="U45" s="253"/>
      <c r="V45" s="253"/>
      <c r="W45" s="253"/>
      <c r="X45" s="253"/>
      <c r="Y45" s="253"/>
      <c r="Z45" s="253"/>
      <c r="AA45" s="253"/>
      <c r="AB45" s="253"/>
      <c r="AC45" s="253"/>
      <c r="AD45" s="253"/>
      <c r="AE45" s="253"/>
      <c r="AF45" s="253"/>
      <c r="AG45" s="253"/>
      <c r="AH45" s="253"/>
      <c r="AI45" s="253"/>
      <c r="AJ45" s="253"/>
      <c r="AK45" s="253"/>
      <c r="AL45" s="253"/>
      <c r="AM45" s="253"/>
      <c r="AN45" s="253"/>
      <c r="AO45" s="253"/>
      <c r="AP45" s="253"/>
      <c r="AQ45" s="253"/>
      <c r="AR45" s="253"/>
      <c r="AS45" s="253"/>
      <c r="AT45" s="253"/>
      <c r="AU45" s="253"/>
      <c r="AV45" s="253"/>
      <c r="AW45" s="253"/>
      <c r="AX45" s="253"/>
      <c r="AY45" s="253"/>
      <c r="AZ45" s="253"/>
      <c r="BA45" s="253"/>
      <c r="BB45" s="253"/>
      <c r="BC45" s="253"/>
      <c r="BD45" s="253"/>
      <c r="BE45" s="253"/>
      <c r="BF45" s="253"/>
      <c r="BG45" s="253"/>
      <c r="BH45" s="253"/>
      <c r="BI45" s="253"/>
      <c r="BJ45" s="253"/>
      <c r="BK45" s="253"/>
      <c r="BL45" s="253"/>
      <c r="BM45" s="253"/>
      <c r="BN45" s="253"/>
      <c r="BO45" s="253"/>
      <c r="BP45" s="253"/>
      <c r="BQ45" s="253"/>
      <c r="BR45" s="253"/>
      <c r="BS45" s="253"/>
      <c r="BT45" s="253"/>
      <c r="BU45" s="253"/>
      <c r="BV45" s="253"/>
      <c r="BW45" s="253"/>
      <c r="BX45" s="253"/>
      <c r="BY45" s="253"/>
      <c r="BZ45" s="253"/>
      <c r="CA45" s="253"/>
      <c r="CB45" s="253"/>
      <c r="CC45" s="253"/>
      <c r="CD45" s="253"/>
      <c r="CE45" s="253"/>
      <c r="CF45" s="253"/>
      <c r="CG45" s="253"/>
      <c r="CH45" s="253"/>
      <c r="CI45" s="253"/>
      <c r="CJ45" s="253"/>
      <c r="CK45" s="253"/>
      <c r="CL45" s="253"/>
      <c r="CM45" s="253"/>
      <c r="CN45" s="253"/>
      <c r="CO45" s="253"/>
      <c r="CP45" s="253"/>
      <c r="CQ45" s="253"/>
      <c r="CR45" s="253"/>
      <c r="CS45" s="253"/>
      <c r="CT45" s="253"/>
      <c r="CU45" s="253"/>
      <c r="CV45" s="253"/>
      <c r="CW45" s="253"/>
      <c r="CX45" s="253"/>
      <c r="CY45" s="253"/>
      <c r="CZ45" s="253"/>
      <c r="DA45" s="253"/>
      <c r="DB45" s="253"/>
      <c r="DC45" s="253"/>
      <c r="DD45" s="253"/>
      <c r="DE45" s="253"/>
      <c r="DF45" s="253"/>
      <c r="DG45" s="253"/>
      <c r="DH45" s="253"/>
      <c r="DI45" s="253"/>
      <c r="DJ45" s="253"/>
      <c r="DK45" s="253"/>
      <c r="DL45" s="253"/>
      <c r="DM45" s="253"/>
      <c r="DN45" s="253"/>
      <c r="DO45" s="253"/>
      <c r="DP45" s="253"/>
      <c r="DQ45" s="253"/>
      <c r="DR45" s="253"/>
      <c r="DS45" s="253"/>
      <c r="DT45" s="253"/>
      <c r="DU45" s="253"/>
      <c r="DV45" s="253"/>
      <c r="DW45" s="253"/>
      <c r="DX45" s="253"/>
      <c r="DY45" s="253"/>
      <c r="DZ45" s="253"/>
      <c r="EA45" s="253"/>
      <c r="EB45" s="253"/>
      <c r="EC45" s="253"/>
      <c r="ED45" s="253"/>
      <c r="EE45" s="253"/>
      <c r="EF45" s="253"/>
      <c r="EG45" s="253"/>
      <c r="EH45" s="253"/>
      <c r="EI45" s="253"/>
      <c r="EJ45" s="253"/>
      <c r="EK45" s="253"/>
      <c r="EL45" s="253"/>
      <c r="EM45" s="253"/>
      <c r="EN45" s="253"/>
      <c r="EO45" s="253"/>
      <c r="EP45" s="253"/>
      <c r="EQ45" s="253"/>
      <c r="ER45" s="253"/>
      <c r="ES45" s="253"/>
      <c r="ET45" s="253"/>
      <c r="EU45" s="253"/>
      <c r="EV45" s="253"/>
      <c r="EW45" s="253"/>
      <c r="EX45" s="253"/>
      <c r="EY45" s="253"/>
      <c r="EZ45" s="253"/>
      <c r="FA45" s="253"/>
      <c r="FB45" s="253"/>
      <c r="FC45" s="253"/>
      <c r="FD45" s="253"/>
      <c r="FE45" s="253"/>
      <c r="FF45" s="253"/>
      <c r="FG45" s="253"/>
      <c r="FH45" s="255">
        <f>250-250</f>
        <v>0</v>
      </c>
      <c r="FI45" s="253"/>
      <c r="FJ45" s="253"/>
      <c r="FK45" s="256"/>
      <c r="FL45" s="257" t="s">
        <v>817</v>
      </c>
      <c r="FM45" s="258" t="s">
        <v>389</v>
      </c>
      <c r="FN45" s="258"/>
      <c r="FO45" s="258" t="s">
        <v>837</v>
      </c>
      <c r="FP45" s="259">
        <f t="shared" si="6"/>
        <v>0</v>
      </c>
      <c r="FQ45" s="260" t="s">
        <v>414</v>
      </c>
      <c r="FR45" s="260"/>
    </row>
    <row r="46" spans="1:174">
      <c r="A46" s="251" t="s">
        <v>393</v>
      </c>
      <c r="B46" s="251" t="s">
        <v>385</v>
      </c>
      <c r="C46" s="251" t="s">
        <v>411</v>
      </c>
      <c r="D46" s="251" t="s">
        <v>291</v>
      </c>
      <c r="E46" s="252" t="s">
        <v>422</v>
      </c>
      <c r="F46" s="251" t="s">
        <v>388</v>
      </c>
      <c r="G46" s="251"/>
      <c r="H46" s="253"/>
      <c r="I46" s="253"/>
      <c r="J46" s="253"/>
      <c r="K46" s="253"/>
      <c r="L46" s="253"/>
      <c r="M46" s="253"/>
      <c r="N46" s="253"/>
      <c r="O46" s="253"/>
      <c r="P46" s="253"/>
      <c r="Q46" s="253"/>
      <c r="R46" s="253"/>
      <c r="S46" s="253"/>
      <c r="T46" s="253"/>
      <c r="U46" s="253"/>
      <c r="V46" s="253"/>
      <c r="W46" s="253"/>
      <c r="X46" s="253"/>
      <c r="Y46" s="253"/>
      <c r="Z46" s="253"/>
      <c r="AA46" s="253"/>
      <c r="AB46" s="253"/>
      <c r="AC46" s="253"/>
      <c r="AD46" s="253"/>
      <c r="AE46" s="253"/>
      <c r="AF46" s="253"/>
      <c r="AG46" s="255">
        <f>1500-1500</f>
        <v>0</v>
      </c>
      <c r="AH46" s="255">
        <f>360-360</f>
        <v>0</v>
      </c>
      <c r="AI46" s="253"/>
      <c r="AJ46" s="253"/>
      <c r="AK46" s="253"/>
      <c r="AL46" s="253"/>
      <c r="AM46" s="253"/>
      <c r="AN46" s="253"/>
      <c r="AO46" s="253"/>
      <c r="AP46" s="253"/>
      <c r="AQ46" s="253"/>
      <c r="AR46" s="253"/>
      <c r="AS46" s="253"/>
      <c r="AT46" s="253"/>
      <c r="AU46" s="253"/>
      <c r="AV46" s="253"/>
      <c r="AW46" s="253"/>
      <c r="AX46" s="253"/>
      <c r="AY46" s="253"/>
      <c r="AZ46" s="253"/>
      <c r="BA46" s="253"/>
      <c r="BB46" s="254">
        <f>0+10</f>
        <v>10</v>
      </c>
      <c r="BC46" s="253"/>
      <c r="BD46" s="253"/>
      <c r="BE46" s="253"/>
      <c r="BF46" s="255">
        <f>30-30</f>
        <v>0</v>
      </c>
      <c r="BG46" s="253"/>
      <c r="BH46" s="253"/>
      <c r="BI46" s="253"/>
      <c r="BJ46" s="253"/>
      <c r="BK46" s="253"/>
      <c r="BL46" s="253"/>
      <c r="BM46" s="253"/>
      <c r="BN46" s="253"/>
      <c r="BO46" s="253"/>
      <c r="BP46" s="253"/>
      <c r="BQ46" s="253"/>
      <c r="BR46" s="253"/>
      <c r="BS46" s="253"/>
      <c r="BT46" s="253"/>
      <c r="BU46" s="253"/>
      <c r="BV46" s="253"/>
      <c r="BW46" s="253"/>
      <c r="BX46" s="253"/>
      <c r="BY46" s="253"/>
      <c r="BZ46" s="253"/>
      <c r="CA46" s="253"/>
      <c r="CB46" s="253"/>
      <c r="CC46" s="253"/>
      <c r="CD46" s="253"/>
      <c r="CE46" s="253"/>
      <c r="CF46" s="253"/>
      <c r="CG46" s="253"/>
      <c r="CH46" s="253"/>
      <c r="CI46" s="253"/>
      <c r="CJ46" s="253"/>
      <c r="CK46" s="253"/>
      <c r="CL46" s="253"/>
      <c r="CM46" s="253"/>
      <c r="CN46" s="253"/>
      <c r="CO46" s="253"/>
      <c r="CP46" s="253"/>
      <c r="CQ46" s="253"/>
      <c r="CR46" s="253"/>
      <c r="CS46" s="253"/>
      <c r="CT46" s="253"/>
      <c r="CU46" s="253"/>
      <c r="CV46" s="253"/>
      <c r="CW46" s="253"/>
      <c r="CX46" s="253"/>
      <c r="CY46" s="253"/>
      <c r="CZ46" s="253"/>
      <c r="DA46" s="253"/>
      <c r="DB46" s="253"/>
      <c r="DC46" s="253"/>
      <c r="DD46" s="253"/>
      <c r="DE46" s="253"/>
      <c r="DF46" s="253"/>
      <c r="DG46" s="253"/>
      <c r="DH46" s="253"/>
      <c r="DI46" s="253"/>
      <c r="DJ46" s="253"/>
      <c r="DK46" s="253"/>
      <c r="DL46" s="253"/>
      <c r="DM46" s="253"/>
      <c r="DN46" s="253"/>
      <c r="DO46" s="253"/>
      <c r="DP46" s="253"/>
      <c r="DQ46" s="253"/>
      <c r="DR46" s="253"/>
      <c r="DS46" s="253"/>
      <c r="DT46" s="253"/>
      <c r="DU46" s="253"/>
      <c r="DV46" s="253"/>
      <c r="DW46" s="253"/>
      <c r="DX46" s="253"/>
      <c r="DY46" s="253"/>
      <c r="DZ46" s="253"/>
      <c r="EA46" s="253"/>
      <c r="EB46" s="253"/>
      <c r="EC46" s="253"/>
      <c r="ED46" s="253"/>
      <c r="EE46" s="253"/>
      <c r="EF46" s="253"/>
      <c r="EG46" s="253"/>
      <c r="EH46" s="253"/>
      <c r="EI46" s="253"/>
      <c r="EJ46" s="253"/>
      <c r="EK46" s="253"/>
      <c r="EL46" s="253"/>
      <c r="EM46" s="253"/>
      <c r="EN46" s="253"/>
      <c r="EO46" s="253"/>
      <c r="EP46" s="253"/>
      <c r="EQ46" s="253"/>
      <c r="ER46" s="253"/>
      <c r="ES46" s="253"/>
      <c r="ET46" s="253"/>
      <c r="EU46" s="253"/>
      <c r="EV46" s="253"/>
      <c r="EW46" s="253"/>
      <c r="EX46" s="253"/>
      <c r="EY46" s="253"/>
      <c r="EZ46" s="253"/>
      <c r="FA46" s="253"/>
      <c r="FB46" s="253"/>
      <c r="FC46" s="253"/>
      <c r="FD46" s="253"/>
      <c r="FE46" s="253"/>
      <c r="FF46" s="253"/>
      <c r="FG46" s="253"/>
      <c r="FH46" s="253"/>
      <c r="FI46" s="253"/>
      <c r="FJ46" s="253"/>
      <c r="FK46" s="256"/>
      <c r="FL46" s="257" t="s">
        <v>817</v>
      </c>
      <c r="FM46" s="258" t="s">
        <v>389</v>
      </c>
      <c r="FN46" s="258"/>
      <c r="FO46" s="258" t="s">
        <v>423</v>
      </c>
      <c r="FP46" s="259">
        <f t="shared" si="6"/>
        <v>10</v>
      </c>
      <c r="FQ46" s="260" t="s">
        <v>424</v>
      </c>
      <c r="FR46" s="260"/>
    </row>
    <row r="47" spans="1:174">
      <c r="A47" s="251" t="s">
        <v>393</v>
      </c>
      <c r="B47" s="251" t="s">
        <v>385</v>
      </c>
      <c r="C47" s="251" t="s">
        <v>411</v>
      </c>
      <c r="D47" s="251" t="s">
        <v>1</v>
      </c>
      <c r="E47" s="252" t="s">
        <v>422</v>
      </c>
      <c r="F47" s="251" t="s">
        <v>388</v>
      </c>
      <c r="G47" s="251"/>
      <c r="H47" s="253"/>
      <c r="I47" s="253"/>
      <c r="J47" s="253"/>
      <c r="K47" s="253"/>
      <c r="L47" s="253"/>
      <c r="M47" s="253"/>
      <c r="N47" s="253"/>
      <c r="O47" s="253"/>
      <c r="P47" s="253"/>
      <c r="Q47" s="253"/>
      <c r="R47" s="253"/>
      <c r="S47" s="253"/>
      <c r="T47" s="253"/>
      <c r="U47" s="253"/>
      <c r="V47" s="253"/>
      <c r="W47" s="253"/>
      <c r="X47" s="253"/>
      <c r="Y47" s="253"/>
      <c r="Z47" s="253"/>
      <c r="AA47" s="253"/>
      <c r="AB47" s="255">
        <f>680-680</f>
        <v>0</v>
      </c>
      <c r="AC47" s="255">
        <f>960-960</f>
        <v>0</v>
      </c>
      <c r="AD47" s="253"/>
      <c r="AE47" s="253"/>
      <c r="AF47" s="255">
        <f>400-400</f>
        <v>0</v>
      </c>
      <c r="AG47" s="253"/>
      <c r="AH47" s="253"/>
      <c r="AI47" s="253"/>
      <c r="AJ47" s="253"/>
      <c r="AK47" s="253"/>
      <c r="AL47" s="253"/>
      <c r="AM47" s="255">
        <f>1900-1900</f>
        <v>0</v>
      </c>
      <c r="AN47" s="253"/>
      <c r="AO47" s="253"/>
      <c r="AP47" s="253"/>
      <c r="AQ47" s="253"/>
      <c r="AR47" s="253"/>
      <c r="AS47" s="253"/>
      <c r="AT47" s="253"/>
      <c r="AU47" s="255">
        <f>2140-2140</f>
        <v>0</v>
      </c>
      <c r="AV47" s="253"/>
      <c r="AW47" s="253"/>
      <c r="AX47" s="253"/>
      <c r="AY47" s="253"/>
      <c r="AZ47" s="253"/>
      <c r="BA47" s="253"/>
      <c r="BB47" s="255">
        <f>520-520</f>
        <v>0</v>
      </c>
      <c r="BC47" s="253"/>
      <c r="BD47" s="253"/>
      <c r="BE47" s="253"/>
      <c r="BF47" s="253"/>
      <c r="BG47" s="253"/>
      <c r="BH47" s="253"/>
      <c r="BI47" s="253"/>
      <c r="BJ47" s="253"/>
      <c r="BK47" s="253"/>
      <c r="BL47" s="253"/>
      <c r="BM47" s="253"/>
      <c r="BN47" s="253"/>
      <c r="BO47" s="253"/>
      <c r="BP47" s="253"/>
      <c r="BQ47" s="253"/>
      <c r="BR47" s="253"/>
      <c r="BS47" s="253"/>
      <c r="BT47" s="253"/>
      <c r="BU47" s="253"/>
      <c r="BV47" s="253"/>
      <c r="BW47" s="253"/>
      <c r="BX47" s="253"/>
      <c r="BY47" s="253"/>
      <c r="BZ47" s="253"/>
      <c r="CA47" s="253"/>
      <c r="CB47" s="253"/>
      <c r="CC47" s="253"/>
      <c r="CD47" s="253"/>
      <c r="CE47" s="253"/>
      <c r="CF47" s="253"/>
      <c r="CG47" s="253"/>
      <c r="CH47" s="253"/>
      <c r="CI47" s="253"/>
      <c r="CJ47" s="253"/>
      <c r="CK47" s="253"/>
      <c r="CL47" s="253"/>
      <c r="CM47" s="253"/>
      <c r="CN47" s="253"/>
      <c r="CO47" s="253"/>
      <c r="CP47" s="253"/>
      <c r="CQ47" s="253"/>
      <c r="CR47" s="253"/>
      <c r="CS47" s="253"/>
      <c r="CT47" s="253"/>
      <c r="CU47" s="253"/>
      <c r="CV47" s="253"/>
      <c r="CW47" s="253"/>
      <c r="CX47" s="253"/>
      <c r="CY47" s="253"/>
      <c r="CZ47" s="253"/>
      <c r="DA47" s="253"/>
      <c r="DB47" s="253"/>
      <c r="DC47" s="253"/>
      <c r="DD47" s="253"/>
      <c r="DE47" s="253"/>
      <c r="DF47" s="253"/>
      <c r="DG47" s="253"/>
      <c r="DH47" s="253"/>
      <c r="DI47" s="253"/>
      <c r="DJ47" s="253"/>
      <c r="DK47" s="253"/>
      <c r="DL47" s="253"/>
      <c r="DM47" s="253"/>
      <c r="DN47" s="253"/>
      <c r="DO47" s="253"/>
      <c r="DP47" s="253"/>
      <c r="DQ47" s="253"/>
      <c r="DR47" s="253"/>
      <c r="DS47" s="253"/>
      <c r="DT47" s="253"/>
      <c r="DU47" s="253"/>
      <c r="DV47" s="253"/>
      <c r="DW47" s="253"/>
      <c r="DX47" s="253"/>
      <c r="DY47" s="253"/>
      <c r="DZ47" s="253"/>
      <c r="EA47" s="253"/>
      <c r="EB47" s="255">
        <f>500-500</f>
        <v>0</v>
      </c>
      <c r="EC47" s="255">
        <f>490-490</f>
        <v>0</v>
      </c>
      <c r="ED47" s="253"/>
      <c r="EE47" s="253"/>
      <c r="EF47" s="255">
        <f>1000-1000</f>
        <v>0</v>
      </c>
      <c r="EG47" s="255">
        <f>800-800</f>
        <v>0</v>
      </c>
      <c r="EH47" s="255">
        <f>1600-1600</f>
        <v>0</v>
      </c>
      <c r="EI47" s="255">
        <f>390-390</f>
        <v>0</v>
      </c>
      <c r="EJ47" s="255">
        <f>800-800</f>
        <v>0</v>
      </c>
      <c r="EK47" s="253"/>
      <c r="EL47" s="253"/>
      <c r="EM47" s="253"/>
      <c r="EN47" s="253"/>
      <c r="EO47" s="253"/>
      <c r="EP47" s="253"/>
      <c r="EQ47" s="253"/>
      <c r="ER47" s="253"/>
      <c r="ES47" s="253"/>
      <c r="ET47" s="253"/>
      <c r="EU47" s="253"/>
      <c r="EV47" s="253"/>
      <c r="EW47" s="253"/>
      <c r="EX47" s="253"/>
      <c r="EY47" s="253"/>
      <c r="EZ47" s="253"/>
      <c r="FA47" s="253"/>
      <c r="FB47" s="253"/>
      <c r="FC47" s="253"/>
      <c r="FD47" s="253"/>
      <c r="FE47" s="253"/>
      <c r="FF47" s="253"/>
      <c r="FG47" s="253"/>
      <c r="FH47" s="253"/>
      <c r="FI47" s="253"/>
      <c r="FJ47" s="253"/>
      <c r="FK47" s="256"/>
      <c r="FL47" s="257" t="s">
        <v>817</v>
      </c>
      <c r="FM47" s="258" t="s">
        <v>389</v>
      </c>
      <c r="FN47" s="258"/>
      <c r="FO47" s="258" t="s">
        <v>423</v>
      </c>
      <c r="FP47" s="259">
        <f t="shared" si="6"/>
        <v>0</v>
      </c>
      <c r="FQ47" s="260" t="s">
        <v>424</v>
      </c>
      <c r="FR47" s="260"/>
    </row>
    <row r="48" spans="1:174">
      <c r="A48" s="251" t="s">
        <v>385</v>
      </c>
      <c r="B48" s="251" t="s">
        <v>385</v>
      </c>
      <c r="C48" s="251" t="s">
        <v>411</v>
      </c>
      <c r="D48" s="251" t="s">
        <v>291</v>
      </c>
      <c r="E48" s="252" t="s">
        <v>203</v>
      </c>
      <c r="F48" s="251" t="s">
        <v>388</v>
      </c>
      <c r="G48" s="251" t="s">
        <v>838</v>
      </c>
      <c r="H48" s="253"/>
      <c r="I48" s="255">
        <f>300-300</f>
        <v>0</v>
      </c>
      <c r="J48" s="253"/>
      <c r="K48" s="255">
        <f>60-60</f>
        <v>0</v>
      </c>
      <c r="L48" s="253"/>
      <c r="M48" s="253"/>
      <c r="N48" s="255">
        <f>200-200</f>
        <v>0</v>
      </c>
      <c r="O48" s="253"/>
      <c r="P48" s="253"/>
      <c r="Q48" s="253"/>
      <c r="R48" s="253"/>
      <c r="S48" s="253"/>
      <c r="T48" s="253"/>
      <c r="U48" s="253"/>
      <c r="V48" s="253"/>
      <c r="W48" s="253"/>
      <c r="X48" s="253"/>
      <c r="Y48" s="253"/>
      <c r="Z48" s="253"/>
      <c r="AA48" s="253"/>
      <c r="AB48" s="253"/>
      <c r="AC48" s="253"/>
      <c r="AD48" s="253"/>
      <c r="AE48" s="253"/>
      <c r="AF48" s="253"/>
      <c r="AG48" s="255">
        <f>200-200</f>
        <v>0</v>
      </c>
      <c r="AH48" s="255">
        <f>200-200</f>
        <v>0</v>
      </c>
      <c r="AI48" s="253"/>
      <c r="AJ48" s="253"/>
      <c r="AK48" s="253"/>
      <c r="AL48" s="253"/>
      <c r="AM48" s="253"/>
      <c r="AN48" s="253"/>
      <c r="AO48" s="253"/>
      <c r="AP48" s="253"/>
      <c r="AQ48" s="253"/>
      <c r="AR48" s="253"/>
      <c r="AS48" s="253"/>
      <c r="AT48" s="253"/>
      <c r="AU48" s="253"/>
      <c r="AV48" s="253"/>
      <c r="AW48" s="253"/>
      <c r="AX48" s="253"/>
      <c r="AY48" s="253"/>
      <c r="AZ48" s="253"/>
      <c r="BA48" s="253"/>
      <c r="BB48" s="253"/>
      <c r="BC48" s="253"/>
      <c r="BD48" s="253"/>
      <c r="BE48" s="253"/>
      <c r="BF48" s="255">
        <f>200-200</f>
        <v>0</v>
      </c>
      <c r="BG48" s="253"/>
      <c r="BH48" s="253"/>
      <c r="BI48" s="253"/>
      <c r="BJ48" s="253"/>
      <c r="BK48" s="253"/>
      <c r="BL48" s="253"/>
      <c r="BM48" s="253"/>
      <c r="BN48" s="253"/>
      <c r="BO48" s="253"/>
      <c r="BP48" s="253"/>
      <c r="BQ48" s="253"/>
      <c r="BR48" s="253"/>
      <c r="BS48" s="253"/>
      <c r="BT48" s="253"/>
      <c r="BU48" s="253"/>
      <c r="BV48" s="253"/>
      <c r="BW48" s="253"/>
      <c r="BX48" s="253"/>
      <c r="BY48" s="253"/>
      <c r="BZ48" s="253"/>
      <c r="CA48" s="253"/>
      <c r="CB48" s="253"/>
      <c r="CC48" s="253"/>
      <c r="CD48" s="253"/>
      <c r="CE48" s="253"/>
      <c r="CF48" s="253"/>
      <c r="CG48" s="253"/>
      <c r="CH48" s="253"/>
      <c r="CI48" s="253"/>
      <c r="CJ48" s="253"/>
      <c r="CK48" s="253"/>
      <c r="CL48" s="253"/>
      <c r="CM48" s="253"/>
      <c r="CN48" s="253"/>
      <c r="CO48" s="253"/>
      <c r="CP48" s="253"/>
      <c r="CQ48" s="253"/>
      <c r="CR48" s="253"/>
      <c r="CS48" s="253"/>
      <c r="CT48" s="253"/>
      <c r="CU48" s="253"/>
      <c r="CV48" s="253"/>
      <c r="CW48" s="253"/>
      <c r="CX48" s="253"/>
      <c r="CY48" s="253"/>
      <c r="CZ48" s="253"/>
      <c r="DA48" s="253"/>
      <c r="DB48" s="253"/>
      <c r="DC48" s="253"/>
      <c r="DD48" s="253"/>
      <c r="DE48" s="253"/>
      <c r="DF48" s="253"/>
      <c r="DG48" s="253"/>
      <c r="DH48" s="253"/>
      <c r="DI48" s="253"/>
      <c r="DJ48" s="253"/>
      <c r="DK48" s="253"/>
      <c r="DL48" s="253"/>
      <c r="DM48" s="253"/>
      <c r="DN48" s="253"/>
      <c r="DO48" s="253"/>
      <c r="DP48" s="253"/>
      <c r="DQ48" s="253"/>
      <c r="DR48" s="253"/>
      <c r="DS48" s="253"/>
      <c r="DT48" s="253"/>
      <c r="DU48" s="253"/>
      <c r="DV48" s="253"/>
      <c r="DW48" s="253"/>
      <c r="DX48" s="253"/>
      <c r="DY48" s="253"/>
      <c r="DZ48" s="253"/>
      <c r="EA48" s="253"/>
      <c r="EB48" s="253"/>
      <c r="EC48" s="253"/>
      <c r="ED48" s="253"/>
      <c r="EE48" s="253"/>
      <c r="EF48" s="253"/>
      <c r="EG48" s="253"/>
      <c r="EH48" s="253"/>
      <c r="EI48" s="253"/>
      <c r="EJ48" s="253"/>
      <c r="EK48" s="253"/>
      <c r="EL48" s="253"/>
      <c r="EM48" s="253"/>
      <c r="EN48" s="253"/>
      <c r="EO48" s="253"/>
      <c r="EP48" s="253"/>
      <c r="EQ48" s="253"/>
      <c r="ER48" s="253"/>
      <c r="ES48" s="253"/>
      <c r="ET48" s="253"/>
      <c r="EU48" s="253"/>
      <c r="EV48" s="253"/>
      <c r="EW48" s="253"/>
      <c r="EX48" s="253"/>
      <c r="EY48" s="253"/>
      <c r="EZ48" s="253"/>
      <c r="FA48" s="253"/>
      <c r="FB48" s="253"/>
      <c r="FC48" s="253"/>
      <c r="FD48" s="253"/>
      <c r="FE48" s="253"/>
      <c r="FF48" s="253"/>
      <c r="FG48" s="253"/>
      <c r="FH48" s="253"/>
      <c r="FI48" s="253"/>
      <c r="FJ48" s="253"/>
      <c r="FK48" s="262"/>
      <c r="FL48" s="257" t="s">
        <v>817</v>
      </c>
      <c r="FM48" s="258" t="s">
        <v>389</v>
      </c>
      <c r="FN48" s="258" t="s">
        <v>839</v>
      </c>
      <c r="FO48" s="258" t="s">
        <v>426</v>
      </c>
      <c r="FP48" s="259">
        <f t="shared" si="6"/>
        <v>0</v>
      </c>
      <c r="FQ48" s="260" t="s">
        <v>433</v>
      </c>
      <c r="FR48" s="260"/>
    </row>
    <row r="49" spans="1:174">
      <c r="A49" s="251" t="s">
        <v>385</v>
      </c>
      <c r="B49" s="251" t="s">
        <v>385</v>
      </c>
      <c r="C49" s="251" t="s">
        <v>411</v>
      </c>
      <c r="D49" s="251" t="s">
        <v>1</v>
      </c>
      <c r="E49" s="252" t="s">
        <v>203</v>
      </c>
      <c r="F49" s="251" t="s">
        <v>388</v>
      </c>
      <c r="G49" s="251" t="s">
        <v>840</v>
      </c>
      <c r="H49" s="253"/>
      <c r="I49" s="253"/>
      <c r="J49" s="253"/>
      <c r="K49" s="253"/>
      <c r="L49" s="253"/>
      <c r="M49" s="253"/>
      <c r="N49" s="254">
        <f>0+20</f>
        <v>20</v>
      </c>
      <c r="O49" s="255">
        <f>200-200</f>
        <v>0</v>
      </c>
      <c r="P49" s="255">
        <f>300-300</f>
        <v>0</v>
      </c>
      <c r="Q49" s="253"/>
      <c r="R49" s="253"/>
      <c r="S49" s="253"/>
      <c r="T49" s="253"/>
      <c r="U49" s="253"/>
      <c r="V49" s="253"/>
      <c r="W49" s="253"/>
      <c r="X49" s="253"/>
      <c r="Y49" s="253"/>
      <c r="Z49" s="253"/>
      <c r="AA49" s="253"/>
      <c r="AB49" s="255">
        <f>200-200</f>
        <v>0</v>
      </c>
      <c r="AC49" s="255">
        <f>200-200</f>
        <v>0</v>
      </c>
      <c r="AD49" s="253"/>
      <c r="AE49" s="254">
        <f>200-200+10</f>
        <v>10</v>
      </c>
      <c r="AF49" s="253"/>
      <c r="AG49" s="253"/>
      <c r="AH49" s="253"/>
      <c r="AI49" s="253"/>
      <c r="AJ49" s="253"/>
      <c r="AK49" s="253"/>
      <c r="AL49" s="253"/>
      <c r="AM49" s="255">
        <f>200-200</f>
        <v>0</v>
      </c>
      <c r="AN49" s="253"/>
      <c r="AO49" s="253"/>
      <c r="AP49" s="253"/>
      <c r="AQ49" s="253"/>
      <c r="AR49" s="253"/>
      <c r="AS49" s="253"/>
      <c r="AT49" s="253"/>
      <c r="AU49" s="255">
        <f>300-300</f>
        <v>0</v>
      </c>
      <c r="AV49" s="253"/>
      <c r="AW49" s="253"/>
      <c r="AX49" s="253"/>
      <c r="AY49" s="253"/>
      <c r="AZ49" s="253"/>
      <c r="BA49" s="253"/>
      <c r="BB49" s="255">
        <f>200-200</f>
        <v>0</v>
      </c>
      <c r="BC49" s="253"/>
      <c r="BD49" s="253"/>
      <c r="BE49" s="253"/>
      <c r="BF49" s="253"/>
      <c r="BG49" s="253"/>
      <c r="BH49" s="253"/>
      <c r="BI49" s="253"/>
      <c r="BJ49" s="253"/>
      <c r="BK49" s="253"/>
      <c r="BL49" s="253"/>
      <c r="BM49" s="253"/>
      <c r="BN49" s="253"/>
      <c r="BO49" s="253"/>
      <c r="BP49" s="253"/>
      <c r="BQ49" s="253"/>
      <c r="BR49" s="253"/>
      <c r="BS49" s="253"/>
      <c r="BT49" s="253"/>
      <c r="BU49" s="253"/>
      <c r="BV49" s="253"/>
      <c r="BW49" s="253"/>
      <c r="BX49" s="253"/>
      <c r="BY49" s="253"/>
      <c r="BZ49" s="253"/>
      <c r="CA49" s="253"/>
      <c r="CB49" s="253"/>
      <c r="CC49" s="253"/>
      <c r="CD49" s="253"/>
      <c r="CE49" s="253"/>
      <c r="CF49" s="253"/>
      <c r="CG49" s="253"/>
      <c r="CH49" s="253"/>
      <c r="CI49" s="253"/>
      <c r="CJ49" s="253"/>
      <c r="CK49" s="253"/>
      <c r="CL49" s="253"/>
      <c r="CM49" s="253"/>
      <c r="CN49" s="253"/>
      <c r="CO49" s="253"/>
      <c r="CP49" s="253"/>
      <c r="CQ49" s="253"/>
      <c r="CR49" s="253"/>
      <c r="CS49" s="253"/>
      <c r="CT49" s="253"/>
      <c r="CU49" s="253"/>
      <c r="CV49" s="253"/>
      <c r="CW49" s="253"/>
      <c r="CX49" s="253"/>
      <c r="CY49" s="253"/>
      <c r="CZ49" s="253"/>
      <c r="DA49" s="253"/>
      <c r="DB49" s="253"/>
      <c r="DC49" s="253"/>
      <c r="DD49" s="253"/>
      <c r="DE49" s="253"/>
      <c r="DF49" s="253"/>
      <c r="DG49" s="253"/>
      <c r="DH49" s="253"/>
      <c r="DI49" s="253"/>
      <c r="DJ49" s="253"/>
      <c r="DK49" s="253"/>
      <c r="DL49" s="253"/>
      <c r="DM49" s="253"/>
      <c r="DN49" s="253"/>
      <c r="DO49" s="253"/>
      <c r="DP49" s="253"/>
      <c r="DQ49" s="253"/>
      <c r="DR49" s="253"/>
      <c r="DS49" s="253"/>
      <c r="DT49" s="253"/>
      <c r="DU49" s="253"/>
      <c r="DV49" s="253"/>
      <c r="DW49" s="253"/>
      <c r="DX49" s="253"/>
      <c r="DY49" s="253"/>
      <c r="DZ49" s="253"/>
      <c r="EA49" s="253"/>
      <c r="EB49" s="253"/>
      <c r="EC49" s="253"/>
      <c r="ED49" s="253"/>
      <c r="EE49" s="253"/>
      <c r="EF49" s="255">
        <f>100-100</f>
        <v>0</v>
      </c>
      <c r="EG49" s="255">
        <f>100-100</f>
        <v>0</v>
      </c>
      <c r="EH49" s="253"/>
      <c r="EI49" s="253"/>
      <c r="EJ49" s="255">
        <f>100-100</f>
        <v>0</v>
      </c>
      <c r="EK49" s="253"/>
      <c r="EL49" s="253"/>
      <c r="EM49" s="255">
        <f>100-100</f>
        <v>0</v>
      </c>
      <c r="EN49" s="253"/>
      <c r="EO49" s="255">
        <f>200-200</f>
        <v>0</v>
      </c>
      <c r="EP49" s="253"/>
      <c r="EQ49" s="253"/>
      <c r="ER49" s="253"/>
      <c r="ES49" s="253"/>
      <c r="ET49" s="253"/>
      <c r="EU49" s="253"/>
      <c r="EV49" s="253"/>
      <c r="EW49" s="253"/>
      <c r="EX49" s="253"/>
      <c r="EY49" s="253"/>
      <c r="EZ49" s="253"/>
      <c r="FA49" s="253"/>
      <c r="FB49" s="253"/>
      <c r="FC49" s="253"/>
      <c r="FD49" s="253"/>
      <c r="FE49" s="253"/>
      <c r="FF49" s="253"/>
      <c r="FG49" s="253"/>
      <c r="FH49" s="253"/>
      <c r="FI49" s="253"/>
      <c r="FJ49" s="253"/>
      <c r="FK49" s="262"/>
      <c r="FL49" s="257" t="s">
        <v>817</v>
      </c>
      <c r="FM49" s="258" t="s">
        <v>389</v>
      </c>
      <c r="FN49" s="258" t="s">
        <v>839</v>
      </c>
      <c r="FO49" s="258" t="s">
        <v>426</v>
      </c>
      <c r="FP49" s="259">
        <f t="shared" si="6"/>
        <v>30</v>
      </c>
      <c r="FQ49" s="260" t="s">
        <v>433</v>
      </c>
      <c r="FR49" s="260"/>
    </row>
    <row r="50" spans="1:174">
      <c r="A50" s="251" t="s">
        <v>393</v>
      </c>
      <c r="B50" s="251" t="s">
        <v>385</v>
      </c>
      <c r="C50" s="251" t="s">
        <v>411</v>
      </c>
      <c r="D50" s="251" t="s">
        <v>291</v>
      </c>
      <c r="E50" s="252" t="s">
        <v>427</v>
      </c>
      <c r="F50" s="251" t="s">
        <v>388</v>
      </c>
      <c r="G50" s="251" t="s">
        <v>841</v>
      </c>
      <c r="H50" s="253"/>
      <c r="I50" s="255">
        <f>200-200</f>
        <v>0</v>
      </c>
      <c r="J50" s="253"/>
      <c r="K50" s="255">
        <f>200-200</f>
        <v>0</v>
      </c>
      <c r="L50" s="253"/>
      <c r="M50" s="253"/>
      <c r="N50" s="255">
        <f>200-200</f>
        <v>0</v>
      </c>
      <c r="O50" s="253"/>
      <c r="P50" s="253"/>
      <c r="Q50" s="253"/>
      <c r="R50" s="253"/>
      <c r="S50" s="253"/>
      <c r="T50" s="253"/>
      <c r="U50" s="253"/>
      <c r="V50" s="253"/>
      <c r="W50" s="253"/>
      <c r="X50" s="253"/>
      <c r="Y50" s="253"/>
      <c r="Z50" s="253"/>
      <c r="AA50" s="253"/>
      <c r="AB50" s="253"/>
      <c r="AC50" s="253"/>
      <c r="AD50" s="253"/>
      <c r="AE50" s="253"/>
      <c r="AF50" s="253"/>
      <c r="AG50" s="255">
        <f>200-200</f>
        <v>0</v>
      </c>
      <c r="AH50" s="255">
        <f>200-200</f>
        <v>0</v>
      </c>
      <c r="AI50" s="253"/>
      <c r="AJ50" s="253"/>
      <c r="AK50" s="253"/>
      <c r="AL50" s="253"/>
      <c r="AM50" s="253"/>
      <c r="AN50" s="253"/>
      <c r="AO50" s="253"/>
      <c r="AP50" s="253"/>
      <c r="AQ50" s="255">
        <f>200-200</f>
        <v>0</v>
      </c>
      <c r="AR50" s="255">
        <f>200-200</f>
        <v>0</v>
      </c>
      <c r="AS50" s="253"/>
      <c r="AT50" s="253"/>
      <c r="AU50" s="253"/>
      <c r="AV50" s="253"/>
      <c r="AW50" s="253"/>
      <c r="AX50" s="253"/>
      <c r="AY50" s="253"/>
      <c r="AZ50" s="253"/>
      <c r="BA50" s="253"/>
      <c r="BB50" s="253"/>
      <c r="BC50" s="253"/>
      <c r="BD50" s="253"/>
      <c r="BE50" s="253"/>
      <c r="BF50" s="255">
        <f>100-100</f>
        <v>0</v>
      </c>
      <c r="BG50" s="253"/>
      <c r="BH50" s="253"/>
      <c r="BI50" s="253"/>
      <c r="BJ50" s="253"/>
      <c r="BK50" s="253"/>
      <c r="BL50" s="253"/>
      <c r="BM50" s="253"/>
      <c r="BN50" s="253"/>
      <c r="BO50" s="253"/>
      <c r="BP50" s="253"/>
      <c r="BQ50" s="253"/>
      <c r="BR50" s="253"/>
      <c r="BS50" s="253"/>
      <c r="BT50" s="253"/>
      <c r="BU50" s="253"/>
      <c r="BV50" s="253"/>
      <c r="BW50" s="253"/>
      <c r="BX50" s="253"/>
      <c r="BY50" s="253"/>
      <c r="BZ50" s="253"/>
      <c r="CA50" s="253"/>
      <c r="CB50" s="253"/>
      <c r="CC50" s="253"/>
      <c r="CD50" s="253"/>
      <c r="CE50" s="253"/>
      <c r="CF50" s="253"/>
      <c r="CG50" s="253"/>
      <c r="CH50" s="253"/>
      <c r="CI50" s="253"/>
      <c r="CJ50" s="253"/>
      <c r="CK50" s="253"/>
      <c r="CL50" s="253"/>
      <c r="CM50" s="253"/>
      <c r="CN50" s="253"/>
      <c r="CO50" s="253"/>
      <c r="CP50" s="253"/>
      <c r="CQ50" s="253"/>
      <c r="CR50" s="253"/>
      <c r="CS50" s="253"/>
      <c r="CT50" s="253"/>
      <c r="CU50" s="253"/>
      <c r="CV50" s="253"/>
      <c r="CW50" s="253"/>
      <c r="CX50" s="253"/>
      <c r="CY50" s="253"/>
      <c r="CZ50" s="253"/>
      <c r="DA50" s="253"/>
      <c r="DB50" s="253"/>
      <c r="DC50" s="253"/>
      <c r="DD50" s="253"/>
      <c r="DE50" s="253"/>
      <c r="DF50" s="253"/>
      <c r="DG50" s="253"/>
      <c r="DH50" s="253"/>
      <c r="DI50" s="253"/>
      <c r="DJ50" s="253"/>
      <c r="DK50" s="253"/>
      <c r="DL50" s="253"/>
      <c r="DM50" s="253"/>
      <c r="DN50" s="253"/>
      <c r="DO50" s="253"/>
      <c r="DP50" s="253"/>
      <c r="DQ50" s="253"/>
      <c r="DR50" s="253"/>
      <c r="DS50" s="253"/>
      <c r="DT50" s="253"/>
      <c r="DU50" s="253"/>
      <c r="DV50" s="255">
        <f>100-100</f>
        <v>0</v>
      </c>
      <c r="DW50" s="254">
        <f>100-100+90</f>
        <v>90</v>
      </c>
      <c r="DX50" s="253"/>
      <c r="DY50" s="255">
        <f>200-200</f>
        <v>0</v>
      </c>
      <c r="DZ50" s="254">
        <f>100-100+20</f>
        <v>20</v>
      </c>
      <c r="EA50" s="255">
        <f>60-60</f>
        <v>0</v>
      </c>
      <c r="EB50" s="253"/>
      <c r="EC50" s="253"/>
      <c r="ED50" s="253"/>
      <c r="EE50" s="253"/>
      <c r="EF50" s="253"/>
      <c r="EG50" s="253"/>
      <c r="EH50" s="253"/>
      <c r="EI50" s="253"/>
      <c r="EJ50" s="253"/>
      <c r="EK50" s="253"/>
      <c r="EL50" s="253"/>
      <c r="EM50" s="253"/>
      <c r="EN50" s="253"/>
      <c r="EO50" s="253"/>
      <c r="EP50" s="253"/>
      <c r="EQ50" s="253"/>
      <c r="ER50" s="253"/>
      <c r="ES50" s="253"/>
      <c r="ET50" s="253"/>
      <c r="EU50" s="253"/>
      <c r="EV50" s="253"/>
      <c r="EW50" s="253"/>
      <c r="EX50" s="253"/>
      <c r="EY50" s="253"/>
      <c r="EZ50" s="253"/>
      <c r="FA50" s="253"/>
      <c r="FB50" s="253"/>
      <c r="FC50" s="253"/>
      <c r="FD50" s="253"/>
      <c r="FE50" s="253"/>
      <c r="FF50" s="253"/>
      <c r="FG50" s="253"/>
      <c r="FH50" s="253"/>
      <c r="FI50" s="253"/>
      <c r="FJ50" s="253"/>
      <c r="FK50" s="256"/>
      <c r="FL50" s="257" t="s">
        <v>817</v>
      </c>
      <c r="FM50" s="258" t="s">
        <v>389</v>
      </c>
      <c r="FN50" s="258"/>
      <c r="FO50" s="258" t="s">
        <v>423</v>
      </c>
      <c r="FP50" s="259">
        <f t="shared" si="6"/>
        <v>110</v>
      </c>
      <c r="FQ50" s="260" t="s">
        <v>835</v>
      </c>
      <c r="FR50" s="260"/>
    </row>
    <row r="51" spans="1:174">
      <c r="A51" s="251" t="s">
        <v>393</v>
      </c>
      <c r="B51" s="251" t="s">
        <v>385</v>
      </c>
      <c r="C51" s="251" t="s">
        <v>411</v>
      </c>
      <c r="D51" s="251" t="s">
        <v>1</v>
      </c>
      <c r="E51" s="252" t="s">
        <v>427</v>
      </c>
      <c r="F51" s="251" t="s">
        <v>388</v>
      </c>
      <c r="G51" s="251" t="s">
        <v>841</v>
      </c>
      <c r="H51" s="253"/>
      <c r="I51" s="253"/>
      <c r="J51" s="253"/>
      <c r="K51" s="253"/>
      <c r="L51" s="254">
        <f>200-200+200</f>
        <v>200</v>
      </c>
      <c r="M51" s="253"/>
      <c r="N51" s="254">
        <f>0+20</f>
        <v>20</v>
      </c>
      <c r="O51" s="255">
        <f>100-100</f>
        <v>0</v>
      </c>
      <c r="P51" s="255">
        <f>200-200</f>
        <v>0</v>
      </c>
      <c r="Q51" s="253"/>
      <c r="R51" s="253"/>
      <c r="S51" s="255">
        <f>100-100</f>
        <v>0</v>
      </c>
      <c r="T51" s="253"/>
      <c r="U51" s="255">
        <f>100-100</f>
        <v>0</v>
      </c>
      <c r="V51" s="253"/>
      <c r="W51" s="253"/>
      <c r="X51" s="253"/>
      <c r="Y51" s="253"/>
      <c r="Z51" s="253"/>
      <c r="AA51" s="255">
        <f>100-100</f>
        <v>0</v>
      </c>
      <c r="AB51" s="255">
        <f>200-200</f>
        <v>0</v>
      </c>
      <c r="AC51" s="255">
        <f>100-100</f>
        <v>0</v>
      </c>
      <c r="AD51" s="253"/>
      <c r="AE51" s="255">
        <f>200-200</f>
        <v>0</v>
      </c>
      <c r="AF51" s="253"/>
      <c r="AG51" s="253"/>
      <c r="AH51" s="253"/>
      <c r="AI51" s="253"/>
      <c r="AJ51" s="253"/>
      <c r="AK51" s="253"/>
      <c r="AL51" s="253"/>
      <c r="AM51" s="253"/>
      <c r="AN51" s="253"/>
      <c r="AO51" s="253"/>
      <c r="AP51" s="253"/>
      <c r="AQ51" s="253"/>
      <c r="AR51" s="253"/>
      <c r="AS51" s="253"/>
      <c r="AT51" s="253"/>
      <c r="AU51" s="255">
        <f>200-200</f>
        <v>0</v>
      </c>
      <c r="AV51" s="253"/>
      <c r="AW51" s="253"/>
      <c r="AX51" s="253"/>
      <c r="AY51" s="253"/>
      <c r="AZ51" s="253"/>
      <c r="BA51" s="253"/>
      <c r="BB51" s="253"/>
      <c r="BC51" s="253"/>
      <c r="BD51" s="253"/>
      <c r="BE51" s="253"/>
      <c r="BF51" s="253"/>
      <c r="BG51" s="253"/>
      <c r="BH51" s="255">
        <f>100-100</f>
        <v>0</v>
      </c>
      <c r="BI51" s="253"/>
      <c r="BJ51" s="253"/>
      <c r="BK51" s="253"/>
      <c r="BL51" s="253"/>
      <c r="BM51" s="253"/>
      <c r="BN51" s="253"/>
      <c r="BO51" s="253"/>
      <c r="BP51" s="253"/>
      <c r="BQ51" s="253"/>
      <c r="BR51" s="253"/>
      <c r="BS51" s="253"/>
      <c r="BT51" s="253"/>
      <c r="BU51" s="253"/>
      <c r="BV51" s="253"/>
      <c r="BW51" s="253"/>
      <c r="BX51" s="253"/>
      <c r="BY51" s="253"/>
      <c r="BZ51" s="253"/>
      <c r="CA51" s="253"/>
      <c r="CB51" s="253"/>
      <c r="CC51" s="253"/>
      <c r="CD51" s="253"/>
      <c r="CE51" s="253"/>
      <c r="CF51" s="253"/>
      <c r="CG51" s="253"/>
      <c r="CH51" s="253"/>
      <c r="CI51" s="253"/>
      <c r="CJ51" s="253"/>
      <c r="CK51" s="253"/>
      <c r="CL51" s="253"/>
      <c r="CM51" s="253"/>
      <c r="CN51" s="253"/>
      <c r="CO51" s="253"/>
      <c r="CP51" s="253"/>
      <c r="CQ51" s="253"/>
      <c r="CR51" s="253"/>
      <c r="CS51" s="253"/>
      <c r="CT51" s="253"/>
      <c r="CU51" s="253"/>
      <c r="CV51" s="253"/>
      <c r="CW51" s="253"/>
      <c r="CX51" s="253"/>
      <c r="CY51" s="253"/>
      <c r="CZ51" s="253"/>
      <c r="DA51" s="253"/>
      <c r="DB51" s="253"/>
      <c r="DC51" s="253"/>
      <c r="DD51" s="253"/>
      <c r="DE51" s="253"/>
      <c r="DF51" s="253"/>
      <c r="DG51" s="253"/>
      <c r="DH51" s="253"/>
      <c r="DI51" s="253"/>
      <c r="DJ51" s="253"/>
      <c r="DK51" s="253"/>
      <c r="DL51" s="253"/>
      <c r="DM51" s="253"/>
      <c r="DN51" s="253"/>
      <c r="DO51" s="253"/>
      <c r="DP51" s="253"/>
      <c r="DQ51" s="253"/>
      <c r="DR51" s="253"/>
      <c r="DS51" s="253"/>
      <c r="DT51" s="253"/>
      <c r="DU51" s="253"/>
      <c r="DV51" s="253"/>
      <c r="DW51" s="253"/>
      <c r="DX51" s="253"/>
      <c r="DY51" s="253"/>
      <c r="DZ51" s="253"/>
      <c r="EA51" s="253"/>
      <c r="EB51" s="253"/>
      <c r="EC51" s="253"/>
      <c r="ED51" s="253"/>
      <c r="EE51" s="253"/>
      <c r="EF51" s="255">
        <f>200-200</f>
        <v>0</v>
      </c>
      <c r="EG51" s="255">
        <f>20-20</f>
        <v>0</v>
      </c>
      <c r="EH51" s="255">
        <f>200-200</f>
        <v>0</v>
      </c>
      <c r="EI51" s="253"/>
      <c r="EJ51" s="255">
        <f>200-200</f>
        <v>0</v>
      </c>
      <c r="EK51" s="253"/>
      <c r="EL51" s="255">
        <f>200-200</f>
        <v>0</v>
      </c>
      <c r="EM51" s="255">
        <f>200-200</f>
        <v>0</v>
      </c>
      <c r="EN51" s="253"/>
      <c r="EO51" s="255">
        <f>200-200</f>
        <v>0</v>
      </c>
      <c r="EP51" s="253"/>
      <c r="EQ51" s="253"/>
      <c r="ER51" s="253"/>
      <c r="ES51" s="253"/>
      <c r="ET51" s="253"/>
      <c r="EU51" s="253"/>
      <c r="EV51" s="253"/>
      <c r="EW51" s="253"/>
      <c r="EX51" s="253"/>
      <c r="EY51" s="253"/>
      <c r="EZ51" s="253"/>
      <c r="FA51" s="253"/>
      <c r="FB51" s="253"/>
      <c r="FC51" s="253"/>
      <c r="FD51" s="253"/>
      <c r="FE51" s="253"/>
      <c r="FF51" s="253"/>
      <c r="FG51" s="255">
        <f>300-300</f>
        <v>0</v>
      </c>
      <c r="FH51" s="255">
        <f>300-300</f>
        <v>0</v>
      </c>
      <c r="FI51" s="253"/>
      <c r="FJ51" s="253"/>
      <c r="FK51" s="256"/>
      <c r="FL51" s="257" t="s">
        <v>817</v>
      </c>
      <c r="FM51" s="258" t="s">
        <v>389</v>
      </c>
      <c r="FN51" s="258"/>
      <c r="FO51" s="258" t="s">
        <v>423</v>
      </c>
      <c r="FP51" s="259">
        <f t="shared" si="6"/>
        <v>220</v>
      </c>
      <c r="FQ51" s="260" t="s">
        <v>835</v>
      </c>
      <c r="FR51" s="260"/>
    </row>
    <row r="52" spans="1:174">
      <c r="A52" s="251" t="s">
        <v>393</v>
      </c>
      <c r="B52" s="251" t="s">
        <v>385</v>
      </c>
      <c r="C52" s="251" t="s">
        <v>411</v>
      </c>
      <c r="D52" s="251" t="s">
        <v>293</v>
      </c>
      <c r="E52" s="252" t="s">
        <v>427</v>
      </c>
      <c r="F52" s="251" t="s">
        <v>388</v>
      </c>
      <c r="G52" s="251" t="s">
        <v>842</v>
      </c>
      <c r="H52" s="253"/>
      <c r="I52" s="253"/>
      <c r="J52" s="255">
        <f>200-200</f>
        <v>0</v>
      </c>
      <c r="K52" s="253"/>
      <c r="L52" s="253"/>
      <c r="M52" s="253"/>
      <c r="N52" s="253"/>
      <c r="O52" s="253"/>
      <c r="P52" s="253"/>
      <c r="Q52" s="253"/>
      <c r="R52" s="253"/>
      <c r="S52" s="253"/>
      <c r="T52" s="253"/>
      <c r="U52" s="253"/>
      <c r="V52" s="253"/>
      <c r="W52" s="253"/>
      <c r="X52" s="253"/>
      <c r="Y52" s="253"/>
      <c r="Z52" s="253"/>
      <c r="AA52" s="253"/>
      <c r="AB52" s="253"/>
      <c r="AC52" s="253"/>
      <c r="AD52" s="253"/>
      <c r="AE52" s="253"/>
      <c r="AF52" s="253"/>
      <c r="AG52" s="253"/>
      <c r="AH52" s="253"/>
      <c r="AI52" s="253"/>
      <c r="AJ52" s="253"/>
      <c r="AK52" s="253"/>
      <c r="AL52" s="253"/>
      <c r="AM52" s="253"/>
      <c r="AN52" s="253"/>
      <c r="AO52" s="253"/>
      <c r="AP52" s="253"/>
      <c r="AQ52" s="253"/>
      <c r="AR52" s="253"/>
      <c r="AS52" s="253"/>
      <c r="AT52" s="253"/>
      <c r="AU52" s="253"/>
      <c r="AV52" s="253"/>
      <c r="AW52" s="253"/>
      <c r="AX52" s="253"/>
      <c r="AY52" s="253"/>
      <c r="AZ52" s="253"/>
      <c r="BA52" s="253"/>
      <c r="BB52" s="253"/>
      <c r="BC52" s="253"/>
      <c r="BD52" s="253"/>
      <c r="BE52" s="253"/>
      <c r="BF52" s="253"/>
      <c r="BG52" s="253"/>
      <c r="BH52" s="253"/>
      <c r="BI52" s="253"/>
      <c r="BJ52" s="253"/>
      <c r="BK52" s="253"/>
      <c r="BL52" s="253"/>
      <c r="BM52" s="253"/>
      <c r="BN52" s="253"/>
      <c r="BO52" s="253"/>
      <c r="BP52" s="253"/>
      <c r="BQ52" s="253"/>
      <c r="BR52" s="253"/>
      <c r="BS52" s="253"/>
      <c r="BT52" s="253"/>
      <c r="BU52" s="253"/>
      <c r="BV52" s="253"/>
      <c r="BW52" s="253"/>
      <c r="BX52" s="253"/>
      <c r="BY52" s="253"/>
      <c r="BZ52" s="253"/>
      <c r="CA52" s="253"/>
      <c r="CB52" s="253"/>
      <c r="CC52" s="253"/>
      <c r="CD52" s="253"/>
      <c r="CE52" s="253"/>
      <c r="CF52" s="253"/>
      <c r="CG52" s="253"/>
      <c r="CH52" s="253"/>
      <c r="CI52" s="253"/>
      <c r="CJ52" s="253"/>
      <c r="CK52" s="253"/>
      <c r="CL52" s="253"/>
      <c r="CM52" s="253"/>
      <c r="CN52" s="253"/>
      <c r="CO52" s="253"/>
      <c r="CP52" s="253"/>
      <c r="CQ52" s="253"/>
      <c r="CR52" s="253"/>
      <c r="CS52" s="253"/>
      <c r="CT52" s="253"/>
      <c r="CU52" s="253"/>
      <c r="CV52" s="253"/>
      <c r="CW52" s="253"/>
      <c r="CX52" s="253"/>
      <c r="CY52" s="253"/>
      <c r="CZ52" s="253"/>
      <c r="DA52" s="253"/>
      <c r="DB52" s="253"/>
      <c r="DC52" s="253"/>
      <c r="DD52" s="253"/>
      <c r="DE52" s="253"/>
      <c r="DF52" s="253"/>
      <c r="DG52" s="253"/>
      <c r="DH52" s="253"/>
      <c r="DI52" s="253"/>
      <c r="DJ52" s="253"/>
      <c r="DK52" s="253"/>
      <c r="DL52" s="253"/>
      <c r="DM52" s="253"/>
      <c r="DN52" s="253"/>
      <c r="DO52" s="253"/>
      <c r="DP52" s="253"/>
      <c r="DQ52" s="253"/>
      <c r="DR52" s="253"/>
      <c r="DS52" s="253"/>
      <c r="DT52" s="253"/>
      <c r="DU52" s="253"/>
      <c r="DV52" s="253"/>
      <c r="DW52" s="253"/>
      <c r="DX52" s="253"/>
      <c r="DY52" s="253"/>
      <c r="DZ52" s="253"/>
      <c r="EA52" s="253"/>
      <c r="EB52" s="253"/>
      <c r="EC52" s="253"/>
      <c r="ED52" s="253"/>
      <c r="EE52" s="253"/>
      <c r="EF52" s="253"/>
      <c r="EG52" s="253"/>
      <c r="EH52" s="253"/>
      <c r="EI52" s="253"/>
      <c r="EJ52" s="253"/>
      <c r="EK52" s="253"/>
      <c r="EL52" s="253"/>
      <c r="EM52" s="253"/>
      <c r="EN52" s="253"/>
      <c r="EO52" s="253"/>
      <c r="EP52" s="253"/>
      <c r="EQ52" s="253"/>
      <c r="ER52" s="253"/>
      <c r="ES52" s="253"/>
      <c r="ET52" s="253"/>
      <c r="EU52" s="253"/>
      <c r="EV52" s="253"/>
      <c r="EW52" s="253"/>
      <c r="EX52" s="253"/>
      <c r="EY52" s="253"/>
      <c r="EZ52" s="253"/>
      <c r="FA52" s="253"/>
      <c r="FB52" s="253"/>
      <c r="FC52" s="253"/>
      <c r="FD52" s="253"/>
      <c r="FE52" s="253"/>
      <c r="FF52" s="253"/>
      <c r="FG52" s="253"/>
      <c r="FH52" s="253"/>
      <c r="FI52" s="253"/>
      <c r="FJ52" s="253"/>
      <c r="FK52" s="256"/>
      <c r="FL52" s="257" t="s">
        <v>817</v>
      </c>
      <c r="FM52" s="258" t="s">
        <v>389</v>
      </c>
      <c r="FN52" s="258"/>
      <c r="FO52" s="258" t="s">
        <v>423</v>
      </c>
      <c r="FP52" s="259">
        <f t="shared" si="6"/>
        <v>0</v>
      </c>
      <c r="FQ52" s="260" t="s">
        <v>835</v>
      </c>
      <c r="FR52" s="260"/>
    </row>
    <row r="53" spans="1:174">
      <c r="A53" s="251" t="s">
        <v>393</v>
      </c>
      <c r="B53" s="251" t="s">
        <v>385</v>
      </c>
      <c r="C53" s="251" t="s">
        <v>411</v>
      </c>
      <c r="D53" s="251" t="s">
        <v>291</v>
      </c>
      <c r="E53" s="252" t="s">
        <v>428</v>
      </c>
      <c r="F53" s="251" t="s">
        <v>388</v>
      </c>
      <c r="G53" s="251"/>
      <c r="H53" s="253"/>
      <c r="I53" s="255">
        <f>20-20</f>
        <v>0</v>
      </c>
      <c r="J53" s="253"/>
      <c r="K53" s="255">
        <f>20-20</f>
        <v>0</v>
      </c>
      <c r="L53" s="253"/>
      <c r="M53" s="253"/>
      <c r="N53" s="255">
        <f>20-20</f>
        <v>0</v>
      </c>
      <c r="O53" s="253"/>
      <c r="P53" s="253"/>
      <c r="Q53" s="255">
        <f>20-20</f>
        <v>0</v>
      </c>
      <c r="R53" s="253"/>
      <c r="S53" s="253"/>
      <c r="T53" s="255">
        <f>20-20</f>
        <v>0</v>
      </c>
      <c r="U53" s="253"/>
      <c r="V53" s="253"/>
      <c r="W53" s="253"/>
      <c r="X53" s="253"/>
      <c r="Y53" s="253"/>
      <c r="Z53" s="253"/>
      <c r="AA53" s="253"/>
      <c r="AB53" s="253"/>
      <c r="AC53" s="253"/>
      <c r="AD53" s="254">
        <f>0+20</f>
        <v>20</v>
      </c>
      <c r="AE53" s="253"/>
      <c r="AF53" s="253"/>
      <c r="AG53" s="255">
        <f>20-20</f>
        <v>0</v>
      </c>
      <c r="AH53" s="255">
        <f>10-10</f>
        <v>0</v>
      </c>
      <c r="AI53" s="253"/>
      <c r="AJ53" s="253"/>
      <c r="AK53" s="253"/>
      <c r="AL53" s="253"/>
      <c r="AM53" s="253"/>
      <c r="AN53" s="253"/>
      <c r="AO53" s="255">
        <f>10-10</f>
        <v>0</v>
      </c>
      <c r="AP53" s="253"/>
      <c r="AQ53" s="255">
        <f>10-10</f>
        <v>0</v>
      </c>
      <c r="AR53" s="255">
        <f>10-10</f>
        <v>0</v>
      </c>
      <c r="AS53" s="253"/>
      <c r="AT53" s="253"/>
      <c r="AU53" s="253"/>
      <c r="AV53" s="253"/>
      <c r="AW53" s="253"/>
      <c r="AX53" s="253"/>
      <c r="AY53" s="253"/>
      <c r="AZ53" s="253"/>
      <c r="BA53" s="253"/>
      <c r="BB53" s="253"/>
      <c r="BC53" s="253"/>
      <c r="BD53" s="253"/>
      <c r="BE53" s="253"/>
      <c r="BF53" s="253"/>
      <c r="BG53" s="253"/>
      <c r="BH53" s="253"/>
      <c r="BI53" s="253"/>
      <c r="BJ53" s="253"/>
      <c r="BK53" s="253"/>
      <c r="BL53" s="253"/>
      <c r="BM53" s="253"/>
      <c r="BN53" s="253"/>
      <c r="BO53" s="253"/>
      <c r="BP53" s="253"/>
      <c r="BQ53" s="253"/>
      <c r="BR53" s="253"/>
      <c r="BS53" s="253"/>
      <c r="BT53" s="253"/>
      <c r="BU53" s="253"/>
      <c r="BV53" s="253"/>
      <c r="BW53" s="253"/>
      <c r="BX53" s="253"/>
      <c r="BY53" s="253"/>
      <c r="BZ53" s="253"/>
      <c r="CA53" s="253"/>
      <c r="CB53" s="253"/>
      <c r="CC53" s="253"/>
      <c r="CD53" s="253"/>
      <c r="CE53" s="253"/>
      <c r="CF53" s="253"/>
      <c r="CG53" s="253"/>
      <c r="CH53" s="253"/>
      <c r="CI53" s="253"/>
      <c r="CJ53" s="253"/>
      <c r="CK53" s="253"/>
      <c r="CL53" s="253"/>
      <c r="CM53" s="253"/>
      <c r="CN53" s="253"/>
      <c r="CO53" s="253"/>
      <c r="CP53" s="253"/>
      <c r="CQ53" s="253"/>
      <c r="CR53" s="253"/>
      <c r="CS53" s="253"/>
      <c r="CT53" s="253"/>
      <c r="CU53" s="253"/>
      <c r="CV53" s="253"/>
      <c r="CW53" s="253"/>
      <c r="CX53" s="253"/>
      <c r="CY53" s="253"/>
      <c r="CZ53" s="253"/>
      <c r="DA53" s="253"/>
      <c r="DB53" s="253"/>
      <c r="DC53" s="253"/>
      <c r="DD53" s="253"/>
      <c r="DE53" s="253"/>
      <c r="DF53" s="253"/>
      <c r="DG53" s="253"/>
      <c r="DH53" s="253"/>
      <c r="DI53" s="253"/>
      <c r="DJ53" s="253"/>
      <c r="DK53" s="253"/>
      <c r="DL53" s="253"/>
      <c r="DM53" s="253"/>
      <c r="DN53" s="253"/>
      <c r="DO53" s="253"/>
      <c r="DP53" s="253"/>
      <c r="DQ53" s="253"/>
      <c r="DR53" s="253"/>
      <c r="DS53" s="253"/>
      <c r="DT53" s="253"/>
      <c r="DU53" s="253"/>
      <c r="DV53" s="253"/>
      <c r="DW53" s="253"/>
      <c r="DX53" s="253"/>
      <c r="DY53" s="253"/>
      <c r="DZ53" s="253"/>
      <c r="EA53" s="253"/>
      <c r="EB53" s="253"/>
      <c r="EC53" s="253"/>
      <c r="ED53" s="253"/>
      <c r="EE53" s="253"/>
      <c r="EF53" s="253"/>
      <c r="EG53" s="253"/>
      <c r="EH53" s="253"/>
      <c r="EI53" s="253"/>
      <c r="EJ53" s="253"/>
      <c r="EK53" s="253"/>
      <c r="EL53" s="253"/>
      <c r="EM53" s="253"/>
      <c r="EN53" s="253"/>
      <c r="EO53" s="253"/>
      <c r="EP53" s="253"/>
      <c r="EQ53" s="253"/>
      <c r="ER53" s="253"/>
      <c r="ES53" s="253"/>
      <c r="ET53" s="253"/>
      <c r="EU53" s="253"/>
      <c r="EV53" s="253"/>
      <c r="EW53" s="253"/>
      <c r="EX53" s="253"/>
      <c r="EY53" s="253"/>
      <c r="EZ53" s="253"/>
      <c r="FA53" s="253"/>
      <c r="FB53" s="253"/>
      <c r="FC53" s="253"/>
      <c r="FD53" s="253"/>
      <c r="FE53" s="253"/>
      <c r="FF53" s="253"/>
      <c r="FG53" s="253"/>
      <c r="FH53" s="253"/>
      <c r="FI53" s="253"/>
      <c r="FJ53" s="253"/>
      <c r="FK53" s="256"/>
      <c r="FL53" s="257" t="s">
        <v>817</v>
      </c>
      <c r="FM53" s="258" t="s">
        <v>389</v>
      </c>
      <c r="FN53" s="258"/>
      <c r="FO53" s="258" t="s">
        <v>429</v>
      </c>
      <c r="FP53" s="259">
        <f t="shared" si="6"/>
        <v>20</v>
      </c>
      <c r="FQ53" s="260" t="s">
        <v>414</v>
      </c>
      <c r="FR53" s="260"/>
    </row>
    <row r="54" spans="1:174">
      <c r="A54" s="251" t="s">
        <v>393</v>
      </c>
      <c r="B54" s="251" t="s">
        <v>385</v>
      </c>
      <c r="C54" s="251" t="s">
        <v>411</v>
      </c>
      <c r="D54" s="251" t="s">
        <v>1</v>
      </c>
      <c r="E54" s="252" t="s">
        <v>428</v>
      </c>
      <c r="F54" s="251" t="s">
        <v>388</v>
      </c>
      <c r="G54" s="251"/>
      <c r="H54" s="253"/>
      <c r="I54" s="253"/>
      <c r="J54" s="253"/>
      <c r="K54" s="253"/>
      <c r="L54" s="254">
        <v>20</v>
      </c>
      <c r="M54" s="253"/>
      <c r="N54" s="254">
        <f>0+20</f>
        <v>20</v>
      </c>
      <c r="O54" s="255">
        <f>20-20</f>
        <v>0</v>
      </c>
      <c r="P54" s="255">
        <f>20-20</f>
        <v>0</v>
      </c>
      <c r="Q54" s="253"/>
      <c r="R54" s="253"/>
      <c r="S54" s="255">
        <f>20-20</f>
        <v>0</v>
      </c>
      <c r="T54" s="253"/>
      <c r="U54" s="255">
        <f>20-20</f>
        <v>0</v>
      </c>
      <c r="V54" s="255">
        <f>20-20</f>
        <v>0</v>
      </c>
      <c r="W54" s="253"/>
      <c r="X54" s="253"/>
      <c r="Y54" s="255">
        <f>20-20</f>
        <v>0</v>
      </c>
      <c r="Z54" s="255">
        <f>20-20</f>
        <v>0</v>
      </c>
      <c r="AA54" s="255">
        <f>10-10</f>
        <v>0</v>
      </c>
      <c r="AB54" s="255">
        <f>20-20</f>
        <v>0</v>
      </c>
      <c r="AC54" s="255">
        <f>20-20</f>
        <v>0</v>
      </c>
      <c r="AD54" s="255">
        <f>20-20</f>
        <v>0</v>
      </c>
      <c r="AE54" s="255">
        <f>10-10</f>
        <v>0</v>
      </c>
      <c r="AF54" s="255">
        <f>20-20</f>
        <v>0</v>
      </c>
      <c r="AG54" s="253"/>
      <c r="AH54" s="253"/>
      <c r="AI54" s="255">
        <f>10-10</f>
        <v>0</v>
      </c>
      <c r="AJ54" s="255">
        <f>10-10</f>
        <v>0</v>
      </c>
      <c r="AK54" s="253"/>
      <c r="AL54" s="253"/>
      <c r="AM54" s="255">
        <f>10-10</f>
        <v>0</v>
      </c>
      <c r="AN54" s="253"/>
      <c r="AO54" s="253"/>
      <c r="AP54" s="253"/>
      <c r="AQ54" s="253"/>
      <c r="AR54" s="253"/>
      <c r="AS54" s="253"/>
      <c r="AT54" s="253"/>
      <c r="AU54" s="255">
        <f>10-10</f>
        <v>0</v>
      </c>
      <c r="AV54" s="253"/>
      <c r="AW54" s="253"/>
      <c r="AX54" s="255">
        <f>20-20</f>
        <v>0</v>
      </c>
      <c r="AY54" s="253"/>
      <c r="AZ54" s="253"/>
      <c r="BA54" s="253"/>
      <c r="BB54" s="253"/>
      <c r="BC54" s="253"/>
      <c r="BD54" s="253"/>
      <c r="BE54" s="253"/>
      <c r="BF54" s="253"/>
      <c r="BG54" s="253"/>
      <c r="BH54" s="253"/>
      <c r="BI54" s="253"/>
      <c r="BJ54" s="253"/>
      <c r="BK54" s="253"/>
      <c r="BL54" s="253"/>
      <c r="BM54" s="253"/>
      <c r="BN54" s="253"/>
      <c r="BO54" s="253"/>
      <c r="BP54" s="253"/>
      <c r="BQ54" s="253"/>
      <c r="BR54" s="253"/>
      <c r="BS54" s="253"/>
      <c r="BT54" s="253"/>
      <c r="BU54" s="253"/>
      <c r="BV54" s="253"/>
      <c r="BW54" s="253"/>
      <c r="BX54" s="253"/>
      <c r="BY54" s="253"/>
      <c r="BZ54" s="253"/>
      <c r="CA54" s="253"/>
      <c r="CB54" s="253"/>
      <c r="CC54" s="253"/>
      <c r="CD54" s="253"/>
      <c r="CE54" s="253"/>
      <c r="CF54" s="253"/>
      <c r="CG54" s="253"/>
      <c r="CH54" s="253"/>
      <c r="CI54" s="253"/>
      <c r="CJ54" s="253"/>
      <c r="CK54" s="253"/>
      <c r="CL54" s="253"/>
      <c r="CM54" s="253"/>
      <c r="CN54" s="253"/>
      <c r="CO54" s="253"/>
      <c r="CP54" s="253"/>
      <c r="CQ54" s="253"/>
      <c r="CR54" s="253"/>
      <c r="CS54" s="253"/>
      <c r="CT54" s="253"/>
      <c r="CU54" s="253"/>
      <c r="CV54" s="253"/>
      <c r="CW54" s="253"/>
      <c r="CX54" s="253"/>
      <c r="CY54" s="253"/>
      <c r="CZ54" s="253"/>
      <c r="DA54" s="253"/>
      <c r="DB54" s="253"/>
      <c r="DC54" s="253"/>
      <c r="DD54" s="253"/>
      <c r="DE54" s="253"/>
      <c r="DF54" s="253"/>
      <c r="DG54" s="253"/>
      <c r="DH54" s="253"/>
      <c r="DI54" s="253"/>
      <c r="DJ54" s="253"/>
      <c r="DK54" s="253"/>
      <c r="DL54" s="253"/>
      <c r="DM54" s="253"/>
      <c r="DN54" s="253"/>
      <c r="DO54" s="253"/>
      <c r="DP54" s="253"/>
      <c r="DQ54" s="253"/>
      <c r="DR54" s="253"/>
      <c r="DS54" s="253"/>
      <c r="DT54" s="253"/>
      <c r="DU54" s="253"/>
      <c r="DV54" s="253"/>
      <c r="DW54" s="253"/>
      <c r="DX54" s="253"/>
      <c r="DY54" s="253"/>
      <c r="DZ54" s="253"/>
      <c r="EA54" s="253"/>
      <c r="EB54" s="253"/>
      <c r="EC54" s="253"/>
      <c r="ED54" s="253"/>
      <c r="EE54" s="253"/>
      <c r="EF54" s="253"/>
      <c r="EG54" s="253"/>
      <c r="EH54" s="253"/>
      <c r="EI54" s="253"/>
      <c r="EJ54" s="253"/>
      <c r="EK54" s="253"/>
      <c r="EL54" s="253"/>
      <c r="EM54" s="253"/>
      <c r="EN54" s="253"/>
      <c r="EO54" s="253"/>
      <c r="EP54" s="253"/>
      <c r="EQ54" s="253"/>
      <c r="ER54" s="253"/>
      <c r="ES54" s="253"/>
      <c r="ET54" s="253"/>
      <c r="EU54" s="253"/>
      <c r="EV54" s="253"/>
      <c r="EW54" s="253"/>
      <c r="EX54" s="253"/>
      <c r="EY54" s="253"/>
      <c r="EZ54" s="253"/>
      <c r="FA54" s="253"/>
      <c r="FB54" s="253"/>
      <c r="FC54" s="253"/>
      <c r="FD54" s="253"/>
      <c r="FE54" s="253"/>
      <c r="FF54" s="253"/>
      <c r="FG54" s="253"/>
      <c r="FH54" s="253"/>
      <c r="FI54" s="253"/>
      <c r="FJ54" s="253"/>
      <c r="FK54" s="256"/>
      <c r="FL54" s="257" t="s">
        <v>817</v>
      </c>
      <c r="FM54" s="258" t="s">
        <v>389</v>
      </c>
      <c r="FN54" s="258"/>
      <c r="FO54" s="258" t="s">
        <v>429</v>
      </c>
      <c r="FP54" s="259">
        <f t="shared" si="6"/>
        <v>40</v>
      </c>
      <c r="FQ54" s="260" t="s">
        <v>414</v>
      </c>
      <c r="FR54" s="260"/>
    </row>
    <row r="55" spans="1:174">
      <c r="A55" s="251" t="s">
        <v>393</v>
      </c>
      <c r="B55" s="251" t="s">
        <v>385</v>
      </c>
      <c r="C55" s="251" t="s">
        <v>411</v>
      </c>
      <c r="D55" s="251" t="s">
        <v>293</v>
      </c>
      <c r="E55" s="252" t="s">
        <v>428</v>
      </c>
      <c r="F55" s="251" t="s">
        <v>388</v>
      </c>
      <c r="G55" s="251"/>
      <c r="H55" s="253"/>
      <c r="I55" s="253"/>
      <c r="J55" s="255">
        <f>20-20</f>
        <v>0</v>
      </c>
      <c r="K55" s="253"/>
      <c r="L55" s="253"/>
      <c r="M55" s="253"/>
      <c r="N55" s="253"/>
      <c r="O55" s="253"/>
      <c r="P55" s="253"/>
      <c r="Q55" s="253"/>
      <c r="R55" s="253"/>
      <c r="S55" s="253"/>
      <c r="T55" s="253"/>
      <c r="U55" s="253"/>
      <c r="V55" s="253"/>
      <c r="W55" s="253"/>
      <c r="X55" s="253"/>
      <c r="Y55" s="253"/>
      <c r="Z55" s="253"/>
      <c r="AA55" s="253"/>
      <c r="AB55" s="253"/>
      <c r="AC55" s="253"/>
      <c r="AD55" s="253"/>
      <c r="AE55" s="253"/>
      <c r="AF55" s="253"/>
      <c r="AG55" s="253"/>
      <c r="AH55" s="253"/>
      <c r="AI55" s="253"/>
      <c r="AJ55" s="253"/>
      <c r="AK55" s="253"/>
      <c r="AL55" s="253"/>
      <c r="AM55" s="253"/>
      <c r="AN55" s="253"/>
      <c r="AO55" s="253"/>
      <c r="AP55" s="253"/>
      <c r="AQ55" s="253"/>
      <c r="AR55" s="253"/>
      <c r="AS55" s="253"/>
      <c r="AT55" s="253"/>
      <c r="AU55" s="253"/>
      <c r="AV55" s="253"/>
      <c r="AW55" s="253"/>
      <c r="AX55" s="253"/>
      <c r="AY55" s="253"/>
      <c r="AZ55" s="253"/>
      <c r="BA55" s="253"/>
      <c r="BB55" s="253"/>
      <c r="BC55" s="253"/>
      <c r="BD55" s="253"/>
      <c r="BE55" s="253"/>
      <c r="BF55" s="253"/>
      <c r="BG55" s="253"/>
      <c r="BH55" s="253"/>
      <c r="BI55" s="253"/>
      <c r="BJ55" s="253"/>
      <c r="BK55" s="253"/>
      <c r="BL55" s="253"/>
      <c r="BM55" s="253"/>
      <c r="BN55" s="253"/>
      <c r="BO55" s="253"/>
      <c r="BP55" s="253"/>
      <c r="BQ55" s="253"/>
      <c r="BR55" s="253"/>
      <c r="BS55" s="253"/>
      <c r="BT55" s="253"/>
      <c r="BU55" s="253"/>
      <c r="BV55" s="253"/>
      <c r="BW55" s="253"/>
      <c r="BX55" s="253"/>
      <c r="BY55" s="253"/>
      <c r="BZ55" s="253"/>
      <c r="CA55" s="253"/>
      <c r="CB55" s="253"/>
      <c r="CC55" s="253"/>
      <c r="CD55" s="253"/>
      <c r="CE55" s="253"/>
      <c r="CF55" s="253"/>
      <c r="CG55" s="253"/>
      <c r="CH55" s="253"/>
      <c r="CI55" s="253"/>
      <c r="CJ55" s="253"/>
      <c r="CK55" s="253"/>
      <c r="CL55" s="253"/>
      <c r="CM55" s="253"/>
      <c r="CN55" s="253"/>
      <c r="CO55" s="253"/>
      <c r="CP55" s="253"/>
      <c r="CQ55" s="253"/>
      <c r="CR55" s="253"/>
      <c r="CS55" s="253"/>
      <c r="CT55" s="253"/>
      <c r="CU55" s="253"/>
      <c r="CV55" s="253"/>
      <c r="CW55" s="253"/>
      <c r="CX55" s="253"/>
      <c r="CY55" s="253"/>
      <c r="CZ55" s="253"/>
      <c r="DA55" s="253"/>
      <c r="DB55" s="253"/>
      <c r="DC55" s="253"/>
      <c r="DD55" s="253"/>
      <c r="DE55" s="253"/>
      <c r="DF55" s="253"/>
      <c r="DG55" s="253"/>
      <c r="DH55" s="253"/>
      <c r="DI55" s="253"/>
      <c r="DJ55" s="253"/>
      <c r="DK55" s="253"/>
      <c r="DL55" s="253"/>
      <c r="DM55" s="253"/>
      <c r="DN55" s="253"/>
      <c r="DO55" s="253"/>
      <c r="DP55" s="253"/>
      <c r="DQ55" s="253"/>
      <c r="DR55" s="253"/>
      <c r="DS55" s="253"/>
      <c r="DT55" s="253"/>
      <c r="DU55" s="253"/>
      <c r="DV55" s="253"/>
      <c r="DW55" s="253"/>
      <c r="DX55" s="253"/>
      <c r="DY55" s="253"/>
      <c r="DZ55" s="253"/>
      <c r="EA55" s="253"/>
      <c r="EB55" s="253"/>
      <c r="EC55" s="253"/>
      <c r="ED55" s="253"/>
      <c r="EE55" s="253"/>
      <c r="EF55" s="253"/>
      <c r="EG55" s="253"/>
      <c r="EH55" s="253"/>
      <c r="EI55" s="253"/>
      <c r="EJ55" s="253"/>
      <c r="EK55" s="253"/>
      <c r="EL55" s="253"/>
      <c r="EM55" s="253"/>
      <c r="EN55" s="253"/>
      <c r="EO55" s="253"/>
      <c r="EP55" s="253"/>
      <c r="EQ55" s="253"/>
      <c r="ER55" s="253"/>
      <c r="ES55" s="253"/>
      <c r="ET55" s="253"/>
      <c r="EU55" s="253"/>
      <c r="EV55" s="253"/>
      <c r="EW55" s="253"/>
      <c r="EX55" s="253"/>
      <c r="EY55" s="253"/>
      <c r="EZ55" s="253"/>
      <c r="FA55" s="253"/>
      <c r="FB55" s="253"/>
      <c r="FC55" s="253"/>
      <c r="FD55" s="253"/>
      <c r="FE55" s="253"/>
      <c r="FF55" s="253"/>
      <c r="FG55" s="253"/>
      <c r="FH55" s="253"/>
      <c r="FI55" s="253"/>
      <c r="FJ55" s="253"/>
      <c r="FK55" s="256"/>
      <c r="FL55" s="257" t="s">
        <v>817</v>
      </c>
      <c r="FM55" s="258" t="s">
        <v>389</v>
      </c>
      <c r="FN55" s="258"/>
      <c r="FO55" s="258" t="s">
        <v>429</v>
      </c>
      <c r="FP55" s="259">
        <f t="shared" si="6"/>
        <v>0</v>
      </c>
      <c r="FQ55" s="260" t="s">
        <v>414</v>
      </c>
      <c r="FR55" s="260"/>
    </row>
    <row r="56" spans="1:174">
      <c r="A56" s="251" t="s">
        <v>393</v>
      </c>
      <c r="B56" s="251" t="s">
        <v>392</v>
      </c>
      <c r="C56" s="251" t="s">
        <v>411</v>
      </c>
      <c r="D56" s="251" t="s">
        <v>291</v>
      </c>
      <c r="E56" s="252" t="s">
        <v>430</v>
      </c>
      <c r="F56" s="251" t="s">
        <v>388</v>
      </c>
      <c r="G56" s="251" t="s">
        <v>843</v>
      </c>
      <c r="H56" s="253"/>
      <c r="I56" s="253"/>
      <c r="J56" s="253"/>
      <c r="K56" s="253"/>
      <c r="L56" s="253"/>
      <c r="M56" s="253"/>
      <c r="N56" s="253"/>
      <c r="O56" s="253"/>
      <c r="P56" s="253"/>
      <c r="Q56" s="253"/>
      <c r="R56" s="253"/>
      <c r="S56" s="253"/>
      <c r="T56" s="253"/>
      <c r="U56" s="253"/>
      <c r="V56" s="253"/>
      <c r="W56" s="253"/>
      <c r="X56" s="253"/>
      <c r="Y56" s="253"/>
      <c r="Z56" s="253"/>
      <c r="AA56" s="253"/>
      <c r="AB56" s="253"/>
      <c r="AC56" s="253"/>
      <c r="AD56" s="253"/>
      <c r="AE56" s="253"/>
      <c r="AF56" s="253"/>
      <c r="AG56" s="253"/>
      <c r="AH56" s="253"/>
      <c r="AI56" s="253"/>
      <c r="AJ56" s="253"/>
      <c r="AK56" s="253"/>
      <c r="AL56" s="253"/>
      <c r="AM56" s="253"/>
      <c r="AN56" s="253"/>
      <c r="AO56" s="254">
        <f>100-100+9</f>
        <v>9</v>
      </c>
      <c r="AP56" s="253"/>
      <c r="AQ56" s="253"/>
      <c r="AR56" s="253"/>
      <c r="AS56" s="253"/>
      <c r="AT56" s="253"/>
      <c r="AU56" s="253"/>
      <c r="AV56" s="253"/>
      <c r="AW56" s="253"/>
      <c r="AX56" s="253"/>
      <c r="AY56" s="253"/>
      <c r="AZ56" s="253"/>
      <c r="BA56" s="253"/>
      <c r="BB56" s="253"/>
      <c r="BC56" s="253"/>
      <c r="BD56" s="253"/>
      <c r="BE56" s="253"/>
      <c r="BF56" s="253"/>
      <c r="BG56" s="253"/>
      <c r="BH56" s="253"/>
      <c r="BI56" s="253"/>
      <c r="BJ56" s="253"/>
      <c r="BK56" s="253"/>
      <c r="BL56" s="253"/>
      <c r="BM56" s="253"/>
      <c r="BN56" s="253"/>
      <c r="BO56" s="253"/>
      <c r="BP56" s="253"/>
      <c r="BQ56" s="253"/>
      <c r="BR56" s="253"/>
      <c r="BS56" s="253"/>
      <c r="BT56" s="253"/>
      <c r="BU56" s="253"/>
      <c r="BV56" s="253"/>
      <c r="BW56" s="253"/>
      <c r="BX56" s="253"/>
      <c r="BY56" s="253"/>
      <c r="BZ56" s="253"/>
      <c r="CA56" s="253"/>
      <c r="CB56" s="253"/>
      <c r="CC56" s="253"/>
      <c r="CD56" s="253"/>
      <c r="CE56" s="253"/>
      <c r="CF56" s="253"/>
      <c r="CG56" s="253"/>
      <c r="CH56" s="253"/>
      <c r="CI56" s="253"/>
      <c r="CJ56" s="253"/>
      <c r="CK56" s="253"/>
      <c r="CL56" s="253"/>
      <c r="CM56" s="253"/>
      <c r="CN56" s="253"/>
      <c r="CO56" s="253"/>
      <c r="CP56" s="253"/>
      <c r="CQ56" s="253"/>
      <c r="CR56" s="253"/>
      <c r="CS56" s="253"/>
      <c r="CT56" s="253"/>
      <c r="CU56" s="253"/>
      <c r="CV56" s="253"/>
      <c r="CW56" s="253"/>
      <c r="CX56" s="253"/>
      <c r="CY56" s="253"/>
      <c r="CZ56" s="253"/>
      <c r="DA56" s="253"/>
      <c r="DB56" s="253"/>
      <c r="DC56" s="253"/>
      <c r="DD56" s="253"/>
      <c r="DE56" s="253"/>
      <c r="DF56" s="253"/>
      <c r="DG56" s="253"/>
      <c r="DH56" s="253"/>
      <c r="DI56" s="253"/>
      <c r="DJ56" s="253"/>
      <c r="DK56" s="253"/>
      <c r="DL56" s="253"/>
      <c r="DM56" s="253"/>
      <c r="DN56" s="253"/>
      <c r="DO56" s="253"/>
      <c r="DP56" s="253"/>
      <c r="DQ56" s="253"/>
      <c r="DR56" s="253"/>
      <c r="DS56" s="253"/>
      <c r="DT56" s="253"/>
      <c r="DU56" s="253"/>
      <c r="DV56" s="253"/>
      <c r="DW56" s="253"/>
      <c r="DX56" s="253"/>
      <c r="DY56" s="253"/>
      <c r="DZ56" s="253"/>
      <c r="EA56" s="253"/>
      <c r="EB56" s="253"/>
      <c r="EC56" s="253"/>
      <c r="ED56" s="253"/>
      <c r="EE56" s="253"/>
      <c r="EF56" s="253"/>
      <c r="EG56" s="253"/>
      <c r="EH56" s="253"/>
      <c r="EI56" s="253"/>
      <c r="EJ56" s="253"/>
      <c r="EK56" s="253"/>
      <c r="EL56" s="253"/>
      <c r="EM56" s="253"/>
      <c r="EN56" s="253"/>
      <c r="EO56" s="253"/>
      <c r="EP56" s="253"/>
      <c r="EQ56" s="253"/>
      <c r="ER56" s="253"/>
      <c r="ES56" s="253"/>
      <c r="ET56" s="253"/>
      <c r="EU56" s="253"/>
      <c r="EV56" s="253"/>
      <c r="EW56" s="253"/>
      <c r="EX56" s="253"/>
      <c r="EY56" s="253"/>
      <c r="EZ56" s="253"/>
      <c r="FA56" s="253"/>
      <c r="FB56" s="253"/>
      <c r="FC56" s="253"/>
      <c r="FD56" s="253"/>
      <c r="FE56" s="253"/>
      <c r="FF56" s="253"/>
      <c r="FG56" s="253"/>
      <c r="FH56" s="253"/>
      <c r="FI56" s="253"/>
      <c r="FJ56" s="253"/>
      <c r="FK56" s="262">
        <v>82215</v>
      </c>
      <c r="FL56" s="257" t="s">
        <v>817</v>
      </c>
      <c r="FM56" s="258" t="s">
        <v>389</v>
      </c>
      <c r="FN56" s="258" t="s">
        <v>431</v>
      </c>
      <c r="FO56" s="258" t="s">
        <v>432</v>
      </c>
      <c r="FP56" s="259">
        <f t="shared" si="6"/>
        <v>9</v>
      </c>
      <c r="FQ56" s="260" t="s">
        <v>433</v>
      </c>
      <c r="FR56" s="260"/>
    </row>
    <row r="57" spans="1:174">
      <c r="A57" s="251" t="s">
        <v>393</v>
      </c>
      <c r="B57" s="251" t="s">
        <v>392</v>
      </c>
      <c r="C57" s="251" t="s">
        <v>411</v>
      </c>
      <c r="D57" s="251" t="s">
        <v>1</v>
      </c>
      <c r="E57" s="252" t="s">
        <v>430</v>
      </c>
      <c r="F57" s="251" t="s">
        <v>388</v>
      </c>
      <c r="G57" s="251" t="s">
        <v>843</v>
      </c>
      <c r="H57" s="253"/>
      <c r="I57" s="253"/>
      <c r="J57" s="253"/>
      <c r="K57" s="253"/>
      <c r="L57" s="253"/>
      <c r="M57" s="253"/>
      <c r="N57" s="253"/>
      <c r="O57" s="253"/>
      <c r="P57" s="253"/>
      <c r="Q57" s="253"/>
      <c r="R57" s="253"/>
      <c r="S57" s="255">
        <f>20-20</f>
        <v>0</v>
      </c>
      <c r="T57" s="253"/>
      <c r="U57" s="255">
        <f>20-20</f>
        <v>0</v>
      </c>
      <c r="V57" s="253"/>
      <c r="W57" s="253"/>
      <c r="X57" s="253"/>
      <c r="Y57" s="253"/>
      <c r="Z57" s="253"/>
      <c r="AA57" s="253"/>
      <c r="AB57" s="255">
        <f>20-20</f>
        <v>0</v>
      </c>
      <c r="AC57" s="253"/>
      <c r="AD57" s="253"/>
      <c r="AE57" s="253"/>
      <c r="AF57" s="253"/>
      <c r="AG57" s="253"/>
      <c r="AH57" s="253"/>
      <c r="AI57" s="253"/>
      <c r="AJ57" s="253"/>
      <c r="AK57" s="253"/>
      <c r="AL57" s="253"/>
      <c r="AM57" s="253"/>
      <c r="AN57" s="253"/>
      <c r="AO57" s="253"/>
      <c r="AP57" s="253"/>
      <c r="AQ57" s="253"/>
      <c r="AR57" s="253"/>
      <c r="AS57" s="253"/>
      <c r="AT57" s="253"/>
      <c r="AU57" s="253"/>
      <c r="AV57" s="253"/>
      <c r="AW57" s="253"/>
      <c r="AX57" s="253"/>
      <c r="AY57" s="253"/>
      <c r="AZ57" s="253"/>
      <c r="BA57" s="253"/>
      <c r="BB57" s="253"/>
      <c r="BC57" s="253"/>
      <c r="BD57" s="253"/>
      <c r="BE57" s="253"/>
      <c r="BF57" s="253"/>
      <c r="BG57" s="253"/>
      <c r="BH57" s="253"/>
      <c r="BI57" s="253"/>
      <c r="BJ57" s="253"/>
      <c r="BK57" s="253"/>
      <c r="BL57" s="253"/>
      <c r="BM57" s="253"/>
      <c r="BN57" s="253"/>
      <c r="BO57" s="253"/>
      <c r="BP57" s="253"/>
      <c r="BQ57" s="253"/>
      <c r="BR57" s="253"/>
      <c r="BS57" s="253"/>
      <c r="BT57" s="253"/>
      <c r="BU57" s="253"/>
      <c r="BV57" s="253"/>
      <c r="BW57" s="253"/>
      <c r="BX57" s="253"/>
      <c r="BY57" s="253"/>
      <c r="BZ57" s="253"/>
      <c r="CA57" s="253"/>
      <c r="CB57" s="253"/>
      <c r="CC57" s="253"/>
      <c r="CD57" s="253"/>
      <c r="CE57" s="253"/>
      <c r="CF57" s="253"/>
      <c r="CG57" s="253"/>
      <c r="CH57" s="253"/>
      <c r="CI57" s="253"/>
      <c r="CJ57" s="253"/>
      <c r="CK57" s="253"/>
      <c r="CL57" s="253"/>
      <c r="CM57" s="253"/>
      <c r="CN57" s="253"/>
      <c r="CO57" s="253"/>
      <c r="CP57" s="253"/>
      <c r="CQ57" s="253"/>
      <c r="CR57" s="253"/>
      <c r="CS57" s="253"/>
      <c r="CT57" s="253"/>
      <c r="CU57" s="253"/>
      <c r="CV57" s="253"/>
      <c r="CW57" s="253"/>
      <c r="CX57" s="253"/>
      <c r="CY57" s="253"/>
      <c r="CZ57" s="253"/>
      <c r="DA57" s="253"/>
      <c r="DB57" s="253"/>
      <c r="DC57" s="253"/>
      <c r="DD57" s="253"/>
      <c r="DE57" s="253"/>
      <c r="DF57" s="253"/>
      <c r="DG57" s="253"/>
      <c r="DH57" s="253"/>
      <c r="DI57" s="253"/>
      <c r="DJ57" s="253"/>
      <c r="DK57" s="253"/>
      <c r="DL57" s="253"/>
      <c r="DM57" s="253"/>
      <c r="DN57" s="253"/>
      <c r="DO57" s="253"/>
      <c r="DP57" s="253"/>
      <c r="DQ57" s="253"/>
      <c r="DR57" s="253"/>
      <c r="DS57" s="253"/>
      <c r="DT57" s="253"/>
      <c r="DU57" s="253"/>
      <c r="DV57" s="253"/>
      <c r="DW57" s="253"/>
      <c r="DX57" s="255">
        <f>30-30</f>
        <v>0</v>
      </c>
      <c r="DY57" s="253"/>
      <c r="DZ57" s="253"/>
      <c r="EA57" s="253"/>
      <c r="EB57" s="253"/>
      <c r="EC57" s="253"/>
      <c r="ED57" s="253"/>
      <c r="EE57" s="253"/>
      <c r="EF57" s="253"/>
      <c r="EG57" s="253"/>
      <c r="EH57" s="253"/>
      <c r="EI57" s="253"/>
      <c r="EJ57" s="253"/>
      <c r="EK57" s="253"/>
      <c r="EL57" s="253"/>
      <c r="EM57" s="253"/>
      <c r="EN57" s="253"/>
      <c r="EO57" s="253"/>
      <c r="EP57" s="253"/>
      <c r="EQ57" s="253"/>
      <c r="ER57" s="253"/>
      <c r="ES57" s="253"/>
      <c r="ET57" s="253"/>
      <c r="EU57" s="253"/>
      <c r="EV57" s="253"/>
      <c r="EW57" s="253"/>
      <c r="EX57" s="253"/>
      <c r="EY57" s="253"/>
      <c r="EZ57" s="253"/>
      <c r="FA57" s="253"/>
      <c r="FB57" s="253"/>
      <c r="FC57" s="253"/>
      <c r="FD57" s="253"/>
      <c r="FE57" s="253"/>
      <c r="FF57" s="253"/>
      <c r="FG57" s="253"/>
      <c r="FH57" s="253"/>
      <c r="FI57" s="253"/>
      <c r="FJ57" s="253"/>
      <c r="FK57" s="262">
        <v>82215</v>
      </c>
      <c r="FL57" s="257" t="s">
        <v>817</v>
      </c>
      <c r="FM57" s="258" t="s">
        <v>389</v>
      </c>
      <c r="FN57" s="258" t="s">
        <v>431</v>
      </c>
      <c r="FO57" s="258" t="s">
        <v>432</v>
      </c>
      <c r="FP57" s="259">
        <f t="shared" si="6"/>
        <v>0</v>
      </c>
      <c r="FQ57" s="260" t="s">
        <v>433</v>
      </c>
      <c r="FR57" s="260"/>
    </row>
    <row r="58" spans="1:174">
      <c r="A58" s="251" t="s">
        <v>393</v>
      </c>
      <c r="B58" s="251" t="s">
        <v>392</v>
      </c>
      <c r="C58" s="251" t="s">
        <v>411</v>
      </c>
      <c r="D58" s="251" t="s">
        <v>293</v>
      </c>
      <c r="E58" s="252" t="s">
        <v>430</v>
      </c>
      <c r="F58" s="251" t="s">
        <v>388</v>
      </c>
      <c r="G58" s="251"/>
      <c r="H58" s="253"/>
      <c r="I58" s="253"/>
      <c r="J58" s="255">
        <f>20-20</f>
        <v>0</v>
      </c>
      <c r="K58" s="253"/>
      <c r="L58" s="253"/>
      <c r="M58" s="253"/>
      <c r="N58" s="253"/>
      <c r="O58" s="253"/>
      <c r="P58" s="253"/>
      <c r="Q58" s="253"/>
      <c r="R58" s="253"/>
      <c r="S58" s="253"/>
      <c r="T58" s="253"/>
      <c r="U58" s="253"/>
      <c r="V58" s="253"/>
      <c r="W58" s="253"/>
      <c r="X58" s="253"/>
      <c r="Y58" s="253"/>
      <c r="Z58" s="253"/>
      <c r="AA58" s="253"/>
      <c r="AB58" s="253"/>
      <c r="AC58" s="253"/>
      <c r="AD58" s="253"/>
      <c r="AE58" s="253"/>
      <c r="AF58" s="253"/>
      <c r="AG58" s="253"/>
      <c r="AH58" s="253"/>
      <c r="AI58" s="253"/>
      <c r="AJ58" s="253"/>
      <c r="AK58" s="253"/>
      <c r="AL58" s="253"/>
      <c r="AM58" s="253"/>
      <c r="AN58" s="253"/>
      <c r="AO58" s="253"/>
      <c r="AP58" s="253"/>
      <c r="AQ58" s="253"/>
      <c r="AR58" s="253"/>
      <c r="AS58" s="253"/>
      <c r="AT58" s="253"/>
      <c r="AU58" s="253"/>
      <c r="AV58" s="253"/>
      <c r="AW58" s="253"/>
      <c r="AX58" s="253"/>
      <c r="AY58" s="253"/>
      <c r="AZ58" s="253"/>
      <c r="BA58" s="253"/>
      <c r="BB58" s="253"/>
      <c r="BC58" s="253"/>
      <c r="BD58" s="253"/>
      <c r="BE58" s="253"/>
      <c r="BF58" s="253"/>
      <c r="BG58" s="253"/>
      <c r="BH58" s="253"/>
      <c r="BI58" s="253"/>
      <c r="BJ58" s="253"/>
      <c r="BK58" s="253"/>
      <c r="BL58" s="253"/>
      <c r="BM58" s="253"/>
      <c r="BN58" s="253"/>
      <c r="BO58" s="253"/>
      <c r="BP58" s="253"/>
      <c r="BQ58" s="253"/>
      <c r="BR58" s="253"/>
      <c r="BS58" s="253"/>
      <c r="BT58" s="253"/>
      <c r="BU58" s="253"/>
      <c r="BV58" s="253"/>
      <c r="BW58" s="253"/>
      <c r="BX58" s="253"/>
      <c r="BY58" s="253"/>
      <c r="BZ58" s="253"/>
      <c r="CA58" s="253"/>
      <c r="CB58" s="253"/>
      <c r="CC58" s="253"/>
      <c r="CD58" s="253"/>
      <c r="CE58" s="253"/>
      <c r="CF58" s="253"/>
      <c r="CG58" s="253"/>
      <c r="CH58" s="253"/>
      <c r="CI58" s="253"/>
      <c r="CJ58" s="253"/>
      <c r="CK58" s="253"/>
      <c r="CL58" s="253"/>
      <c r="CM58" s="253"/>
      <c r="CN58" s="253"/>
      <c r="CO58" s="253"/>
      <c r="CP58" s="253"/>
      <c r="CQ58" s="253"/>
      <c r="CR58" s="253"/>
      <c r="CS58" s="253"/>
      <c r="CT58" s="253"/>
      <c r="CU58" s="253"/>
      <c r="CV58" s="253"/>
      <c r="CW58" s="253"/>
      <c r="CX58" s="253"/>
      <c r="CY58" s="253"/>
      <c r="CZ58" s="253"/>
      <c r="DA58" s="253"/>
      <c r="DB58" s="253"/>
      <c r="DC58" s="253"/>
      <c r="DD58" s="253"/>
      <c r="DE58" s="253"/>
      <c r="DF58" s="253"/>
      <c r="DG58" s="253"/>
      <c r="DH58" s="253"/>
      <c r="DI58" s="253"/>
      <c r="DJ58" s="253"/>
      <c r="DK58" s="253"/>
      <c r="DL58" s="253"/>
      <c r="DM58" s="253"/>
      <c r="DN58" s="253"/>
      <c r="DO58" s="253"/>
      <c r="DP58" s="253"/>
      <c r="DQ58" s="253"/>
      <c r="DR58" s="253"/>
      <c r="DS58" s="253"/>
      <c r="DT58" s="253"/>
      <c r="DU58" s="253"/>
      <c r="DV58" s="253"/>
      <c r="DW58" s="253"/>
      <c r="DX58" s="253"/>
      <c r="DY58" s="253"/>
      <c r="DZ58" s="253"/>
      <c r="EA58" s="253"/>
      <c r="EB58" s="253"/>
      <c r="EC58" s="253"/>
      <c r="ED58" s="253"/>
      <c r="EE58" s="253"/>
      <c r="EF58" s="253"/>
      <c r="EG58" s="253"/>
      <c r="EH58" s="253"/>
      <c r="EI58" s="253"/>
      <c r="EJ58" s="253"/>
      <c r="EK58" s="253"/>
      <c r="EL58" s="253"/>
      <c r="EM58" s="253"/>
      <c r="EN58" s="253"/>
      <c r="EO58" s="253"/>
      <c r="EP58" s="253"/>
      <c r="EQ58" s="253"/>
      <c r="ER58" s="253"/>
      <c r="ES58" s="253"/>
      <c r="ET58" s="253"/>
      <c r="EU58" s="253"/>
      <c r="EV58" s="253"/>
      <c r="EW58" s="253"/>
      <c r="EX58" s="253"/>
      <c r="EY58" s="253"/>
      <c r="EZ58" s="253"/>
      <c r="FA58" s="253"/>
      <c r="FB58" s="253"/>
      <c r="FC58" s="253"/>
      <c r="FD58" s="253"/>
      <c r="FE58" s="253"/>
      <c r="FF58" s="253"/>
      <c r="FG58" s="253"/>
      <c r="FH58" s="253"/>
      <c r="FI58" s="253"/>
      <c r="FJ58" s="253"/>
      <c r="FK58" s="262">
        <v>82215</v>
      </c>
      <c r="FL58" s="257" t="s">
        <v>817</v>
      </c>
      <c r="FM58" s="258" t="s">
        <v>389</v>
      </c>
      <c r="FN58" s="258" t="s">
        <v>431</v>
      </c>
      <c r="FO58" s="258" t="s">
        <v>432</v>
      </c>
      <c r="FP58" s="259">
        <f t="shared" si="6"/>
        <v>0</v>
      </c>
      <c r="FQ58" s="260" t="s">
        <v>433</v>
      </c>
      <c r="FR58" s="260"/>
    </row>
    <row r="59" spans="1:174">
      <c r="A59" s="251" t="s">
        <v>393</v>
      </c>
      <c r="B59" s="251" t="s">
        <v>385</v>
      </c>
      <c r="C59" s="251" t="s">
        <v>411</v>
      </c>
      <c r="D59" s="251" t="s">
        <v>291</v>
      </c>
      <c r="E59" s="263" t="s">
        <v>430</v>
      </c>
      <c r="F59" s="251" t="s">
        <v>388</v>
      </c>
      <c r="G59" s="251" t="s">
        <v>844</v>
      </c>
      <c r="H59" s="253"/>
      <c r="I59" s="253"/>
      <c r="J59" s="253"/>
      <c r="K59" s="255">
        <f>20-20</f>
        <v>0</v>
      </c>
      <c r="L59" s="253"/>
      <c r="M59" s="253"/>
      <c r="N59" s="255">
        <f>20-20</f>
        <v>0</v>
      </c>
      <c r="O59" s="253"/>
      <c r="P59" s="253"/>
      <c r="Q59" s="253"/>
      <c r="R59" s="253"/>
      <c r="S59" s="253"/>
      <c r="T59" s="253"/>
      <c r="U59" s="253"/>
      <c r="V59" s="253"/>
      <c r="W59" s="253"/>
      <c r="X59" s="253"/>
      <c r="Y59" s="253"/>
      <c r="Z59" s="253"/>
      <c r="AA59" s="253"/>
      <c r="AB59" s="253"/>
      <c r="AC59" s="253"/>
      <c r="AD59" s="253"/>
      <c r="AE59" s="253"/>
      <c r="AF59" s="253"/>
      <c r="AG59" s="253"/>
      <c r="AH59" s="255">
        <f>40-40</f>
        <v>0</v>
      </c>
      <c r="AI59" s="253"/>
      <c r="AJ59" s="253"/>
      <c r="AK59" s="253"/>
      <c r="AL59" s="253"/>
      <c r="AM59" s="253"/>
      <c r="AN59" s="253"/>
      <c r="AO59" s="255">
        <f>110-110</f>
        <v>0</v>
      </c>
      <c r="AP59" s="253"/>
      <c r="AQ59" s="253"/>
      <c r="AR59" s="253"/>
      <c r="AS59" s="253"/>
      <c r="AT59" s="253"/>
      <c r="AU59" s="253"/>
      <c r="AV59" s="253"/>
      <c r="AW59" s="253"/>
      <c r="AX59" s="253"/>
      <c r="AY59" s="253"/>
      <c r="AZ59" s="253"/>
      <c r="BA59" s="253"/>
      <c r="BB59" s="253"/>
      <c r="BC59" s="253"/>
      <c r="BD59" s="253"/>
      <c r="BE59" s="253"/>
      <c r="BF59" s="255">
        <f>100-100</f>
        <v>0</v>
      </c>
      <c r="BG59" s="253"/>
      <c r="BH59" s="253"/>
      <c r="BI59" s="253"/>
      <c r="BJ59" s="253"/>
      <c r="BK59" s="253"/>
      <c r="BL59" s="253"/>
      <c r="BM59" s="253"/>
      <c r="BN59" s="253"/>
      <c r="BO59" s="253"/>
      <c r="BP59" s="253"/>
      <c r="BQ59" s="253"/>
      <c r="BR59" s="253"/>
      <c r="BS59" s="253"/>
      <c r="BT59" s="253"/>
      <c r="BU59" s="253"/>
      <c r="BV59" s="253"/>
      <c r="BW59" s="253"/>
      <c r="BX59" s="253"/>
      <c r="BY59" s="253"/>
      <c r="BZ59" s="253"/>
      <c r="CA59" s="253"/>
      <c r="CB59" s="253"/>
      <c r="CC59" s="253"/>
      <c r="CD59" s="253"/>
      <c r="CE59" s="253"/>
      <c r="CF59" s="253"/>
      <c r="CG59" s="253"/>
      <c r="CH59" s="253"/>
      <c r="CI59" s="253"/>
      <c r="CJ59" s="253"/>
      <c r="CK59" s="253"/>
      <c r="CL59" s="253"/>
      <c r="CM59" s="253"/>
      <c r="CN59" s="253"/>
      <c r="CO59" s="253"/>
      <c r="CP59" s="253"/>
      <c r="CQ59" s="253"/>
      <c r="CR59" s="253"/>
      <c r="CS59" s="253"/>
      <c r="CT59" s="253"/>
      <c r="CU59" s="253"/>
      <c r="CV59" s="253"/>
      <c r="CW59" s="253"/>
      <c r="CX59" s="253"/>
      <c r="CY59" s="253"/>
      <c r="CZ59" s="253"/>
      <c r="DA59" s="253"/>
      <c r="DB59" s="253"/>
      <c r="DC59" s="253"/>
      <c r="DD59" s="253"/>
      <c r="DE59" s="253"/>
      <c r="DF59" s="253"/>
      <c r="DG59" s="253"/>
      <c r="DH59" s="253"/>
      <c r="DI59" s="253"/>
      <c r="DJ59" s="253"/>
      <c r="DK59" s="253"/>
      <c r="DL59" s="253"/>
      <c r="DM59" s="253"/>
      <c r="DN59" s="253"/>
      <c r="DO59" s="253"/>
      <c r="DP59" s="253"/>
      <c r="DQ59" s="253"/>
      <c r="DR59" s="253"/>
      <c r="DS59" s="253"/>
      <c r="DT59" s="253"/>
      <c r="DU59" s="253"/>
      <c r="DV59" s="253"/>
      <c r="DW59" s="253"/>
      <c r="DX59" s="253"/>
      <c r="DY59" s="253"/>
      <c r="DZ59" s="253"/>
      <c r="EA59" s="253"/>
      <c r="EB59" s="253"/>
      <c r="EC59" s="253"/>
      <c r="ED59" s="253"/>
      <c r="EE59" s="253"/>
      <c r="EF59" s="253"/>
      <c r="EG59" s="253"/>
      <c r="EH59" s="253"/>
      <c r="EI59" s="253"/>
      <c r="EJ59" s="253"/>
      <c r="EK59" s="253"/>
      <c r="EL59" s="253"/>
      <c r="EM59" s="253"/>
      <c r="EN59" s="253"/>
      <c r="EO59" s="253"/>
      <c r="EP59" s="253"/>
      <c r="EQ59" s="253"/>
      <c r="ER59" s="253"/>
      <c r="ES59" s="253"/>
      <c r="ET59" s="253"/>
      <c r="EU59" s="253"/>
      <c r="EV59" s="253"/>
      <c r="EW59" s="253"/>
      <c r="EX59" s="253"/>
      <c r="EY59" s="253"/>
      <c r="EZ59" s="253"/>
      <c r="FA59" s="253"/>
      <c r="FB59" s="253"/>
      <c r="FC59" s="253"/>
      <c r="FD59" s="253"/>
      <c r="FE59" s="253"/>
      <c r="FF59" s="253"/>
      <c r="FG59" s="253"/>
      <c r="FH59" s="253"/>
      <c r="FI59" s="253"/>
      <c r="FJ59" s="253"/>
      <c r="FK59" s="262">
        <v>82340</v>
      </c>
      <c r="FL59" s="257" t="s">
        <v>817</v>
      </c>
      <c r="FM59" s="258" t="s">
        <v>389</v>
      </c>
      <c r="FN59" s="258" t="s">
        <v>431</v>
      </c>
      <c r="FO59" s="258" t="s">
        <v>432</v>
      </c>
      <c r="FP59" s="259">
        <f t="shared" si="6"/>
        <v>0</v>
      </c>
      <c r="FQ59" s="260" t="s">
        <v>433</v>
      </c>
      <c r="FR59" s="260"/>
    </row>
    <row r="60" spans="1:174">
      <c r="A60" s="251" t="s">
        <v>393</v>
      </c>
      <c r="B60" s="251" t="s">
        <v>385</v>
      </c>
      <c r="C60" s="251" t="s">
        <v>411</v>
      </c>
      <c r="D60" s="251" t="s">
        <v>1</v>
      </c>
      <c r="E60" s="263" t="s">
        <v>430</v>
      </c>
      <c r="F60" s="251" t="s">
        <v>388</v>
      </c>
      <c r="G60" s="251" t="s">
        <v>844</v>
      </c>
      <c r="H60" s="253"/>
      <c r="I60" s="253"/>
      <c r="J60" s="253"/>
      <c r="K60" s="253"/>
      <c r="L60" s="253"/>
      <c r="M60" s="253"/>
      <c r="N60" s="254">
        <f>0+20</f>
        <v>20</v>
      </c>
      <c r="O60" s="253"/>
      <c r="P60" s="253"/>
      <c r="Q60" s="253"/>
      <c r="R60" s="253"/>
      <c r="S60" s="255">
        <f>20-20</f>
        <v>0</v>
      </c>
      <c r="T60" s="253"/>
      <c r="U60" s="255">
        <f>20-20</f>
        <v>0</v>
      </c>
      <c r="V60" s="253"/>
      <c r="W60" s="253"/>
      <c r="X60" s="253"/>
      <c r="Y60" s="253"/>
      <c r="Z60" s="253"/>
      <c r="AA60" s="253"/>
      <c r="AB60" s="253"/>
      <c r="AC60" s="255">
        <f>20-20</f>
        <v>0</v>
      </c>
      <c r="AD60" s="253"/>
      <c r="AE60" s="253"/>
      <c r="AF60" s="253"/>
      <c r="AG60" s="253"/>
      <c r="AH60" s="253"/>
      <c r="AI60" s="253"/>
      <c r="AJ60" s="253"/>
      <c r="AK60" s="253"/>
      <c r="AL60" s="253"/>
      <c r="AM60" s="253"/>
      <c r="AN60" s="253"/>
      <c r="AO60" s="253"/>
      <c r="AP60" s="253"/>
      <c r="AQ60" s="253"/>
      <c r="AR60" s="253"/>
      <c r="AS60" s="253"/>
      <c r="AT60" s="253"/>
      <c r="AU60" s="255">
        <f>150-150</f>
        <v>0</v>
      </c>
      <c r="AV60" s="253"/>
      <c r="AW60" s="253"/>
      <c r="AX60" s="253"/>
      <c r="AY60" s="253"/>
      <c r="AZ60" s="253"/>
      <c r="BA60" s="253"/>
      <c r="BB60" s="253"/>
      <c r="BC60" s="253"/>
      <c r="BD60" s="253"/>
      <c r="BE60" s="253"/>
      <c r="BF60" s="253"/>
      <c r="BG60" s="253"/>
      <c r="BH60" s="253"/>
      <c r="BI60" s="253"/>
      <c r="BJ60" s="253"/>
      <c r="BK60" s="253"/>
      <c r="BL60" s="253"/>
      <c r="BM60" s="253"/>
      <c r="BN60" s="253"/>
      <c r="BO60" s="253"/>
      <c r="BP60" s="253"/>
      <c r="BQ60" s="253"/>
      <c r="BR60" s="253"/>
      <c r="BS60" s="253"/>
      <c r="BT60" s="253"/>
      <c r="BU60" s="253"/>
      <c r="BV60" s="253"/>
      <c r="BW60" s="253"/>
      <c r="BX60" s="253"/>
      <c r="BY60" s="253"/>
      <c r="BZ60" s="253"/>
      <c r="CA60" s="253"/>
      <c r="CB60" s="253"/>
      <c r="CC60" s="253"/>
      <c r="CD60" s="253"/>
      <c r="CE60" s="253"/>
      <c r="CF60" s="253"/>
      <c r="CG60" s="253"/>
      <c r="CH60" s="253"/>
      <c r="CI60" s="253"/>
      <c r="CJ60" s="253"/>
      <c r="CK60" s="253"/>
      <c r="CL60" s="253"/>
      <c r="CM60" s="253"/>
      <c r="CN60" s="253"/>
      <c r="CO60" s="253"/>
      <c r="CP60" s="253"/>
      <c r="CQ60" s="253"/>
      <c r="CR60" s="253"/>
      <c r="CS60" s="253"/>
      <c r="CT60" s="253"/>
      <c r="CU60" s="253"/>
      <c r="CV60" s="253"/>
      <c r="CW60" s="253"/>
      <c r="CX60" s="253"/>
      <c r="CY60" s="253"/>
      <c r="CZ60" s="253"/>
      <c r="DA60" s="253"/>
      <c r="DB60" s="253"/>
      <c r="DC60" s="253"/>
      <c r="DD60" s="253"/>
      <c r="DE60" s="253"/>
      <c r="DF60" s="253"/>
      <c r="DG60" s="253"/>
      <c r="DH60" s="253"/>
      <c r="DI60" s="253"/>
      <c r="DJ60" s="253"/>
      <c r="DK60" s="253"/>
      <c r="DL60" s="253"/>
      <c r="DM60" s="253"/>
      <c r="DN60" s="253"/>
      <c r="DO60" s="253"/>
      <c r="DP60" s="253"/>
      <c r="DQ60" s="253"/>
      <c r="DR60" s="253"/>
      <c r="DS60" s="253"/>
      <c r="DT60" s="253"/>
      <c r="DU60" s="253"/>
      <c r="DV60" s="253"/>
      <c r="DW60" s="253"/>
      <c r="DX60" s="255">
        <f>30-30</f>
        <v>0</v>
      </c>
      <c r="DY60" s="253"/>
      <c r="DZ60" s="253"/>
      <c r="EA60" s="253"/>
      <c r="EB60" s="253"/>
      <c r="EC60" s="253"/>
      <c r="ED60" s="255">
        <f>70-70</f>
        <v>0</v>
      </c>
      <c r="EE60" s="255">
        <f>20-20</f>
        <v>0</v>
      </c>
      <c r="EF60" s="253"/>
      <c r="EG60" s="253"/>
      <c r="EH60" s="253"/>
      <c r="EI60" s="253"/>
      <c r="EJ60" s="253"/>
      <c r="EK60" s="253"/>
      <c r="EL60" s="253"/>
      <c r="EM60" s="255">
        <f>15-15</f>
        <v>0</v>
      </c>
      <c r="EN60" s="253"/>
      <c r="EO60" s="253"/>
      <c r="EP60" s="253"/>
      <c r="EQ60" s="253"/>
      <c r="ER60" s="253"/>
      <c r="ES60" s="253"/>
      <c r="ET60" s="253"/>
      <c r="EU60" s="253"/>
      <c r="EV60" s="253"/>
      <c r="EW60" s="253"/>
      <c r="EX60" s="253"/>
      <c r="EY60" s="253"/>
      <c r="EZ60" s="253"/>
      <c r="FA60" s="253"/>
      <c r="FB60" s="253"/>
      <c r="FC60" s="253"/>
      <c r="FD60" s="253"/>
      <c r="FE60" s="253"/>
      <c r="FF60" s="253"/>
      <c r="FG60" s="253"/>
      <c r="FH60" s="253"/>
      <c r="FI60" s="253"/>
      <c r="FJ60" s="253"/>
      <c r="FK60" s="262">
        <v>82340</v>
      </c>
      <c r="FL60" s="257" t="s">
        <v>817</v>
      </c>
      <c r="FM60" s="258" t="s">
        <v>389</v>
      </c>
      <c r="FN60" s="258" t="s">
        <v>431</v>
      </c>
      <c r="FO60" s="258" t="s">
        <v>432</v>
      </c>
      <c r="FP60" s="259">
        <f t="shared" si="6"/>
        <v>20</v>
      </c>
      <c r="FQ60" s="260" t="s">
        <v>433</v>
      </c>
      <c r="FR60" s="260"/>
    </row>
    <row r="61" spans="1:174">
      <c r="A61" s="251" t="s">
        <v>393</v>
      </c>
      <c r="B61" s="251" t="s">
        <v>385</v>
      </c>
      <c r="C61" s="251" t="s">
        <v>411</v>
      </c>
      <c r="D61" s="251" t="s">
        <v>291</v>
      </c>
      <c r="E61" s="252" t="s">
        <v>430</v>
      </c>
      <c r="F61" s="251" t="s">
        <v>388</v>
      </c>
      <c r="G61" s="251" t="s">
        <v>844</v>
      </c>
      <c r="H61" s="253"/>
      <c r="I61" s="255">
        <f>20-20</f>
        <v>0</v>
      </c>
      <c r="J61" s="253"/>
      <c r="K61" s="255">
        <f>10-10</f>
        <v>0</v>
      </c>
      <c r="L61" s="253"/>
      <c r="M61" s="253"/>
      <c r="N61" s="253"/>
      <c r="O61" s="253"/>
      <c r="P61" s="253"/>
      <c r="Q61" s="253"/>
      <c r="R61" s="253"/>
      <c r="S61" s="253"/>
      <c r="T61" s="253"/>
      <c r="U61" s="253"/>
      <c r="V61" s="253"/>
      <c r="W61" s="253"/>
      <c r="X61" s="253"/>
      <c r="Y61" s="253"/>
      <c r="Z61" s="253"/>
      <c r="AA61" s="253"/>
      <c r="AB61" s="253"/>
      <c r="AC61" s="253"/>
      <c r="AD61" s="253"/>
      <c r="AE61" s="253"/>
      <c r="AF61" s="253"/>
      <c r="AG61" s="255">
        <f>20-20</f>
        <v>0</v>
      </c>
      <c r="AH61" s="253"/>
      <c r="AI61" s="253"/>
      <c r="AJ61" s="253"/>
      <c r="AK61" s="253"/>
      <c r="AL61" s="253"/>
      <c r="AM61" s="253"/>
      <c r="AN61" s="253"/>
      <c r="AO61" s="253"/>
      <c r="AP61" s="253"/>
      <c r="AQ61" s="253"/>
      <c r="AR61" s="255">
        <f>40-40</f>
        <v>0</v>
      </c>
      <c r="AS61" s="253"/>
      <c r="AT61" s="253"/>
      <c r="AU61" s="253"/>
      <c r="AV61" s="253"/>
      <c r="AW61" s="253"/>
      <c r="AX61" s="253"/>
      <c r="AY61" s="253"/>
      <c r="AZ61" s="253"/>
      <c r="BA61" s="253"/>
      <c r="BB61" s="253"/>
      <c r="BC61" s="253"/>
      <c r="BD61" s="253"/>
      <c r="BE61" s="253"/>
      <c r="BF61" s="253"/>
      <c r="BG61" s="253"/>
      <c r="BH61" s="253"/>
      <c r="BI61" s="253"/>
      <c r="BJ61" s="253"/>
      <c r="BK61" s="253"/>
      <c r="BL61" s="253"/>
      <c r="BM61" s="253"/>
      <c r="BN61" s="253"/>
      <c r="BO61" s="253"/>
      <c r="BP61" s="253"/>
      <c r="BQ61" s="253"/>
      <c r="BR61" s="253"/>
      <c r="BS61" s="253"/>
      <c r="BT61" s="253"/>
      <c r="BU61" s="253"/>
      <c r="BV61" s="253"/>
      <c r="BW61" s="253"/>
      <c r="BX61" s="253"/>
      <c r="BY61" s="253"/>
      <c r="BZ61" s="253"/>
      <c r="CA61" s="253"/>
      <c r="CB61" s="253"/>
      <c r="CC61" s="253"/>
      <c r="CD61" s="253"/>
      <c r="CE61" s="253"/>
      <c r="CF61" s="253"/>
      <c r="CG61" s="253"/>
      <c r="CH61" s="253"/>
      <c r="CI61" s="253"/>
      <c r="CJ61" s="253"/>
      <c r="CK61" s="253"/>
      <c r="CL61" s="253"/>
      <c r="CM61" s="253"/>
      <c r="CN61" s="253"/>
      <c r="CO61" s="253"/>
      <c r="CP61" s="253"/>
      <c r="CQ61" s="253"/>
      <c r="CR61" s="253"/>
      <c r="CS61" s="253"/>
      <c r="CT61" s="253"/>
      <c r="CU61" s="253"/>
      <c r="CV61" s="253"/>
      <c r="CW61" s="253"/>
      <c r="CX61" s="253"/>
      <c r="CY61" s="253"/>
      <c r="CZ61" s="253"/>
      <c r="DA61" s="253"/>
      <c r="DB61" s="253"/>
      <c r="DC61" s="253"/>
      <c r="DD61" s="253"/>
      <c r="DE61" s="253"/>
      <c r="DF61" s="253"/>
      <c r="DG61" s="253"/>
      <c r="DH61" s="253"/>
      <c r="DI61" s="253"/>
      <c r="DJ61" s="253"/>
      <c r="DK61" s="253"/>
      <c r="DL61" s="253"/>
      <c r="DM61" s="253"/>
      <c r="DN61" s="253"/>
      <c r="DO61" s="253"/>
      <c r="DP61" s="253"/>
      <c r="DQ61" s="253"/>
      <c r="DR61" s="253"/>
      <c r="DS61" s="253"/>
      <c r="DT61" s="253"/>
      <c r="DU61" s="253"/>
      <c r="DV61" s="253"/>
      <c r="DW61" s="253"/>
      <c r="DX61" s="253"/>
      <c r="DY61" s="253"/>
      <c r="DZ61" s="253"/>
      <c r="EA61" s="253"/>
      <c r="EB61" s="253"/>
      <c r="EC61" s="253"/>
      <c r="ED61" s="253"/>
      <c r="EE61" s="253"/>
      <c r="EF61" s="253"/>
      <c r="EG61" s="253"/>
      <c r="EH61" s="253"/>
      <c r="EI61" s="253"/>
      <c r="EJ61" s="253"/>
      <c r="EK61" s="253"/>
      <c r="EL61" s="253"/>
      <c r="EM61" s="253"/>
      <c r="EN61" s="253"/>
      <c r="EO61" s="253"/>
      <c r="EP61" s="253"/>
      <c r="EQ61" s="253"/>
      <c r="ER61" s="253"/>
      <c r="ES61" s="253"/>
      <c r="ET61" s="253"/>
      <c r="EU61" s="253"/>
      <c r="EV61" s="253"/>
      <c r="EW61" s="253"/>
      <c r="EX61" s="253"/>
      <c r="EY61" s="253"/>
      <c r="EZ61" s="253"/>
      <c r="FA61" s="253"/>
      <c r="FB61" s="253"/>
      <c r="FC61" s="253"/>
      <c r="FD61" s="253"/>
      <c r="FE61" s="253"/>
      <c r="FF61" s="253"/>
      <c r="FG61" s="253"/>
      <c r="FH61" s="253"/>
      <c r="FI61" s="253"/>
      <c r="FJ61" s="253"/>
      <c r="FK61" s="262"/>
      <c r="FL61" s="257" t="s">
        <v>817</v>
      </c>
      <c r="FM61" s="258" t="s">
        <v>389</v>
      </c>
      <c r="FN61" s="258" t="s">
        <v>431</v>
      </c>
      <c r="FO61" s="258" t="s">
        <v>432</v>
      </c>
      <c r="FP61" s="259">
        <f t="shared" si="6"/>
        <v>0</v>
      </c>
      <c r="FQ61" s="260" t="s">
        <v>433</v>
      </c>
      <c r="FR61" s="260"/>
    </row>
    <row r="62" spans="1:174">
      <c r="A62" s="251" t="s">
        <v>393</v>
      </c>
      <c r="B62" s="251" t="s">
        <v>385</v>
      </c>
      <c r="C62" s="251" t="s">
        <v>411</v>
      </c>
      <c r="D62" s="251" t="s">
        <v>1</v>
      </c>
      <c r="E62" s="252" t="s">
        <v>430</v>
      </c>
      <c r="F62" s="251" t="s">
        <v>388</v>
      </c>
      <c r="G62" s="251" t="s">
        <v>844</v>
      </c>
      <c r="H62" s="253"/>
      <c r="I62" s="253"/>
      <c r="J62" s="253"/>
      <c r="K62" s="253"/>
      <c r="L62" s="253"/>
      <c r="M62" s="253"/>
      <c r="N62" s="253"/>
      <c r="O62" s="253"/>
      <c r="P62" s="253"/>
      <c r="Q62" s="253"/>
      <c r="R62" s="253"/>
      <c r="S62" s="255">
        <f>20-20</f>
        <v>0</v>
      </c>
      <c r="T62" s="253"/>
      <c r="U62" s="255">
        <f>40-40</f>
        <v>0</v>
      </c>
      <c r="V62" s="253"/>
      <c r="W62" s="253"/>
      <c r="X62" s="253"/>
      <c r="Y62" s="253"/>
      <c r="Z62" s="253"/>
      <c r="AA62" s="255">
        <f>10-10</f>
        <v>0</v>
      </c>
      <c r="AB62" s="253"/>
      <c r="AC62" s="253"/>
      <c r="AD62" s="253"/>
      <c r="AE62" s="254">
        <f>20-20+10</f>
        <v>10</v>
      </c>
      <c r="AF62" s="253"/>
      <c r="AG62" s="253"/>
      <c r="AH62" s="253"/>
      <c r="AI62" s="253"/>
      <c r="AJ62" s="253"/>
      <c r="AK62" s="253"/>
      <c r="AL62" s="253"/>
      <c r="AM62" s="253"/>
      <c r="AN62" s="253"/>
      <c r="AO62" s="253"/>
      <c r="AP62" s="253"/>
      <c r="AQ62" s="253"/>
      <c r="AR62" s="253"/>
      <c r="AS62" s="253"/>
      <c r="AT62" s="253"/>
      <c r="AU62" s="253"/>
      <c r="AV62" s="253"/>
      <c r="AW62" s="253"/>
      <c r="AX62" s="253"/>
      <c r="AY62" s="253"/>
      <c r="AZ62" s="253"/>
      <c r="BA62" s="253"/>
      <c r="BB62" s="253"/>
      <c r="BC62" s="253"/>
      <c r="BD62" s="253"/>
      <c r="BE62" s="253"/>
      <c r="BF62" s="253"/>
      <c r="BG62" s="253"/>
      <c r="BH62" s="255">
        <f>30-30</f>
        <v>0</v>
      </c>
      <c r="BI62" s="253"/>
      <c r="BJ62" s="253"/>
      <c r="BK62" s="253"/>
      <c r="BL62" s="253"/>
      <c r="BM62" s="253"/>
      <c r="BN62" s="253"/>
      <c r="BO62" s="253"/>
      <c r="BP62" s="253"/>
      <c r="BQ62" s="253"/>
      <c r="BR62" s="253"/>
      <c r="BS62" s="253"/>
      <c r="BT62" s="253"/>
      <c r="BU62" s="253"/>
      <c r="BV62" s="253"/>
      <c r="BW62" s="253"/>
      <c r="BX62" s="253"/>
      <c r="BY62" s="253"/>
      <c r="BZ62" s="253"/>
      <c r="CA62" s="253"/>
      <c r="CB62" s="253"/>
      <c r="CC62" s="253"/>
      <c r="CD62" s="253"/>
      <c r="CE62" s="253"/>
      <c r="CF62" s="253"/>
      <c r="CG62" s="253"/>
      <c r="CH62" s="253"/>
      <c r="CI62" s="253"/>
      <c r="CJ62" s="253"/>
      <c r="CK62" s="253"/>
      <c r="CL62" s="253"/>
      <c r="CM62" s="253"/>
      <c r="CN62" s="253"/>
      <c r="CO62" s="253"/>
      <c r="CP62" s="253"/>
      <c r="CQ62" s="253"/>
      <c r="CR62" s="253"/>
      <c r="CS62" s="253"/>
      <c r="CT62" s="253"/>
      <c r="CU62" s="253"/>
      <c r="CV62" s="253"/>
      <c r="CW62" s="253"/>
      <c r="CX62" s="253"/>
      <c r="CY62" s="253"/>
      <c r="CZ62" s="253"/>
      <c r="DA62" s="253"/>
      <c r="DB62" s="253"/>
      <c r="DC62" s="253"/>
      <c r="DD62" s="253"/>
      <c r="DE62" s="253"/>
      <c r="DF62" s="253"/>
      <c r="DG62" s="253"/>
      <c r="DH62" s="253"/>
      <c r="DI62" s="253"/>
      <c r="DJ62" s="253"/>
      <c r="DK62" s="253"/>
      <c r="DL62" s="253"/>
      <c r="DM62" s="253"/>
      <c r="DN62" s="253"/>
      <c r="DO62" s="253"/>
      <c r="DP62" s="253"/>
      <c r="DQ62" s="253"/>
      <c r="DR62" s="253"/>
      <c r="DS62" s="253"/>
      <c r="DT62" s="253"/>
      <c r="DU62" s="253"/>
      <c r="DV62" s="253"/>
      <c r="DW62" s="253"/>
      <c r="DX62" s="255">
        <f>30-30</f>
        <v>0</v>
      </c>
      <c r="DY62" s="253"/>
      <c r="DZ62" s="253"/>
      <c r="EA62" s="253"/>
      <c r="EB62" s="253"/>
      <c r="EC62" s="253"/>
      <c r="ED62" s="253"/>
      <c r="EE62" s="253"/>
      <c r="EF62" s="255">
        <f>30-30</f>
        <v>0</v>
      </c>
      <c r="EG62" s="255">
        <f>10-10</f>
        <v>0</v>
      </c>
      <c r="EH62" s="255">
        <f>10-10</f>
        <v>0</v>
      </c>
      <c r="EI62" s="253"/>
      <c r="EJ62" s="255">
        <f>20-20</f>
        <v>0</v>
      </c>
      <c r="EK62" s="253"/>
      <c r="EL62" s="255">
        <f>70-70</f>
        <v>0</v>
      </c>
      <c r="EM62" s="255">
        <f>25-25</f>
        <v>0</v>
      </c>
      <c r="EN62" s="253"/>
      <c r="EO62" s="255">
        <f>65-65</f>
        <v>0</v>
      </c>
      <c r="EP62" s="253"/>
      <c r="EQ62" s="253"/>
      <c r="ER62" s="253"/>
      <c r="ES62" s="253"/>
      <c r="ET62" s="253"/>
      <c r="EU62" s="253"/>
      <c r="EV62" s="253"/>
      <c r="EW62" s="253"/>
      <c r="EX62" s="253"/>
      <c r="EY62" s="253"/>
      <c r="EZ62" s="253"/>
      <c r="FA62" s="253"/>
      <c r="FB62" s="253"/>
      <c r="FC62" s="253"/>
      <c r="FD62" s="253"/>
      <c r="FE62" s="253"/>
      <c r="FF62" s="253"/>
      <c r="FG62" s="253"/>
      <c r="FH62" s="253"/>
      <c r="FI62" s="253"/>
      <c r="FJ62" s="253"/>
      <c r="FK62" s="262"/>
      <c r="FL62" s="257" t="s">
        <v>817</v>
      </c>
      <c r="FM62" s="258" t="s">
        <v>389</v>
      </c>
      <c r="FN62" s="258" t="s">
        <v>431</v>
      </c>
      <c r="FO62" s="258" t="s">
        <v>432</v>
      </c>
      <c r="FP62" s="259">
        <f t="shared" si="6"/>
        <v>10</v>
      </c>
      <c r="FQ62" s="260" t="s">
        <v>433</v>
      </c>
      <c r="FR62" s="260"/>
    </row>
    <row r="63" spans="1:174">
      <c r="A63" s="251" t="s">
        <v>393</v>
      </c>
      <c r="B63" s="251" t="s">
        <v>385</v>
      </c>
      <c r="C63" s="251" t="s">
        <v>411</v>
      </c>
      <c r="D63" s="251" t="s">
        <v>293</v>
      </c>
      <c r="E63" s="252" t="s">
        <v>430</v>
      </c>
      <c r="F63" s="251" t="s">
        <v>388</v>
      </c>
      <c r="G63" s="251"/>
      <c r="H63" s="253"/>
      <c r="I63" s="253"/>
      <c r="J63" s="255">
        <f>20-20</f>
        <v>0</v>
      </c>
      <c r="K63" s="253"/>
      <c r="L63" s="253"/>
      <c r="M63" s="253"/>
      <c r="N63" s="253"/>
      <c r="O63" s="253"/>
      <c r="P63" s="253"/>
      <c r="Q63" s="253"/>
      <c r="R63" s="253"/>
      <c r="S63" s="253"/>
      <c r="T63" s="253"/>
      <c r="U63" s="253"/>
      <c r="V63" s="253"/>
      <c r="W63" s="253"/>
      <c r="X63" s="253"/>
      <c r="Y63" s="253"/>
      <c r="Z63" s="253"/>
      <c r="AA63" s="253"/>
      <c r="AB63" s="253"/>
      <c r="AC63" s="253"/>
      <c r="AD63" s="253"/>
      <c r="AE63" s="253"/>
      <c r="AF63" s="253"/>
      <c r="AG63" s="253"/>
      <c r="AH63" s="253"/>
      <c r="AI63" s="253"/>
      <c r="AJ63" s="253"/>
      <c r="AK63" s="253"/>
      <c r="AL63" s="253"/>
      <c r="AM63" s="253"/>
      <c r="AN63" s="253"/>
      <c r="AO63" s="253"/>
      <c r="AP63" s="253"/>
      <c r="AQ63" s="253"/>
      <c r="AR63" s="253"/>
      <c r="AS63" s="253"/>
      <c r="AT63" s="253"/>
      <c r="AU63" s="253"/>
      <c r="AV63" s="253"/>
      <c r="AW63" s="253"/>
      <c r="AX63" s="253"/>
      <c r="AY63" s="253"/>
      <c r="AZ63" s="253"/>
      <c r="BA63" s="253"/>
      <c r="BB63" s="253"/>
      <c r="BC63" s="253"/>
      <c r="BD63" s="253"/>
      <c r="BE63" s="253"/>
      <c r="BF63" s="253"/>
      <c r="BG63" s="253"/>
      <c r="BH63" s="253"/>
      <c r="BI63" s="253"/>
      <c r="BJ63" s="253"/>
      <c r="BK63" s="253"/>
      <c r="BL63" s="253"/>
      <c r="BM63" s="253"/>
      <c r="BN63" s="253"/>
      <c r="BO63" s="253"/>
      <c r="BP63" s="253"/>
      <c r="BQ63" s="253"/>
      <c r="BR63" s="253"/>
      <c r="BS63" s="253"/>
      <c r="BT63" s="253"/>
      <c r="BU63" s="253"/>
      <c r="BV63" s="253"/>
      <c r="BW63" s="253"/>
      <c r="BX63" s="253"/>
      <c r="BY63" s="253"/>
      <c r="BZ63" s="253"/>
      <c r="CA63" s="253"/>
      <c r="CB63" s="253"/>
      <c r="CC63" s="253"/>
      <c r="CD63" s="253"/>
      <c r="CE63" s="253"/>
      <c r="CF63" s="253"/>
      <c r="CG63" s="253"/>
      <c r="CH63" s="253"/>
      <c r="CI63" s="253"/>
      <c r="CJ63" s="253"/>
      <c r="CK63" s="253"/>
      <c r="CL63" s="253"/>
      <c r="CM63" s="253"/>
      <c r="CN63" s="253"/>
      <c r="CO63" s="253"/>
      <c r="CP63" s="253"/>
      <c r="CQ63" s="253"/>
      <c r="CR63" s="253"/>
      <c r="CS63" s="253"/>
      <c r="CT63" s="253"/>
      <c r="CU63" s="253"/>
      <c r="CV63" s="253"/>
      <c r="CW63" s="253"/>
      <c r="CX63" s="253"/>
      <c r="CY63" s="253"/>
      <c r="CZ63" s="253"/>
      <c r="DA63" s="253"/>
      <c r="DB63" s="253"/>
      <c r="DC63" s="253"/>
      <c r="DD63" s="253"/>
      <c r="DE63" s="253"/>
      <c r="DF63" s="253"/>
      <c r="DG63" s="253"/>
      <c r="DH63" s="253"/>
      <c r="DI63" s="253"/>
      <c r="DJ63" s="253"/>
      <c r="DK63" s="253"/>
      <c r="DL63" s="253"/>
      <c r="DM63" s="253"/>
      <c r="DN63" s="253"/>
      <c r="DO63" s="253"/>
      <c r="DP63" s="253"/>
      <c r="DQ63" s="253"/>
      <c r="DR63" s="253"/>
      <c r="DS63" s="253"/>
      <c r="DT63" s="253"/>
      <c r="DU63" s="253"/>
      <c r="DV63" s="253"/>
      <c r="DW63" s="253"/>
      <c r="DX63" s="253"/>
      <c r="DY63" s="253"/>
      <c r="DZ63" s="253"/>
      <c r="EA63" s="253"/>
      <c r="EB63" s="253"/>
      <c r="EC63" s="253"/>
      <c r="ED63" s="253"/>
      <c r="EE63" s="253"/>
      <c r="EF63" s="253"/>
      <c r="EG63" s="253"/>
      <c r="EH63" s="253"/>
      <c r="EI63" s="253"/>
      <c r="EJ63" s="253"/>
      <c r="EK63" s="253"/>
      <c r="EL63" s="253"/>
      <c r="EM63" s="253"/>
      <c r="EN63" s="253"/>
      <c r="EO63" s="253"/>
      <c r="EP63" s="253"/>
      <c r="EQ63" s="253"/>
      <c r="ER63" s="253"/>
      <c r="ES63" s="253"/>
      <c r="ET63" s="253"/>
      <c r="EU63" s="253"/>
      <c r="EV63" s="253"/>
      <c r="EW63" s="253"/>
      <c r="EX63" s="253"/>
      <c r="EY63" s="253"/>
      <c r="EZ63" s="253"/>
      <c r="FA63" s="253"/>
      <c r="FB63" s="253"/>
      <c r="FC63" s="253"/>
      <c r="FD63" s="253"/>
      <c r="FE63" s="253"/>
      <c r="FF63" s="253"/>
      <c r="FG63" s="253"/>
      <c r="FH63" s="253"/>
      <c r="FI63" s="253"/>
      <c r="FJ63" s="253"/>
      <c r="FK63" s="262"/>
      <c r="FL63" s="257" t="s">
        <v>817</v>
      </c>
      <c r="FM63" s="258" t="s">
        <v>389</v>
      </c>
      <c r="FN63" s="258" t="s">
        <v>431</v>
      </c>
      <c r="FO63" s="258" t="s">
        <v>432</v>
      </c>
      <c r="FP63" s="259">
        <f t="shared" si="6"/>
        <v>0</v>
      </c>
      <c r="FQ63" s="260" t="s">
        <v>433</v>
      </c>
      <c r="FR63" s="260"/>
    </row>
    <row r="64" spans="1:174">
      <c r="A64" s="251" t="s">
        <v>393</v>
      </c>
      <c r="B64" s="251" t="s">
        <v>392</v>
      </c>
      <c r="C64" s="251" t="s">
        <v>411</v>
      </c>
      <c r="D64" s="251" t="s">
        <v>291</v>
      </c>
      <c r="E64" s="263" t="s">
        <v>430</v>
      </c>
      <c r="F64" s="251" t="s">
        <v>388</v>
      </c>
      <c r="G64" s="251" t="s">
        <v>843</v>
      </c>
      <c r="H64" s="253"/>
      <c r="I64" s="255">
        <f>20-20</f>
        <v>0</v>
      </c>
      <c r="J64" s="253"/>
      <c r="K64" s="255">
        <f>50-50</f>
        <v>0</v>
      </c>
      <c r="L64" s="253"/>
      <c r="M64" s="253"/>
      <c r="N64" s="253"/>
      <c r="O64" s="253"/>
      <c r="P64" s="253"/>
      <c r="Q64" s="253"/>
      <c r="R64" s="253"/>
      <c r="S64" s="253"/>
      <c r="T64" s="253"/>
      <c r="U64" s="253"/>
      <c r="V64" s="253"/>
      <c r="W64" s="253"/>
      <c r="X64" s="253"/>
      <c r="Y64" s="253"/>
      <c r="Z64" s="253"/>
      <c r="AA64" s="253"/>
      <c r="AB64" s="253"/>
      <c r="AC64" s="253"/>
      <c r="AD64" s="253"/>
      <c r="AE64" s="253"/>
      <c r="AF64" s="253"/>
      <c r="AG64" s="255">
        <f>40-40</f>
        <v>0</v>
      </c>
      <c r="AH64" s="255">
        <f>20-20</f>
        <v>0</v>
      </c>
      <c r="AI64" s="253"/>
      <c r="AJ64" s="253"/>
      <c r="AK64" s="253"/>
      <c r="AL64" s="253"/>
      <c r="AM64" s="253"/>
      <c r="AN64" s="253"/>
      <c r="AO64" s="253"/>
      <c r="AP64" s="253"/>
      <c r="AQ64" s="253"/>
      <c r="AR64" s="255">
        <f>90-90</f>
        <v>0</v>
      </c>
      <c r="AS64" s="253"/>
      <c r="AT64" s="253"/>
      <c r="AU64" s="253"/>
      <c r="AV64" s="253"/>
      <c r="AW64" s="253"/>
      <c r="AX64" s="253"/>
      <c r="AY64" s="253"/>
      <c r="AZ64" s="253"/>
      <c r="BA64" s="253"/>
      <c r="BB64" s="253"/>
      <c r="BC64" s="253"/>
      <c r="BD64" s="253"/>
      <c r="BE64" s="253"/>
      <c r="BF64" s="255">
        <f>40-40</f>
        <v>0</v>
      </c>
      <c r="BG64" s="253"/>
      <c r="BH64" s="253"/>
      <c r="BI64" s="253"/>
      <c r="BJ64" s="253"/>
      <c r="BK64" s="253"/>
      <c r="BL64" s="253"/>
      <c r="BM64" s="253"/>
      <c r="BN64" s="253"/>
      <c r="BO64" s="253"/>
      <c r="BP64" s="253"/>
      <c r="BQ64" s="253"/>
      <c r="BR64" s="253"/>
      <c r="BS64" s="253"/>
      <c r="BT64" s="253"/>
      <c r="BU64" s="253"/>
      <c r="BV64" s="253"/>
      <c r="BW64" s="253"/>
      <c r="BX64" s="253"/>
      <c r="BY64" s="253"/>
      <c r="BZ64" s="253"/>
      <c r="CA64" s="253"/>
      <c r="CB64" s="253"/>
      <c r="CC64" s="253"/>
      <c r="CD64" s="253"/>
      <c r="CE64" s="253"/>
      <c r="CF64" s="253"/>
      <c r="CG64" s="253"/>
      <c r="CH64" s="253"/>
      <c r="CI64" s="253"/>
      <c r="CJ64" s="253"/>
      <c r="CK64" s="253"/>
      <c r="CL64" s="253"/>
      <c r="CM64" s="253"/>
      <c r="CN64" s="253"/>
      <c r="CO64" s="253"/>
      <c r="CP64" s="253"/>
      <c r="CQ64" s="253"/>
      <c r="CR64" s="253"/>
      <c r="CS64" s="253"/>
      <c r="CT64" s="253"/>
      <c r="CU64" s="253"/>
      <c r="CV64" s="253"/>
      <c r="CW64" s="253"/>
      <c r="CX64" s="253"/>
      <c r="CY64" s="253"/>
      <c r="CZ64" s="253"/>
      <c r="DA64" s="253"/>
      <c r="DB64" s="253"/>
      <c r="DC64" s="253"/>
      <c r="DD64" s="253"/>
      <c r="DE64" s="253"/>
      <c r="DF64" s="253"/>
      <c r="DG64" s="253"/>
      <c r="DH64" s="253"/>
      <c r="DI64" s="253"/>
      <c r="DJ64" s="253"/>
      <c r="DK64" s="253"/>
      <c r="DL64" s="253"/>
      <c r="DM64" s="253"/>
      <c r="DN64" s="253"/>
      <c r="DO64" s="253"/>
      <c r="DP64" s="253"/>
      <c r="DQ64" s="253"/>
      <c r="DR64" s="253"/>
      <c r="DS64" s="253"/>
      <c r="DT64" s="253"/>
      <c r="DU64" s="253"/>
      <c r="DV64" s="253"/>
      <c r="DW64" s="253"/>
      <c r="DX64" s="253"/>
      <c r="DY64" s="253"/>
      <c r="DZ64" s="253"/>
      <c r="EA64" s="253"/>
      <c r="EB64" s="253"/>
      <c r="EC64" s="253"/>
      <c r="ED64" s="253"/>
      <c r="EE64" s="253"/>
      <c r="EF64" s="253"/>
      <c r="EG64" s="253"/>
      <c r="EH64" s="253"/>
      <c r="EI64" s="253"/>
      <c r="EJ64" s="253"/>
      <c r="EK64" s="253"/>
      <c r="EL64" s="253"/>
      <c r="EM64" s="253"/>
      <c r="EN64" s="253"/>
      <c r="EO64" s="253"/>
      <c r="EP64" s="253"/>
      <c r="EQ64" s="253"/>
      <c r="ER64" s="253"/>
      <c r="ES64" s="253"/>
      <c r="ET64" s="253"/>
      <c r="EU64" s="253"/>
      <c r="EV64" s="253"/>
      <c r="EW64" s="253"/>
      <c r="EX64" s="253"/>
      <c r="EY64" s="253"/>
      <c r="EZ64" s="253"/>
      <c r="FA64" s="253"/>
      <c r="FB64" s="253"/>
      <c r="FC64" s="253"/>
      <c r="FD64" s="253"/>
      <c r="FE64" s="253"/>
      <c r="FF64" s="253"/>
      <c r="FG64" s="253"/>
      <c r="FH64" s="253"/>
      <c r="FI64" s="253"/>
      <c r="FJ64" s="253"/>
      <c r="FK64" s="262"/>
      <c r="FL64" s="257" t="s">
        <v>817</v>
      </c>
      <c r="FM64" s="258" t="s">
        <v>389</v>
      </c>
      <c r="FN64" s="258" t="s">
        <v>431</v>
      </c>
      <c r="FO64" s="258" t="s">
        <v>432</v>
      </c>
      <c r="FP64" s="259">
        <f t="shared" si="6"/>
        <v>0</v>
      </c>
      <c r="FQ64" s="260" t="s">
        <v>433</v>
      </c>
      <c r="FR64" s="260"/>
    </row>
    <row r="65" spans="1:174">
      <c r="A65" s="251" t="s">
        <v>393</v>
      </c>
      <c r="B65" s="251" t="s">
        <v>392</v>
      </c>
      <c r="C65" s="251" t="s">
        <v>411</v>
      </c>
      <c r="D65" s="251" t="s">
        <v>1</v>
      </c>
      <c r="E65" s="263" t="s">
        <v>430</v>
      </c>
      <c r="F65" s="251" t="s">
        <v>388</v>
      </c>
      <c r="G65" s="251" t="s">
        <v>843</v>
      </c>
      <c r="H65" s="253"/>
      <c r="I65" s="253"/>
      <c r="J65" s="253"/>
      <c r="K65" s="253"/>
      <c r="L65" s="253"/>
      <c r="M65" s="253"/>
      <c r="N65" s="253"/>
      <c r="O65" s="253"/>
      <c r="P65" s="253"/>
      <c r="Q65" s="253"/>
      <c r="R65" s="253"/>
      <c r="S65" s="255">
        <f>60-60</f>
        <v>0</v>
      </c>
      <c r="T65" s="253"/>
      <c r="U65" s="255">
        <f>80-80</f>
        <v>0</v>
      </c>
      <c r="V65" s="253"/>
      <c r="W65" s="253"/>
      <c r="X65" s="253"/>
      <c r="Y65" s="253"/>
      <c r="Z65" s="253"/>
      <c r="AA65" s="255">
        <f>10-10</f>
        <v>0</v>
      </c>
      <c r="AB65" s="255">
        <f>30-30</f>
        <v>0</v>
      </c>
      <c r="AC65" s="255">
        <f>40-40</f>
        <v>0</v>
      </c>
      <c r="AD65" s="253"/>
      <c r="AE65" s="253"/>
      <c r="AF65" s="253"/>
      <c r="AG65" s="253"/>
      <c r="AH65" s="253"/>
      <c r="AI65" s="253"/>
      <c r="AJ65" s="253"/>
      <c r="AK65" s="253"/>
      <c r="AL65" s="253"/>
      <c r="AM65" s="253"/>
      <c r="AN65" s="253"/>
      <c r="AO65" s="253"/>
      <c r="AP65" s="253"/>
      <c r="AQ65" s="253"/>
      <c r="AR65" s="253"/>
      <c r="AS65" s="253"/>
      <c r="AT65" s="253"/>
      <c r="AU65" s="255">
        <f>350-350</f>
        <v>0</v>
      </c>
      <c r="AV65" s="253"/>
      <c r="AW65" s="253"/>
      <c r="AX65" s="253"/>
      <c r="AY65" s="253"/>
      <c r="AZ65" s="253"/>
      <c r="BA65" s="253"/>
      <c r="BB65" s="253"/>
      <c r="BC65" s="253"/>
      <c r="BD65" s="253"/>
      <c r="BE65" s="253"/>
      <c r="BF65" s="253"/>
      <c r="BG65" s="253"/>
      <c r="BH65" s="255">
        <f>40-40</f>
        <v>0</v>
      </c>
      <c r="BI65" s="253"/>
      <c r="BJ65" s="253"/>
      <c r="BK65" s="253"/>
      <c r="BL65" s="253"/>
      <c r="BM65" s="253"/>
      <c r="BN65" s="253"/>
      <c r="BO65" s="253"/>
      <c r="BP65" s="253"/>
      <c r="BQ65" s="253"/>
      <c r="BR65" s="253"/>
      <c r="BS65" s="253"/>
      <c r="BT65" s="253"/>
      <c r="BU65" s="253"/>
      <c r="BV65" s="253"/>
      <c r="BW65" s="253"/>
      <c r="BX65" s="253"/>
      <c r="BY65" s="253"/>
      <c r="BZ65" s="253"/>
      <c r="CA65" s="253"/>
      <c r="CB65" s="253"/>
      <c r="CC65" s="253"/>
      <c r="CD65" s="253"/>
      <c r="CE65" s="253"/>
      <c r="CF65" s="253"/>
      <c r="CG65" s="253"/>
      <c r="CH65" s="253"/>
      <c r="CI65" s="253"/>
      <c r="CJ65" s="253"/>
      <c r="CK65" s="253"/>
      <c r="CL65" s="253"/>
      <c r="CM65" s="253"/>
      <c r="CN65" s="253"/>
      <c r="CO65" s="253"/>
      <c r="CP65" s="253"/>
      <c r="CQ65" s="253"/>
      <c r="CR65" s="253"/>
      <c r="CS65" s="253"/>
      <c r="CT65" s="253"/>
      <c r="CU65" s="253"/>
      <c r="CV65" s="253"/>
      <c r="CW65" s="253"/>
      <c r="CX65" s="253"/>
      <c r="CY65" s="253"/>
      <c r="CZ65" s="253"/>
      <c r="DA65" s="253"/>
      <c r="DB65" s="253"/>
      <c r="DC65" s="253"/>
      <c r="DD65" s="253"/>
      <c r="DE65" s="253"/>
      <c r="DF65" s="253"/>
      <c r="DG65" s="253"/>
      <c r="DH65" s="253"/>
      <c r="DI65" s="253"/>
      <c r="DJ65" s="253"/>
      <c r="DK65" s="253"/>
      <c r="DL65" s="253"/>
      <c r="DM65" s="253"/>
      <c r="DN65" s="253"/>
      <c r="DO65" s="253"/>
      <c r="DP65" s="253"/>
      <c r="DQ65" s="253"/>
      <c r="DR65" s="253"/>
      <c r="DS65" s="253"/>
      <c r="DT65" s="253"/>
      <c r="DU65" s="253"/>
      <c r="DV65" s="253"/>
      <c r="DW65" s="253"/>
      <c r="DX65" s="255">
        <f>210-210</f>
        <v>0</v>
      </c>
      <c r="DY65" s="253"/>
      <c r="DZ65" s="253"/>
      <c r="EA65" s="253"/>
      <c r="EB65" s="253"/>
      <c r="EC65" s="253"/>
      <c r="ED65" s="253"/>
      <c r="EE65" s="253"/>
      <c r="EF65" s="255">
        <f>40-40</f>
        <v>0</v>
      </c>
      <c r="EG65" s="255">
        <f>10-10</f>
        <v>0</v>
      </c>
      <c r="EH65" s="255">
        <f>4-4</f>
        <v>0</v>
      </c>
      <c r="EI65" s="253"/>
      <c r="EJ65" s="255">
        <f>20-20</f>
        <v>0</v>
      </c>
      <c r="EK65" s="253"/>
      <c r="EL65" s="255">
        <f>40-40</f>
        <v>0</v>
      </c>
      <c r="EM65" s="255">
        <f>30-30</f>
        <v>0</v>
      </c>
      <c r="EN65" s="253"/>
      <c r="EO65" s="255">
        <f>95-95</f>
        <v>0</v>
      </c>
      <c r="EP65" s="253"/>
      <c r="EQ65" s="253"/>
      <c r="ER65" s="253"/>
      <c r="ES65" s="253"/>
      <c r="ET65" s="253"/>
      <c r="EU65" s="253"/>
      <c r="EV65" s="253"/>
      <c r="EW65" s="253"/>
      <c r="EX65" s="253"/>
      <c r="EY65" s="253"/>
      <c r="EZ65" s="253"/>
      <c r="FA65" s="253"/>
      <c r="FB65" s="253"/>
      <c r="FC65" s="253"/>
      <c r="FD65" s="253"/>
      <c r="FE65" s="253"/>
      <c r="FF65" s="253"/>
      <c r="FG65" s="253"/>
      <c r="FH65" s="253"/>
      <c r="FI65" s="253"/>
      <c r="FJ65" s="253"/>
      <c r="FK65" s="262"/>
      <c r="FL65" s="257" t="s">
        <v>817</v>
      </c>
      <c r="FM65" s="258" t="s">
        <v>389</v>
      </c>
      <c r="FN65" s="258" t="s">
        <v>431</v>
      </c>
      <c r="FO65" s="258" t="s">
        <v>432</v>
      </c>
      <c r="FP65" s="259">
        <f t="shared" si="6"/>
        <v>0</v>
      </c>
      <c r="FQ65" s="260" t="s">
        <v>433</v>
      </c>
      <c r="FR65" s="260"/>
    </row>
    <row r="66" spans="1:174">
      <c r="A66" s="251" t="s">
        <v>393</v>
      </c>
      <c r="B66" s="251" t="s">
        <v>392</v>
      </c>
      <c r="C66" s="251" t="s">
        <v>411</v>
      </c>
      <c r="D66" s="251" t="s">
        <v>293</v>
      </c>
      <c r="E66" s="263" t="s">
        <v>430</v>
      </c>
      <c r="F66" s="251" t="s">
        <v>388</v>
      </c>
      <c r="G66" s="251"/>
      <c r="H66" s="253"/>
      <c r="I66" s="253"/>
      <c r="J66" s="255">
        <f>40-40</f>
        <v>0</v>
      </c>
      <c r="K66" s="253"/>
      <c r="L66" s="253"/>
      <c r="M66" s="253"/>
      <c r="N66" s="253"/>
      <c r="O66" s="253"/>
      <c r="P66" s="253"/>
      <c r="Q66" s="253"/>
      <c r="R66" s="253"/>
      <c r="S66" s="253"/>
      <c r="T66" s="253"/>
      <c r="U66" s="253"/>
      <c r="V66" s="253"/>
      <c r="W66" s="253"/>
      <c r="X66" s="253"/>
      <c r="Y66" s="253"/>
      <c r="Z66" s="253"/>
      <c r="AA66" s="253"/>
      <c r="AB66" s="253"/>
      <c r="AC66" s="253"/>
      <c r="AD66" s="253"/>
      <c r="AE66" s="253"/>
      <c r="AF66" s="253"/>
      <c r="AG66" s="253"/>
      <c r="AH66" s="253"/>
      <c r="AI66" s="253"/>
      <c r="AJ66" s="253"/>
      <c r="AK66" s="253"/>
      <c r="AL66" s="253"/>
      <c r="AM66" s="253"/>
      <c r="AN66" s="253"/>
      <c r="AO66" s="253"/>
      <c r="AP66" s="253"/>
      <c r="AQ66" s="253"/>
      <c r="AR66" s="253"/>
      <c r="AS66" s="253"/>
      <c r="AT66" s="253"/>
      <c r="AU66" s="253"/>
      <c r="AV66" s="253"/>
      <c r="AW66" s="253"/>
      <c r="AX66" s="253"/>
      <c r="AY66" s="253"/>
      <c r="AZ66" s="253"/>
      <c r="BA66" s="253"/>
      <c r="BB66" s="253"/>
      <c r="BC66" s="253"/>
      <c r="BD66" s="253"/>
      <c r="BE66" s="253"/>
      <c r="BF66" s="253"/>
      <c r="BG66" s="253"/>
      <c r="BH66" s="253"/>
      <c r="BI66" s="253"/>
      <c r="BJ66" s="253"/>
      <c r="BK66" s="253"/>
      <c r="BL66" s="253"/>
      <c r="BM66" s="253"/>
      <c r="BN66" s="253"/>
      <c r="BO66" s="253"/>
      <c r="BP66" s="253"/>
      <c r="BQ66" s="253"/>
      <c r="BR66" s="253"/>
      <c r="BS66" s="253"/>
      <c r="BT66" s="253"/>
      <c r="BU66" s="253"/>
      <c r="BV66" s="253"/>
      <c r="BW66" s="253"/>
      <c r="BX66" s="253"/>
      <c r="BY66" s="253"/>
      <c r="BZ66" s="253"/>
      <c r="CA66" s="253"/>
      <c r="CB66" s="253"/>
      <c r="CC66" s="253"/>
      <c r="CD66" s="253"/>
      <c r="CE66" s="253"/>
      <c r="CF66" s="253"/>
      <c r="CG66" s="253"/>
      <c r="CH66" s="253"/>
      <c r="CI66" s="253"/>
      <c r="CJ66" s="253"/>
      <c r="CK66" s="253"/>
      <c r="CL66" s="253"/>
      <c r="CM66" s="253"/>
      <c r="CN66" s="253"/>
      <c r="CO66" s="253"/>
      <c r="CP66" s="253"/>
      <c r="CQ66" s="253"/>
      <c r="CR66" s="253"/>
      <c r="CS66" s="253"/>
      <c r="CT66" s="253"/>
      <c r="CU66" s="253"/>
      <c r="CV66" s="253"/>
      <c r="CW66" s="253"/>
      <c r="CX66" s="253"/>
      <c r="CY66" s="253"/>
      <c r="CZ66" s="253"/>
      <c r="DA66" s="253"/>
      <c r="DB66" s="253"/>
      <c r="DC66" s="253"/>
      <c r="DD66" s="253"/>
      <c r="DE66" s="253"/>
      <c r="DF66" s="253"/>
      <c r="DG66" s="253"/>
      <c r="DH66" s="253"/>
      <c r="DI66" s="253"/>
      <c r="DJ66" s="253"/>
      <c r="DK66" s="253"/>
      <c r="DL66" s="253"/>
      <c r="DM66" s="253"/>
      <c r="DN66" s="253"/>
      <c r="DO66" s="253"/>
      <c r="DP66" s="253"/>
      <c r="DQ66" s="253"/>
      <c r="DR66" s="253"/>
      <c r="DS66" s="253"/>
      <c r="DT66" s="253"/>
      <c r="DU66" s="253"/>
      <c r="DV66" s="253"/>
      <c r="DW66" s="253"/>
      <c r="DX66" s="253"/>
      <c r="DY66" s="253"/>
      <c r="DZ66" s="253"/>
      <c r="EA66" s="253"/>
      <c r="EB66" s="253"/>
      <c r="EC66" s="253"/>
      <c r="ED66" s="253"/>
      <c r="EE66" s="253"/>
      <c r="EF66" s="253"/>
      <c r="EG66" s="253"/>
      <c r="EH66" s="253"/>
      <c r="EI66" s="253"/>
      <c r="EJ66" s="253"/>
      <c r="EK66" s="253"/>
      <c r="EL66" s="253"/>
      <c r="EM66" s="253"/>
      <c r="EN66" s="253"/>
      <c r="EO66" s="253"/>
      <c r="EP66" s="253"/>
      <c r="EQ66" s="253"/>
      <c r="ER66" s="253"/>
      <c r="ES66" s="253"/>
      <c r="ET66" s="253"/>
      <c r="EU66" s="253"/>
      <c r="EV66" s="253"/>
      <c r="EW66" s="253"/>
      <c r="EX66" s="253"/>
      <c r="EY66" s="253"/>
      <c r="EZ66" s="253"/>
      <c r="FA66" s="253"/>
      <c r="FB66" s="253"/>
      <c r="FC66" s="253"/>
      <c r="FD66" s="253"/>
      <c r="FE66" s="253"/>
      <c r="FF66" s="253"/>
      <c r="FG66" s="253"/>
      <c r="FH66" s="253"/>
      <c r="FI66" s="253"/>
      <c r="FJ66" s="253"/>
      <c r="FK66" s="262"/>
      <c r="FL66" s="257" t="s">
        <v>817</v>
      </c>
      <c r="FM66" s="258" t="s">
        <v>389</v>
      </c>
      <c r="FN66" s="258" t="s">
        <v>431</v>
      </c>
      <c r="FO66" s="258" t="s">
        <v>432</v>
      </c>
      <c r="FP66" s="259">
        <f t="shared" si="6"/>
        <v>0</v>
      </c>
      <c r="FQ66" s="260" t="s">
        <v>433</v>
      </c>
      <c r="FR66" s="260"/>
    </row>
    <row r="67" spans="1:174">
      <c r="A67" s="251" t="s">
        <v>385</v>
      </c>
      <c r="B67" s="251" t="s">
        <v>392</v>
      </c>
      <c r="C67" s="251" t="s">
        <v>411</v>
      </c>
      <c r="D67" s="251" t="s">
        <v>291</v>
      </c>
      <c r="E67" s="252" t="s">
        <v>434</v>
      </c>
      <c r="F67" s="251" t="s">
        <v>388</v>
      </c>
      <c r="G67" s="251" t="s">
        <v>845</v>
      </c>
      <c r="H67" s="253"/>
      <c r="I67" s="253"/>
      <c r="J67" s="253"/>
      <c r="K67" s="253"/>
      <c r="L67" s="253"/>
      <c r="M67" s="253"/>
      <c r="N67" s="253"/>
      <c r="O67" s="253"/>
      <c r="P67" s="253"/>
      <c r="Q67" s="253"/>
      <c r="R67" s="253"/>
      <c r="S67" s="253"/>
      <c r="T67" s="253"/>
      <c r="U67" s="253"/>
      <c r="V67" s="253"/>
      <c r="W67" s="253"/>
      <c r="X67" s="253"/>
      <c r="Y67" s="253"/>
      <c r="Z67" s="253"/>
      <c r="AA67" s="253"/>
      <c r="AB67" s="253"/>
      <c r="AC67" s="253"/>
      <c r="AD67" s="253"/>
      <c r="AE67" s="253"/>
      <c r="AF67" s="253"/>
      <c r="AG67" s="253"/>
      <c r="AH67" s="253"/>
      <c r="AI67" s="253"/>
      <c r="AJ67" s="253"/>
      <c r="AK67" s="253"/>
      <c r="AL67" s="253"/>
      <c r="AM67" s="253"/>
      <c r="AN67" s="253"/>
      <c r="AO67" s="253"/>
      <c r="AP67" s="253"/>
      <c r="AQ67" s="253"/>
      <c r="AR67" s="253"/>
      <c r="AS67" s="253"/>
      <c r="AT67" s="253"/>
      <c r="AU67" s="253"/>
      <c r="AV67" s="253"/>
      <c r="AW67" s="253"/>
      <c r="AX67" s="253"/>
      <c r="AY67" s="253"/>
      <c r="AZ67" s="253"/>
      <c r="BA67" s="253"/>
      <c r="BB67" s="253"/>
      <c r="BC67" s="253"/>
      <c r="BD67" s="253"/>
      <c r="BE67" s="253"/>
      <c r="BF67" s="253"/>
      <c r="BG67" s="253"/>
      <c r="BH67" s="253"/>
      <c r="BI67" s="253"/>
      <c r="BJ67" s="253"/>
      <c r="BK67" s="253"/>
      <c r="BL67" s="253"/>
      <c r="BM67" s="253"/>
      <c r="BN67" s="253"/>
      <c r="BO67" s="253"/>
      <c r="BP67" s="253"/>
      <c r="BQ67" s="253"/>
      <c r="BR67" s="253"/>
      <c r="BS67" s="253"/>
      <c r="BT67" s="253"/>
      <c r="BU67" s="253"/>
      <c r="BV67" s="253"/>
      <c r="BW67" s="253"/>
      <c r="BX67" s="253"/>
      <c r="BY67" s="253"/>
      <c r="BZ67" s="253"/>
      <c r="CA67" s="253"/>
      <c r="CB67" s="253"/>
      <c r="CC67" s="253"/>
      <c r="CD67" s="253"/>
      <c r="CE67" s="253"/>
      <c r="CF67" s="253"/>
      <c r="CG67" s="253"/>
      <c r="CH67" s="253"/>
      <c r="CI67" s="253"/>
      <c r="CJ67" s="253"/>
      <c r="CK67" s="253"/>
      <c r="CL67" s="253"/>
      <c r="CM67" s="253"/>
      <c r="CN67" s="253"/>
      <c r="CO67" s="253"/>
      <c r="CP67" s="253"/>
      <c r="CQ67" s="253"/>
      <c r="CR67" s="253"/>
      <c r="CS67" s="253"/>
      <c r="CT67" s="253"/>
      <c r="CU67" s="253"/>
      <c r="CV67" s="253"/>
      <c r="CW67" s="253"/>
      <c r="CX67" s="253"/>
      <c r="CY67" s="253"/>
      <c r="CZ67" s="253"/>
      <c r="DA67" s="253"/>
      <c r="DB67" s="253"/>
      <c r="DC67" s="253"/>
      <c r="DD67" s="253"/>
      <c r="DE67" s="253"/>
      <c r="DF67" s="253"/>
      <c r="DG67" s="253"/>
      <c r="DH67" s="253"/>
      <c r="DI67" s="253"/>
      <c r="DJ67" s="253"/>
      <c r="DK67" s="253"/>
      <c r="DL67" s="253"/>
      <c r="DM67" s="253"/>
      <c r="DN67" s="253"/>
      <c r="DO67" s="253"/>
      <c r="DP67" s="253"/>
      <c r="DQ67" s="253"/>
      <c r="DR67" s="253"/>
      <c r="DS67" s="253"/>
      <c r="DT67" s="253"/>
      <c r="DU67" s="255">
        <f>800-800</f>
        <v>0</v>
      </c>
      <c r="DV67" s="253"/>
      <c r="DW67" s="253"/>
      <c r="DX67" s="253"/>
      <c r="DY67" s="253"/>
      <c r="DZ67" s="253"/>
      <c r="EA67" s="255">
        <f>800-800</f>
        <v>0</v>
      </c>
      <c r="EB67" s="253"/>
      <c r="EC67" s="253"/>
      <c r="ED67" s="253"/>
      <c r="EE67" s="253"/>
      <c r="EF67" s="253"/>
      <c r="EG67" s="253"/>
      <c r="EH67" s="253"/>
      <c r="EI67" s="253"/>
      <c r="EJ67" s="253"/>
      <c r="EK67" s="253"/>
      <c r="EL67" s="253"/>
      <c r="EM67" s="253"/>
      <c r="EN67" s="253"/>
      <c r="EO67" s="253"/>
      <c r="EP67" s="253"/>
      <c r="EQ67" s="253"/>
      <c r="ER67" s="253"/>
      <c r="ES67" s="253"/>
      <c r="ET67" s="253"/>
      <c r="EU67" s="253"/>
      <c r="EV67" s="253"/>
      <c r="EW67" s="253"/>
      <c r="EX67" s="253"/>
      <c r="EY67" s="253"/>
      <c r="EZ67" s="253"/>
      <c r="FA67" s="253"/>
      <c r="FB67" s="253"/>
      <c r="FC67" s="253"/>
      <c r="FD67" s="253"/>
      <c r="FE67" s="253"/>
      <c r="FF67" s="253"/>
      <c r="FG67" s="253"/>
      <c r="FH67" s="253"/>
      <c r="FI67" s="253"/>
      <c r="FJ67" s="253"/>
      <c r="FK67" s="256" t="s">
        <v>846</v>
      </c>
      <c r="FL67" s="257" t="s">
        <v>817</v>
      </c>
      <c r="FM67" s="258" t="s">
        <v>389</v>
      </c>
      <c r="FN67" s="258" t="s">
        <v>436</v>
      </c>
      <c r="FO67" s="258" t="s">
        <v>420</v>
      </c>
      <c r="FP67" s="259">
        <f t="shared" si="6"/>
        <v>0</v>
      </c>
      <c r="FQ67" s="260" t="s">
        <v>421</v>
      </c>
      <c r="FR67" s="260"/>
    </row>
    <row r="68" spans="1:174">
      <c r="A68" s="251" t="s">
        <v>385</v>
      </c>
      <c r="B68" s="251" t="s">
        <v>392</v>
      </c>
      <c r="C68" s="251" t="s">
        <v>411</v>
      </c>
      <c r="D68" s="251" t="s">
        <v>1</v>
      </c>
      <c r="E68" s="252" t="s">
        <v>434</v>
      </c>
      <c r="F68" s="251" t="s">
        <v>388</v>
      </c>
      <c r="G68" s="251" t="s">
        <v>845</v>
      </c>
      <c r="H68" s="253"/>
      <c r="I68" s="253"/>
      <c r="J68" s="253"/>
      <c r="K68" s="253"/>
      <c r="L68" s="254">
        <f>300-300+300</f>
        <v>300</v>
      </c>
      <c r="M68" s="253"/>
      <c r="N68" s="253"/>
      <c r="O68" s="253"/>
      <c r="P68" s="253"/>
      <c r="Q68" s="253"/>
      <c r="R68" s="253"/>
      <c r="S68" s="253"/>
      <c r="T68" s="253"/>
      <c r="U68" s="253"/>
      <c r="V68" s="253"/>
      <c r="W68" s="253"/>
      <c r="X68" s="253"/>
      <c r="Y68" s="253"/>
      <c r="Z68" s="253"/>
      <c r="AA68" s="253"/>
      <c r="AB68" s="253"/>
      <c r="AC68" s="253"/>
      <c r="AD68" s="253"/>
      <c r="AE68" s="253"/>
      <c r="AF68" s="253"/>
      <c r="AG68" s="253"/>
      <c r="AH68" s="253"/>
      <c r="AI68" s="253"/>
      <c r="AJ68" s="253"/>
      <c r="AK68" s="253"/>
      <c r="AL68" s="253"/>
      <c r="AM68" s="253"/>
      <c r="AN68" s="253"/>
      <c r="AO68" s="253"/>
      <c r="AP68" s="253"/>
      <c r="AQ68" s="253"/>
      <c r="AR68" s="253"/>
      <c r="AS68" s="253"/>
      <c r="AT68" s="253"/>
      <c r="AU68" s="253"/>
      <c r="AV68" s="253"/>
      <c r="AW68" s="253"/>
      <c r="AX68" s="253"/>
      <c r="AY68" s="253"/>
      <c r="AZ68" s="253"/>
      <c r="BA68" s="253"/>
      <c r="BB68" s="253"/>
      <c r="BC68" s="253"/>
      <c r="BD68" s="253"/>
      <c r="BE68" s="253"/>
      <c r="BF68" s="253"/>
      <c r="BG68" s="253"/>
      <c r="BH68" s="253"/>
      <c r="BI68" s="253"/>
      <c r="BJ68" s="253"/>
      <c r="BK68" s="253"/>
      <c r="BL68" s="253"/>
      <c r="BM68" s="253"/>
      <c r="BN68" s="253"/>
      <c r="BO68" s="253"/>
      <c r="BP68" s="253"/>
      <c r="BQ68" s="253"/>
      <c r="BR68" s="253"/>
      <c r="BS68" s="253"/>
      <c r="BT68" s="253"/>
      <c r="BU68" s="253"/>
      <c r="BV68" s="253"/>
      <c r="BW68" s="253"/>
      <c r="BX68" s="253"/>
      <c r="BY68" s="253"/>
      <c r="BZ68" s="253"/>
      <c r="CA68" s="253"/>
      <c r="CB68" s="253"/>
      <c r="CC68" s="253"/>
      <c r="CD68" s="253"/>
      <c r="CE68" s="253"/>
      <c r="CF68" s="253"/>
      <c r="CG68" s="253"/>
      <c r="CH68" s="253"/>
      <c r="CI68" s="253"/>
      <c r="CJ68" s="253"/>
      <c r="CK68" s="253"/>
      <c r="CL68" s="253"/>
      <c r="CM68" s="253"/>
      <c r="CN68" s="253"/>
      <c r="CO68" s="253"/>
      <c r="CP68" s="253"/>
      <c r="CQ68" s="253"/>
      <c r="CR68" s="253"/>
      <c r="CS68" s="253"/>
      <c r="CT68" s="253"/>
      <c r="CU68" s="253"/>
      <c r="CV68" s="253"/>
      <c r="CW68" s="253"/>
      <c r="CX68" s="253"/>
      <c r="CY68" s="253"/>
      <c r="CZ68" s="253"/>
      <c r="DA68" s="253"/>
      <c r="DB68" s="253"/>
      <c r="DC68" s="253"/>
      <c r="DD68" s="253"/>
      <c r="DE68" s="253"/>
      <c r="DF68" s="253"/>
      <c r="DG68" s="253"/>
      <c r="DH68" s="253"/>
      <c r="DI68" s="253"/>
      <c r="DJ68" s="253"/>
      <c r="DK68" s="253"/>
      <c r="DL68" s="253"/>
      <c r="DM68" s="253"/>
      <c r="DN68" s="253"/>
      <c r="DO68" s="253"/>
      <c r="DP68" s="253"/>
      <c r="DQ68" s="253"/>
      <c r="DR68" s="253"/>
      <c r="DS68" s="253"/>
      <c r="DT68" s="253"/>
      <c r="DU68" s="253"/>
      <c r="DV68" s="253"/>
      <c r="DW68" s="253"/>
      <c r="DX68" s="253"/>
      <c r="DY68" s="253"/>
      <c r="DZ68" s="253"/>
      <c r="EA68" s="253"/>
      <c r="EB68" s="253"/>
      <c r="EC68" s="253"/>
      <c r="ED68" s="253"/>
      <c r="EE68" s="253"/>
      <c r="EF68" s="253"/>
      <c r="EG68" s="253"/>
      <c r="EH68" s="253"/>
      <c r="EI68" s="253"/>
      <c r="EJ68" s="253"/>
      <c r="EK68" s="253"/>
      <c r="EL68" s="253"/>
      <c r="EM68" s="253"/>
      <c r="EN68" s="253"/>
      <c r="EO68" s="253"/>
      <c r="EP68" s="253"/>
      <c r="EQ68" s="253"/>
      <c r="ER68" s="253"/>
      <c r="ES68" s="253"/>
      <c r="ET68" s="253"/>
      <c r="EU68" s="253"/>
      <c r="EV68" s="253"/>
      <c r="EW68" s="253"/>
      <c r="EX68" s="253"/>
      <c r="EY68" s="253"/>
      <c r="EZ68" s="253"/>
      <c r="FA68" s="253"/>
      <c r="FB68" s="253"/>
      <c r="FC68" s="253"/>
      <c r="FD68" s="253"/>
      <c r="FE68" s="253"/>
      <c r="FF68" s="253"/>
      <c r="FG68" s="253"/>
      <c r="FH68" s="253"/>
      <c r="FI68" s="253"/>
      <c r="FJ68" s="253"/>
      <c r="FK68" s="256" t="s">
        <v>846</v>
      </c>
      <c r="FL68" s="257" t="s">
        <v>817</v>
      </c>
      <c r="FM68" s="258" t="s">
        <v>389</v>
      </c>
      <c r="FN68" s="258" t="s">
        <v>436</v>
      </c>
      <c r="FO68" s="258" t="s">
        <v>420</v>
      </c>
      <c r="FP68" s="259">
        <f t="shared" si="6"/>
        <v>300</v>
      </c>
      <c r="FQ68" s="260" t="s">
        <v>421</v>
      </c>
      <c r="FR68" s="260"/>
    </row>
    <row r="69" spans="1:174">
      <c r="A69" s="251" t="s">
        <v>385</v>
      </c>
      <c r="B69" s="251" t="s">
        <v>385</v>
      </c>
      <c r="C69" s="251" t="s">
        <v>411</v>
      </c>
      <c r="D69" s="251" t="s">
        <v>291</v>
      </c>
      <c r="E69" s="263" t="s">
        <v>434</v>
      </c>
      <c r="F69" s="251" t="s">
        <v>388</v>
      </c>
      <c r="G69" s="251" t="s">
        <v>847</v>
      </c>
      <c r="H69" s="253"/>
      <c r="I69" s="253"/>
      <c r="J69" s="253"/>
      <c r="K69" s="253"/>
      <c r="L69" s="253"/>
      <c r="M69" s="253"/>
      <c r="N69" s="253"/>
      <c r="O69" s="253"/>
      <c r="P69" s="253"/>
      <c r="Q69" s="253"/>
      <c r="R69" s="253"/>
      <c r="S69" s="253"/>
      <c r="T69" s="253"/>
      <c r="U69" s="253"/>
      <c r="V69" s="253"/>
      <c r="W69" s="253"/>
      <c r="X69" s="253"/>
      <c r="Y69" s="253"/>
      <c r="Z69" s="253"/>
      <c r="AA69" s="253"/>
      <c r="AB69" s="253"/>
      <c r="AC69" s="253"/>
      <c r="AD69" s="253"/>
      <c r="AE69" s="253"/>
      <c r="AF69" s="253"/>
      <c r="AG69" s="253"/>
      <c r="AH69" s="255">
        <f>200-200</f>
        <v>0</v>
      </c>
      <c r="AI69" s="253"/>
      <c r="AJ69" s="253"/>
      <c r="AK69" s="253"/>
      <c r="AL69" s="253"/>
      <c r="AM69" s="253"/>
      <c r="AN69" s="253"/>
      <c r="AO69" s="253"/>
      <c r="AP69" s="253"/>
      <c r="AQ69" s="253"/>
      <c r="AR69" s="253"/>
      <c r="AS69" s="253"/>
      <c r="AT69" s="253"/>
      <c r="AU69" s="253"/>
      <c r="AV69" s="253"/>
      <c r="AW69" s="253"/>
      <c r="AX69" s="253"/>
      <c r="AY69" s="253"/>
      <c r="AZ69" s="253"/>
      <c r="BA69" s="253"/>
      <c r="BB69" s="253"/>
      <c r="BC69" s="253"/>
      <c r="BD69" s="253"/>
      <c r="BE69" s="253"/>
      <c r="BF69" s="255">
        <f>200-200</f>
        <v>0</v>
      </c>
      <c r="BG69" s="253"/>
      <c r="BH69" s="253"/>
      <c r="BI69" s="253"/>
      <c r="BJ69" s="253"/>
      <c r="BK69" s="253"/>
      <c r="BL69" s="253"/>
      <c r="BM69" s="253"/>
      <c r="BN69" s="253"/>
      <c r="BO69" s="253"/>
      <c r="BP69" s="253"/>
      <c r="BQ69" s="253"/>
      <c r="BR69" s="253"/>
      <c r="BS69" s="253"/>
      <c r="BT69" s="253"/>
      <c r="BU69" s="253"/>
      <c r="BV69" s="253"/>
      <c r="BW69" s="253"/>
      <c r="BX69" s="253"/>
      <c r="BY69" s="253"/>
      <c r="BZ69" s="253"/>
      <c r="CA69" s="253"/>
      <c r="CB69" s="253"/>
      <c r="CC69" s="253"/>
      <c r="CD69" s="253"/>
      <c r="CE69" s="253"/>
      <c r="CF69" s="253"/>
      <c r="CG69" s="253"/>
      <c r="CH69" s="253"/>
      <c r="CI69" s="253"/>
      <c r="CJ69" s="253"/>
      <c r="CK69" s="253"/>
      <c r="CL69" s="253"/>
      <c r="CM69" s="253"/>
      <c r="CN69" s="253"/>
      <c r="CO69" s="253"/>
      <c r="CP69" s="253"/>
      <c r="CQ69" s="253"/>
      <c r="CR69" s="253"/>
      <c r="CS69" s="253"/>
      <c r="CT69" s="253"/>
      <c r="CU69" s="253"/>
      <c r="CV69" s="253"/>
      <c r="CW69" s="253"/>
      <c r="CX69" s="253"/>
      <c r="CY69" s="253"/>
      <c r="CZ69" s="253"/>
      <c r="DA69" s="253"/>
      <c r="DB69" s="253"/>
      <c r="DC69" s="253"/>
      <c r="DD69" s="253"/>
      <c r="DE69" s="253"/>
      <c r="DF69" s="253"/>
      <c r="DG69" s="253"/>
      <c r="DH69" s="253"/>
      <c r="DI69" s="253"/>
      <c r="DJ69" s="253"/>
      <c r="DK69" s="253"/>
      <c r="DL69" s="253"/>
      <c r="DM69" s="253"/>
      <c r="DN69" s="253"/>
      <c r="DO69" s="253"/>
      <c r="DP69" s="253"/>
      <c r="DQ69" s="253"/>
      <c r="DR69" s="253"/>
      <c r="DS69" s="253"/>
      <c r="DT69" s="253"/>
      <c r="DU69" s="253"/>
      <c r="DV69" s="253"/>
      <c r="DW69" s="253"/>
      <c r="DX69" s="253"/>
      <c r="DY69" s="253"/>
      <c r="DZ69" s="253"/>
      <c r="EA69" s="253"/>
      <c r="EB69" s="253"/>
      <c r="EC69" s="253"/>
      <c r="ED69" s="253"/>
      <c r="EE69" s="253"/>
      <c r="EF69" s="253"/>
      <c r="EG69" s="253"/>
      <c r="EH69" s="253"/>
      <c r="EI69" s="253"/>
      <c r="EJ69" s="253"/>
      <c r="EK69" s="253"/>
      <c r="EL69" s="253"/>
      <c r="EM69" s="253"/>
      <c r="EN69" s="253"/>
      <c r="EO69" s="253"/>
      <c r="EP69" s="253"/>
      <c r="EQ69" s="253"/>
      <c r="ER69" s="253"/>
      <c r="ES69" s="253"/>
      <c r="ET69" s="253"/>
      <c r="EU69" s="253"/>
      <c r="EV69" s="253"/>
      <c r="EW69" s="253"/>
      <c r="EX69" s="253"/>
      <c r="EY69" s="253"/>
      <c r="EZ69" s="253"/>
      <c r="FA69" s="253"/>
      <c r="FB69" s="253"/>
      <c r="FC69" s="253"/>
      <c r="FD69" s="253"/>
      <c r="FE69" s="253"/>
      <c r="FF69" s="253"/>
      <c r="FG69" s="253"/>
      <c r="FH69" s="253"/>
      <c r="FI69" s="253"/>
      <c r="FJ69" s="253"/>
      <c r="FK69" s="256"/>
      <c r="FL69" s="257" t="s">
        <v>817</v>
      </c>
      <c r="FM69" s="258" t="s">
        <v>389</v>
      </c>
      <c r="FN69" s="258" t="s">
        <v>435</v>
      </c>
      <c r="FO69" s="258" t="s">
        <v>420</v>
      </c>
      <c r="FP69" s="259">
        <f t="shared" si="6"/>
        <v>0</v>
      </c>
      <c r="FQ69" s="260" t="s">
        <v>421</v>
      </c>
      <c r="FR69" s="260"/>
    </row>
    <row r="70" spans="1:174">
      <c r="A70" s="251" t="s">
        <v>385</v>
      </c>
      <c r="B70" s="251" t="s">
        <v>385</v>
      </c>
      <c r="C70" s="251" t="s">
        <v>411</v>
      </c>
      <c r="D70" s="251" t="s">
        <v>1</v>
      </c>
      <c r="E70" s="263" t="s">
        <v>434</v>
      </c>
      <c r="F70" s="251" t="s">
        <v>388</v>
      </c>
      <c r="G70" s="251" t="s">
        <v>847</v>
      </c>
      <c r="H70" s="253"/>
      <c r="I70" s="253"/>
      <c r="J70" s="253"/>
      <c r="K70" s="253"/>
      <c r="L70" s="253"/>
      <c r="M70" s="253"/>
      <c r="N70" s="253"/>
      <c r="O70" s="253"/>
      <c r="P70" s="253"/>
      <c r="Q70" s="253"/>
      <c r="R70" s="253"/>
      <c r="S70" s="253"/>
      <c r="T70" s="253"/>
      <c r="U70" s="253"/>
      <c r="V70" s="253"/>
      <c r="W70" s="253"/>
      <c r="X70" s="253"/>
      <c r="Y70" s="253"/>
      <c r="Z70" s="253"/>
      <c r="AA70" s="253"/>
      <c r="AB70" s="253"/>
      <c r="AC70" s="253"/>
      <c r="AD70" s="253"/>
      <c r="AE70" s="253"/>
      <c r="AF70" s="253"/>
      <c r="AG70" s="253"/>
      <c r="AH70" s="253"/>
      <c r="AI70" s="253"/>
      <c r="AJ70" s="253"/>
      <c r="AK70" s="253"/>
      <c r="AL70" s="253"/>
      <c r="AM70" s="253"/>
      <c r="AN70" s="253"/>
      <c r="AO70" s="253"/>
      <c r="AP70" s="253"/>
      <c r="AQ70" s="253"/>
      <c r="AR70" s="253"/>
      <c r="AS70" s="253"/>
      <c r="AT70" s="253"/>
      <c r="AU70" s="255">
        <f>200-200</f>
        <v>0</v>
      </c>
      <c r="AV70" s="253"/>
      <c r="AW70" s="253"/>
      <c r="AX70" s="253"/>
      <c r="AY70" s="253"/>
      <c r="AZ70" s="253"/>
      <c r="BA70" s="253"/>
      <c r="BB70" s="255">
        <f>200-200</f>
        <v>0</v>
      </c>
      <c r="BC70" s="253"/>
      <c r="BD70" s="253"/>
      <c r="BE70" s="253"/>
      <c r="BF70" s="253"/>
      <c r="BG70" s="253"/>
      <c r="BH70" s="253"/>
      <c r="BI70" s="253"/>
      <c r="BJ70" s="253"/>
      <c r="BK70" s="253"/>
      <c r="BL70" s="253"/>
      <c r="BM70" s="253"/>
      <c r="BN70" s="253"/>
      <c r="BO70" s="253"/>
      <c r="BP70" s="253"/>
      <c r="BQ70" s="253"/>
      <c r="BR70" s="253"/>
      <c r="BS70" s="253"/>
      <c r="BT70" s="253"/>
      <c r="BU70" s="253"/>
      <c r="BV70" s="253"/>
      <c r="BW70" s="253"/>
      <c r="BX70" s="253"/>
      <c r="BY70" s="253"/>
      <c r="BZ70" s="253"/>
      <c r="CA70" s="253"/>
      <c r="CB70" s="253"/>
      <c r="CC70" s="253"/>
      <c r="CD70" s="253"/>
      <c r="CE70" s="253"/>
      <c r="CF70" s="253"/>
      <c r="CG70" s="253"/>
      <c r="CH70" s="253"/>
      <c r="CI70" s="253"/>
      <c r="CJ70" s="253"/>
      <c r="CK70" s="253"/>
      <c r="CL70" s="253"/>
      <c r="CM70" s="253"/>
      <c r="CN70" s="253"/>
      <c r="CO70" s="253"/>
      <c r="CP70" s="253"/>
      <c r="CQ70" s="253"/>
      <c r="CR70" s="253"/>
      <c r="CS70" s="253"/>
      <c r="CT70" s="253"/>
      <c r="CU70" s="253"/>
      <c r="CV70" s="253"/>
      <c r="CW70" s="253"/>
      <c r="CX70" s="253"/>
      <c r="CY70" s="253"/>
      <c r="CZ70" s="253"/>
      <c r="DA70" s="253"/>
      <c r="DB70" s="253"/>
      <c r="DC70" s="253"/>
      <c r="DD70" s="253"/>
      <c r="DE70" s="253"/>
      <c r="DF70" s="253"/>
      <c r="DG70" s="253"/>
      <c r="DH70" s="253"/>
      <c r="DI70" s="253"/>
      <c r="DJ70" s="253"/>
      <c r="DK70" s="253"/>
      <c r="DL70" s="253"/>
      <c r="DM70" s="253"/>
      <c r="DN70" s="253"/>
      <c r="DO70" s="253"/>
      <c r="DP70" s="253"/>
      <c r="DQ70" s="253"/>
      <c r="DR70" s="253"/>
      <c r="DS70" s="253"/>
      <c r="DT70" s="253"/>
      <c r="DU70" s="253"/>
      <c r="DV70" s="253"/>
      <c r="DW70" s="253"/>
      <c r="DX70" s="253"/>
      <c r="DY70" s="253"/>
      <c r="DZ70" s="253"/>
      <c r="EA70" s="253"/>
      <c r="EB70" s="253"/>
      <c r="EC70" s="253"/>
      <c r="ED70" s="253"/>
      <c r="EE70" s="253"/>
      <c r="EF70" s="253"/>
      <c r="EG70" s="253"/>
      <c r="EH70" s="253"/>
      <c r="EI70" s="253"/>
      <c r="EJ70" s="253"/>
      <c r="EK70" s="253"/>
      <c r="EL70" s="253"/>
      <c r="EM70" s="253"/>
      <c r="EN70" s="253"/>
      <c r="EO70" s="253"/>
      <c r="EP70" s="253"/>
      <c r="EQ70" s="253"/>
      <c r="ER70" s="253"/>
      <c r="ES70" s="253"/>
      <c r="ET70" s="253"/>
      <c r="EU70" s="253"/>
      <c r="EV70" s="253"/>
      <c r="EW70" s="253"/>
      <c r="EX70" s="253"/>
      <c r="EY70" s="253"/>
      <c r="EZ70" s="253"/>
      <c r="FA70" s="253"/>
      <c r="FB70" s="253"/>
      <c r="FC70" s="253"/>
      <c r="FD70" s="253"/>
      <c r="FE70" s="253"/>
      <c r="FF70" s="253"/>
      <c r="FG70" s="253"/>
      <c r="FH70" s="253"/>
      <c r="FI70" s="253"/>
      <c r="FJ70" s="253"/>
      <c r="FK70" s="256"/>
      <c r="FL70" s="257" t="s">
        <v>817</v>
      </c>
      <c r="FM70" s="258" t="s">
        <v>389</v>
      </c>
      <c r="FN70" s="258" t="s">
        <v>435</v>
      </c>
      <c r="FO70" s="258" t="s">
        <v>420</v>
      </c>
      <c r="FP70" s="259">
        <f t="shared" si="6"/>
        <v>0</v>
      </c>
      <c r="FQ70" s="260" t="s">
        <v>421</v>
      </c>
      <c r="FR70" s="260"/>
    </row>
    <row r="71" spans="1:174">
      <c r="A71" s="251" t="s">
        <v>385</v>
      </c>
      <c r="B71" s="251" t="s">
        <v>385</v>
      </c>
      <c r="C71" s="251" t="s">
        <v>411</v>
      </c>
      <c r="D71" s="251" t="s">
        <v>291</v>
      </c>
      <c r="E71" s="252" t="s">
        <v>434</v>
      </c>
      <c r="F71" s="251" t="s">
        <v>388</v>
      </c>
      <c r="G71" s="251" t="s">
        <v>848</v>
      </c>
      <c r="H71" s="253"/>
      <c r="I71" s="253"/>
      <c r="J71" s="253"/>
      <c r="K71" s="253"/>
      <c r="L71" s="253"/>
      <c r="M71" s="253"/>
      <c r="N71" s="253"/>
      <c r="O71" s="253"/>
      <c r="P71" s="253"/>
      <c r="Q71" s="253"/>
      <c r="R71" s="253"/>
      <c r="S71" s="253"/>
      <c r="T71" s="253"/>
      <c r="U71" s="253"/>
      <c r="V71" s="253"/>
      <c r="W71" s="253"/>
      <c r="X71" s="253"/>
      <c r="Y71" s="253"/>
      <c r="Z71" s="253"/>
      <c r="AA71" s="253"/>
      <c r="AB71" s="253"/>
      <c r="AC71" s="253"/>
      <c r="AD71" s="253"/>
      <c r="AE71" s="253"/>
      <c r="AF71" s="253"/>
      <c r="AG71" s="255">
        <f>300-300</f>
        <v>0</v>
      </c>
      <c r="AH71" s="255">
        <f>300-300</f>
        <v>0</v>
      </c>
      <c r="AI71" s="253"/>
      <c r="AJ71" s="253"/>
      <c r="AK71" s="253"/>
      <c r="AL71" s="253"/>
      <c r="AM71" s="253"/>
      <c r="AN71" s="253"/>
      <c r="AO71" s="253"/>
      <c r="AP71" s="253"/>
      <c r="AQ71" s="253"/>
      <c r="AR71" s="253"/>
      <c r="AS71" s="253"/>
      <c r="AT71" s="253"/>
      <c r="AU71" s="253"/>
      <c r="AV71" s="253"/>
      <c r="AW71" s="253"/>
      <c r="AX71" s="253"/>
      <c r="AY71" s="253"/>
      <c r="AZ71" s="253"/>
      <c r="BA71" s="253"/>
      <c r="BB71" s="253"/>
      <c r="BC71" s="253"/>
      <c r="BD71" s="253"/>
      <c r="BE71" s="253"/>
      <c r="BF71" s="253"/>
      <c r="BG71" s="253"/>
      <c r="BH71" s="253"/>
      <c r="BI71" s="253"/>
      <c r="BJ71" s="253"/>
      <c r="BK71" s="253"/>
      <c r="BL71" s="253"/>
      <c r="BM71" s="253"/>
      <c r="BN71" s="253"/>
      <c r="BO71" s="253"/>
      <c r="BP71" s="253"/>
      <c r="BQ71" s="253"/>
      <c r="BR71" s="253"/>
      <c r="BS71" s="253"/>
      <c r="BT71" s="253"/>
      <c r="BU71" s="253"/>
      <c r="BV71" s="253"/>
      <c r="BW71" s="253"/>
      <c r="BX71" s="253"/>
      <c r="BY71" s="253"/>
      <c r="BZ71" s="253"/>
      <c r="CA71" s="253"/>
      <c r="CB71" s="253"/>
      <c r="CC71" s="253"/>
      <c r="CD71" s="253"/>
      <c r="CE71" s="253"/>
      <c r="CF71" s="253"/>
      <c r="CG71" s="253"/>
      <c r="CH71" s="253"/>
      <c r="CI71" s="253"/>
      <c r="CJ71" s="253"/>
      <c r="CK71" s="253"/>
      <c r="CL71" s="253"/>
      <c r="CM71" s="253"/>
      <c r="CN71" s="253"/>
      <c r="CO71" s="253"/>
      <c r="CP71" s="253"/>
      <c r="CQ71" s="253"/>
      <c r="CR71" s="253"/>
      <c r="CS71" s="253"/>
      <c r="CT71" s="253"/>
      <c r="CU71" s="253"/>
      <c r="CV71" s="253"/>
      <c r="CW71" s="253"/>
      <c r="CX71" s="253"/>
      <c r="CY71" s="253"/>
      <c r="CZ71" s="253"/>
      <c r="DA71" s="253"/>
      <c r="DB71" s="253"/>
      <c r="DC71" s="253"/>
      <c r="DD71" s="253"/>
      <c r="DE71" s="253"/>
      <c r="DF71" s="253"/>
      <c r="DG71" s="253"/>
      <c r="DH71" s="253"/>
      <c r="DI71" s="253"/>
      <c r="DJ71" s="253"/>
      <c r="DK71" s="253"/>
      <c r="DL71" s="253"/>
      <c r="DM71" s="253"/>
      <c r="DN71" s="253"/>
      <c r="DO71" s="253"/>
      <c r="DP71" s="253"/>
      <c r="DQ71" s="253"/>
      <c r="DR71" s="253"/>
      <c r="DS71" s="253"/>
      <c r="DT71" s="253"/>
      <c r="DU71" s="253"/>
      <c r="DV71" s="253"/>
      <c r="DW71" s="253"/>
      <c r="DX71" s="253"/>
      <c r="DY71" s="253"/>
      <c r="DZ71" s="253"/>
      <c r="EA71" s="253"/>
      <c r="EB71" s="253"/>
      <c r="EC71" s="253"/>
      <c r="ED71" s="253"/>
      <c r="EE71" s="253"/>
      <c r="EF71" s="253"/>
      <c r="EG71" s="253"/>
      <c r="EH71" s="253"/>
      <c r="EI71" s="253"/>
      <c r="EJ71" s="253"/>
      <c r="EK71" s="253"/>
      <c r="EL71" s="253"/>
      <c r="EM71" s="253"/>
      <c r="EN71" s="253"/>
      <c r="EO71" s="253"/>
      <c r="EP71" s="253"/>
      <c r="EQ71" s="253"/>
      <c r="ER71" s="253"/>
      <c r="ES71" s="253"/>
      <c r="ET71" s="253"/>
      <c r="EU71" s="253"/>
      <c r="EV71" s="253"/>
      <c r="EW71" s="253"/>
      <c r="EX71" s="253"/>
      <c r="EY71" s="253"/>
      <c r="EZ71" s="253"/>
      <c r="FA71" s="253"/>
      <c r="FB71" s="253"/>
      <c r="FC71" s="253"/>
      <c r="FD71" s="253"/>
      <c r="FE71" s="253"/>
      <c r="FF71" s="253"/>
      <c r="FG71" s="253"/>
      <c r="FH71" s="253"/>
      <c r="FI71" s="253"/>
      <c r="FJ71" s="253"/>
      <c r="FK71" s="256"/>
      <c r="FL71" s="257" t="s">
        <v>817</v>
      </c>
      <c r="FM71" s="258" t="s">
        <v>389</v>
      </c>
      <c r="FN71" s="258" t="s">
        <v>436</v>
      </c>
      <c r="FO71" s="258" t="s">
        <v>420</v>
      </c>
      <c r="FP71" s="259">
        <f t="shared" si="6"/>
        <v>0</v>
      </c>
      <c r="FQ71" s="260" t="s">
        <v>421</v>
      </c>
      <c r="FR71" s="260"/>
    </row>
    <row r="72" spans="1:174">
      <c r="A72" s="251" t="s">
        <v>385</v>
      </c>
      <c r="B72" s="251" t="s">
        <v>385</v>
      </c>
      <c r="C72" s="251" t="s">
        <v>411</v>
      </c>
      <c r="D72" s="251" t="s">
        <v>1</v>
      </c>
      <c r="E72" s="252" t="s">
        <v>434</v>
      </c>
      <c r="F72" s="251" t="s">
        <v>388</v>
      </c>
      <c r="G72" s="251" t="s">
        <v>848</v>
      </c>
      <c r="H72" s="253"/>
      <c r="I72" s="253"/>
      <c r="J72" s="253"/>
      <c r="K72" s="253"/>
      <c r="L72" s="253"/>
      <c r="M72" s="253"/>
      <c r="N72" s="253"/>
      <c r="O72" s="253"/>
      <c r="P72" s="253"/>
      <c r="Q72" s="253"/>
      <c r="R72" s="253"/>
      <c r="S72" s="253"/>
      <c r="T72" s="253"/>
      <c r="U72" s="253"/>
      <c r="V72" s="253"/>
      <c r="W72" s="253"/>
      <c r="X72" s="253"/>
      <c r="Y72" s="255">
        <f>300-300</f>
        <v>0</v>
      </c>
      <c r="Z72" s="253"/>
      <c r="AA72" s="253"/>
      <c r="AB72" s="253"/>
      <c r="AC72" s="253"/>
      <c r="AD72" s="253"/>
      <c r="AE72" s="253"/>
      <c r="AF72" s="253"/>
      <c r="AG72" s="253"/>
      <c r="AH72" s="253"/>
      <c r="AI72" s="253"/>
      <c r="AJ72" s="255">
        <f>200-200</f>
        <v>0</v>
      </c>
      <c r="AK72" s="253"/>
      <c r="AL72" s="253"/>
      <c r="AM72" s="255">
        <f>200-200</f>
        <v>0</v>
      </c>
      <c r="AN72" s="253"/>
      <c r="AO72" s="253"/>
      <c r="AP72" s="253"/>
      <c r="AQ72" s="253"/>
      <c r="AR72" s="253"/>
      <c r="AS72" s="253"/>
      <c r="AT72" s="253"/>
      <c r="AU72" s="255">
        <f>300-300</f>
        <v>0</v>
      </c>
      <c r="AV72" s="253"/>
      <c r="AW72" s="253"/>
      <c r="AX72" s="253"/>
      <c r="AY72" s="253"/>
      <c r="AZ72" s="253"/>
      <c r="BA72" s="253"/>
      <c r="BB72" s="253"/>
      <c r="BC72" s="253"/>
      <c r="BD72" s="253"/>
      <c r="BE72" s="253"/>
      <c r="BF72" s="253"/>
      <c r="BG72" s="253"/>
      <c r="BH72" s="253"/>
      <c r="BI72" s="253"/>
      <c r="BJ72" s="253"/>
      <c r="BK72" s="253"/>
      <c r="BL72" s="253"/>
      <c r="BM72" s="253"/>
      <c r="BN72" s="253"/>
      <c r="BO72" s="253"/>
      <c r="BP72" s="253"/>
      <c r="BQ72" s="253"/>
      <c r="BR72" s="253"/>
      <c r="BS72" s="253"/>
      <c r="BT72" s="253"/>
      <c r="BU72" s="253"/>
      <c r="BV72" s="253"/>
      <c r="BW72" s="253"/>
      <c r="BX72" s="253"/>
      <c r="BY72" s="253"/>
      <c r="BZ72" s="253"/>
      <c r="CA72" s="253"/>
      <c r="CB72" s="253"/>
      <c r="CC72" s="253"/>
      <c r="CD72" s="253"/>
      <c r="CE72" s="253"/>
      <c r="CF72" s="253"/>
      <c r="CG72" s="253"/>
      <c r="CH72" s="253"/>
      <c r="CI72" s="253"/>
      <c r="CJ72" s="253"/>
      <c r="CK72" s="253"/>
      <c r="CL72" s="253"/>
      <c r="CM72" s="253"/>
      <c r="CN72" s="253"/>
      <c r="CO72" s="253"/>
      <c r="CP72" s="253"/>
      <c r="CQ72" s="253"/>
      <c r="CR72" s="253"/>
      <c r="CS72" s="253"/>
      <c r="CT72" s="253"/>
      <c r="CU72" s="253"/>
      <c r="CV72" s="253"/>
      <c r="CW72" s="253"/>
      <c r="CX72" s="253"/>
      <c r="CY72" s="253"/>
      <c r="CZ72" s="253"/>
      <c r="DA72" s="253"/>
      <c r="DB72" s="253"/>
      <c r="DC72" s="253"/>
      <c r="DD72" s="253"/>
      <c r="DE72" s="253"/>
      <c r="DF72" s="253"/>
      <c r="DG72" s="253"/>
      <c r="DH72" s="253"/>
      <c r="DI72" s="253"/>
      <c r="DJ72" s="253"/>
      <c r="DK72" s="253"/>
      <c r="DL72" s="253"/>
      <c r="DM72" s="253"/>
      <c r="DN72" s="253"/>
      <c r="DO72" s="253"/>
      <c r="DP72" s="253"/>
      <c r="DQ72" s="253"/>
      <c r="DR72" s="253"/>
      <c r="DS72" s="253"/>
      <c r="DT72" s="253"/>
      <c r="DU72" s="253"/>
      <c r="DV72" s="253"/>
      <c r="DW72" s="253"/>
      <c r="DX72" s="253"/>
      <c r="DY72" s="253"/>
      <c r="DZ72" s="253"/>
      <c r="EA72" s="253"/>
      <c r="EB72" s="253"/>
      <c r="EC72" s="253"/>
      <c r="ED72" s="253"/>
      <c r="EE72" s="253"/>
      <c r="EF72" s="253"/>
      <c r="EG72" s="253"/>
      <c r="EH72" s="253"/>
      <c r="EI72" s="253"/>
      <c r="EJ72" s="253"/>
      <c r="EK72" s="253"/>
      <c r="EL72" s="253"/>
      <c r="EM72" s="253"/>
      <c r="EN72" s="253"/>
      <c r="EO72" s="253"/>
      <c r="EP72" s="253"/>
      <c r="EQ72" s="253"/>
      <c r="ER72" s="253"/>
      <c r="ES72" s="253"/>
      <c r="ET72" s="253"/>
      <c r="EU72" s="253"/>
      <c r="EV72" s="253"/>
      <c r="EW72" s="253"/>
      <c r="EX72" s="253"/>
      <c r="EY72" s="253"/>
      <c r="EZ72" s="253"/>
      <c r="FA72" s="253"/>
      <c r="FB72" s="253"/>
      <c r="FC72" s="253"/>
      <c r="FD72" s="253"/>
      <c r="FE72" s="253"/>
      <c r="FF72" s="253"/>
      <c r="FG72" s="253"/>
      <c r="FH72" s="253"/>
      <c r="FI72" s="253"/>
      <c r="FJ72" s="253"/>
      <c r="FK72" s="256"/>
      <c r="FL72" s="257" t="s">
        <v>817</v>
      </c>
      <c r="FM72" s="258" t="s">
        <v>389</v>
      </c>
      <c r="FN72" s="258" t="s">
        <v>436</v>
      </c>
      <c r="FO72" s="258" t="s">
        <v>420</v>
      </c>
      <c r="FP72" s="259">
        <f t="shared" si="6"/>
        <v>0</v>
      </c>
      <c r="FQ72" s="260" t="s">
        <v>421</v>
      </c>
      <c r="FR72" s="260"/>
    </row>
    <row r="73" spans="1:174">
      <c r="A73" s="251" t="s">
        <v>393</v>
      </c>
      <c r="B73" s="251" t="s">
        <v>385</v>
      </c>
      <c r="C73" s="251" t="s">
        <v>411</v>
      </c>
      <c r="D73" s="251" t="s">
        <v>291</v>
      </c>
      <c r="E73" s="252" t="s">
        <v>440</v>
      </c>
      <c r="F73" s="251" t="s">
        <v>388</v>
      </c>
      <c r="G73" s="251"/>
      <c r="H73" s="253"/>
      <c r="I73" s="253"/>
      <c r="J73" s="253"/>
      <c r="K73" s="253"/>
      <c r="L73" s="253"/>
      <c r="M73" s="253"/>
      <c r="N73" s="253"/>
      <c r="O73" s="253"/>
      <c r="P73" s="253"/>
      <c r="Q73" s="253"/>
      <c r="R73" s="253"/>
      <c r="S73" s="253"/>
      <c r="T73" s="253"/>
      <c r="U73" s="253"/>
      <c r="V73" s="253"/>
      <c r="W73" s="253"/>
      <c r="X73" s="253"/>
      <c r="Y73" s="253"/>
      <c r="Z73" s="253"/>
      <c r="AA73" s="253"/>
      <c r="AB73" s="253"/>
      <c r="AC73" s="253"/>
      <c r="AD73" s="253"/>
      <c r="AE73" s="253"/>
      <c r="AF73" s="253"/>
      <c r="AG73" s="253"/>
      <c r="AH73" s="255">
        <f>400-400</f>
        <v>0</v>
      </c>
      <c r="AI73" s="253"/>
      <c r="AJ73" s="253"/>
      <c r="AK73" s="253"/>
      <c r="AL73" s="253"/>
      <c r="AM73" s="253"/>
      <c r="AN73" s="253"/>
      <c r="AO73" s="253"/>
      <c r="AP73" s="253"/>
      <c r="AQ73" s="253"/>
      <c r="AR73" s="253"/>
      <c r="AS73" s="253"/>
      <c r="AT73" s="253"/>
      <c r="AU73" s="253"/>
      <c r="AV73" s="253"/>
      <c r="AW73" s="253"/>
      <c r="AX73" s="253"/>
      <c r="AY73" s="255">
        <f>600-600</f>
        <v>0</v>
      </c>
      <c r="AZ73" s="253"/>
      <c r="BA73" s="253"/>
      <c r="BB73" s="253"/>
      <c r="BC73" s="253"/>
      <c r="BD73" s="253"/>
      <c r="BE73" s="253"/>
      <c r="BF73" s="255">
        <f>600-600</f>
        <v>0</v>
      </c>
      <c r="BG73" s="253"/>
      <c r="BH73" s="253"/>
      <c r="BI73" s="253"/>
      <c r="BJ73" s="253"/>
      <c r="BK73" s="253"/>
      <c r="BL73" s="253"/>
      <c r="BM73" s="253"/>
      <c r="BN73" s="253"/>
      <c r="BO73" s="253"/>
      <c r="BP73" s="253"/>
      <c r="BQ73" s="253"/>
      <c r="BR73" s="253"/>
      <c r="BS73" s="253"/>
      <c r="BT73" s="253"/>
      <c r="BU73" s="253"/>
      <c r="BV73" s="253"/>
      <c r="BW73" s="253"/>
      <c r="BX73" s="253"/>
      <c r="BY73" s="253"/>
      <c r="BZ73" s="253"/>
      <c r="CA73" s="253"/>
      <c r="CB73" s="253"/>
      <c r="CC73" s="253"/>
      <c r="CD73" s="253"/>
      <c r="CE73" s="253"/>
      <c r="CF73" s="253"/>
      <c r="CG73" s="253"/>
      <c r="CH73" s="253"/>
      <c r="CI73" s="253"/>
      <c r="CJ73" s="253"/>
      <c r="CK73" s="253"/>
      <c r="CL73" s="253"/>
      <c r="CM73" s="253"/>
      <c r="CN73" s="253"/>
      <c r="CO73" s="253"/>
      <c r="CP73" s="253"/>
      <c r="CQ73" s="253"/>
      <c r="CR73" s="253"/>
      <c r="CS73" s="253"/>
      <c r="CT73" s="253"/>
      <c r="CU73" s="253"/>
      <c r="CV73" s="253"/>
      <c r="CW73" s="253"/>
      <c r="CX73" s="253"/>
      <c r="CY73" s="253"/>
      <c r="CZ73" s="253"/>
      <c r="DA73" s="253"/>
      <c r="DB73" s="253"/>
      <c r="DC73" s="253"/>
      <c r="DD73" s="253"/>
      <c r="DE73" s="253"/>
      <c r="DF73" s="253"/>
      <c r="DG73" s="253"/>
      <c r="DH73" s="253"/>
      <c r="DI73" s="253"/>
      <c r="DJ73" s="253"/>
      <c r="DK73" s="253"/>
      <c r="DL73" s="253"/>
      <c r="DM73" s="253"/>
      <c r="DN73" s="253"/>
      <c r="DO73" s="253"/>
      <c r="DP73" s="253"/>
      <c r="DQ73" s="253"/>
      <c r="DR73" s="253"/>
      <c r="DS73" s="253"/>
      <c r="DT73" s="253"/>
      <c r="DU73" s="253"/>
      <c r="DV73" s="253"/>
      <c r="DW73" s="253"/>
      <c r="DX73" s="253"/>
      <c r="DY73" s="253"/>
      <c r="DZ73" s="253"/>
      <c r="EA73" s="253"/>
      <c r="EB73" s="253"/>
      <c r="EC73" s="253"/>
      <c r="ED73" s="253"/>
      <c r="EE73" s="253"/>
      <c r="EF73" s="253"/>
      <c r="EG73" s="253"/>
      <c r="EH73" s="253"/>
      <c r="EI73" s="253"/>
      <c r="EJ73" s="253"/>
      <c r="EK73" s="253"/>
      <c r="EL73" s="253"/>
      <c r="EM73" s="253"/>
      <c r="EN73" s="253"/>
      <c r="EO73" s="253"/>
      <c r="EP73" s="253"/>
      <c r="EQ73" s="253"/>
      <c r="ER73" s="253"/>
      <c r="ES73" s="253"/>
      <c r="ET73" s="253"/>
      <c r="EU73" s="253"/>
      <c r="EV73" s="253"/>
      <c r="EW73" s="253"/>
      <c r="EX73" s="253"/>
      <c r="EY73" s="253"/>
      <c r="EZ73" s="253"/>
      <c r="FA73" s="253"/>
      <c r="FB73" s="253"/>
      <c r="FC73" s="253"/>
      <c r="FD73" s="253"/>
      <c r="FE73" s="253"/>
      <c r="FF73" s="253"/>
      <c r="FG73" s="253"/>
      <c r="FH73" s="253"/>
      <c r="FI73" s="253"/>
      <c r="FJ73" s="253"/>
      <c r="FK73" s="256"/>
      <c r="FL73" s="257" t="s">
        <v>817</v>
      </c>
      <c r="FM73" s="258" t="s">
        <v>389</v>
      </c>
      <c r="FN73" s="258"/>
      <c r="FO73" s="258" t="s">
        <v>423</v>
      </c>
      <c r="FP73" s="259">
        <f t="shared" si="6"/>
        <v>0</v>
      </c>
      <c r="FQ73" s="260" t="s">
        <v>424</v>
      </c>
      <c r="FR73" s="260"/>
    </row>
    <row r="74" spans="1:174">
      <c r="A74" s="251" t="s">
        <v>393</v>
      </c>
      <c r="B74" s="251" t="s">
        <v>385</v>
      </c>
      <c r="C74" s="251" t="s">
        <v>411</v>
      </c>
      <c r="D74" s="251" t="s">
        <v>1</v>
      </c>
      <c r="E74" s="252" t="s">
        <v>440</v>
      </c>
      <c r="F74" s="251" t="s">
        <v>388</v>
      </c>
      <c r="G74" s="251"/>
      <c r="H74" s="253"/>
      <c r="I74" s="253"/>
      <c r="J74" s="253"/>
      <c r="K74" s="253"/>
      <c r="L74" s="253"/>
      <c r="M74" s="253"/>
      <c r="N74" s="253"/>
      <c r="O74" s="255">
        <f>400-400</f>
        <v>0</v>
      </c>
      <c r="P74" s="255">
        <f>400-400</f>
        <v>0</v>
      </c>
      <c r="Q74" s="253"/>
      <c r="R74" s="253"/>
      <c r="S74" s="253"/>
      <c r="T74" s="253"/>
      <c r="U74" s="253"/>
      <c r="V74" s="253"/>
      <c r="W74" s="253"/>
      <c r="X74" s="253"/>
      <c r="Y74" s="253"/>
      <c r="Z74" s="253"/>
      <c r="AA74" s="253"/>
      <c r="AB74" s="255">
        <f>400-400</f>
        <v>0</v>
      </c>
      <c r="AC74" s="255">
        <f>400-400</f>
        <v>0</v>
      </c>
      <c r="AD74" s="253"/>
      <c r="AE74" s="254">
        <f>400-400+10</f>
        <v>10</v>
      </c>
      <c r="AF74" s="253"/>
      <c r="AG74" s="253"/>
      <c r="AH74" s="253"/>
      <c r="AI74" s="253"/>
      <c r="AJ74" s="253"/>
      <c r="AK74" s="253"/>
      <c r="AL74" s="253"/>
      <c r="AM74" s="255">
        <f>600-600</f>
        <v>0</v>
      </c>
      <c r="AN74" s="253"/>
      <c r="AO74" s="253"/>
      <c r="AP74" s="253"/>
      <c r="AQ74" s="253"/>
      <c r="AR74" s="253"/>
      <c r="AS74" s="253"/>
      <c r="AT74" s="253"/>
      <c r="AU74" s="255">
        <f>600-600</f>
        <v>0</v>
      </c>
      <c r="AV74" s="253"/>
      <c r="AW74" s="253"/>
      <c r="AX74" s="253"/>
      <c r="AY74" s="253"/>
      <c r="AZ74" s="253"/>
      <c r="BA74" s="253"/>
      <c r="BB74" s="253"/>
      <c r="BC74" s="253"/>
      <c r="BD74" s="253"/>
      <c r="BE74" s="253"/>
      <c r="BF74" s="253"/>
      <c r="BG74" s="253"/>
      <c r="BH74" s="253"/>
      <c r="BI74" s="253"/>
      <c r="BJ74" s="253"/>
      <c r="BK74" s="253"/>
      <c r="BL74" s="253"/>
      <c r="BM74" s="253"/>
      <c r="BN74" s="253"/>
      <c r="BO74" s="253"/>
      <c r="BP74" s="253"/>
      <c r="BQ74" s="253"/>
      <c r="BR74" s="253"/>
      <c r="BS74" s="253"/>
      <c r="BT74" s="253"/>
      <c r="BU74" s="253"/>
      <c r="BV74" s="253"/>
      <c r="BW74" s="253"/>
      <c r="BX74" s="253"/>
      <c r="BY74" s="253"/>
      <c r="BZ74" s="253"/>
      <c r="CA74" s="253"/>
      <c r="CB74" s="253"/>
      <c r="CC74" s="253"/>
      <c r="CD74" s="253"/>
      <c r="CE74" s="253"/>
      <c r="CF74" s="253"/>
      <c r="CG74" s="253"/>
      <c r="CH74" s="253"/>
      <c r="CI74" s="253"/>
      <c r="CJ74" s="253"/>
      <c r="CK74" s="253"/>
      <c r="CL74" s="253"/>
      <c r="CM74" s="253"/>
      <c r="CN74" s="253"/>
      <c r="CO74" s="253"/>
      <c r="CP74" s="253"/>
      <c r="CQ74" s="253"/>
      <c r="CR74" s="253"/>
      <c r="CS74" s="253"/>
      <c r="CT74" s="253"/>
      <c r="CU74" s="253"/>
      <c r="CV74" s="253"/>
      <c r="CW74" s="253"/>
      <c r="CX74" s="253"/>
      <c r="CY74" s="253"/>
      <c r="CZ74" s="253"/>
      <c r="DA74" s="253"/>
      <c r="DB74" s="253"/>
      <c r="DC74" s="253"/>
      <c r="DD74" s="253"/>
      <c r="DE74" s="253"/>
      <c r="DF74" s="253"/>
      <c r="DG74" s="253"/>
      <c r="DH74" s="253"/>
      <c r="DI74" s="253"/>
      <c r="DJ74" s="253"/>
      <c r="DK74" s="253"/>
      <c r="DL74" s="253"/>
      <c r="DM74" s="253"/>
      <c r="DN74" s="253"/>
      <c r="DO74" s="253"/>
      <c r="DP74" s="253"/>
      <c r="DQ74" s="253"/>
      <c r="DR74" s="253"/>
      <c r="DS74" s="253"/>
      <c r="DT74" s="253"/>
      <c r="DU74" s="253"/>
      <c r="DV74" s="253"/>
      <c r="DW74" s="253"/>
      <c r="DX74" s="253"/>
      <c r="DY74" s="253"/>
      <c r="DZ74" s="253"/>
      <c r="EA74" s="253"/>
      <c r="EB74" s="253"/>
      <c r="EC74" s="253"/>
      <c r="ED74" s="253"/>
      <c r="EE74" s="253"/>
      <c r="EF74" s="253"/>
      <c r="EG74" s="255">
        <f>500-500</f>
        <v>0</v>
      </c>
      <c r="EH74" s="253"/>
      <c r="EI74" s="253"/>
      <c r="EJ74" s="253"/>
      <c r="EK74" s="253"/>
      <c r="EL74" s="253"/>
      <c r="EM74" s="253"/>
      <c r="EN74" s="253"/>
      <c r="EO74" s="253"/>
      <c r="EP74" s="253"/>
      <c r="EQ74" s="253"/>
      <c r="ER74" s="253"/>
      <c r="ES74" s="253"/>
      <c r="ET74" s="253"/>
      <c r="EU74" s="253"/>
      <c r="EV74" s="253"/>
      <c r="EW74" s="253"/>
      <c r="EX74" s="253"/>
      <c r="EY74" s="253"/>
      <c r="EZ74" s="253"/>
      <c r="FA74" s="253"/>
      <c r="FB74" s="253"/>
      <c r="FC74" s="253"/>
      <c r="FD74" s="253"/>
      <c r="FE74" s="253"/>
      <c r="FF74" s="253"/>
      <c r="FG74" s="255">
        <f>300-300</f>
        <v>0</v>
      </c>
      <c r="FH74" s="255">
        <f>300-300</f>
        <v>0</v>
      </c>
      <c r="FI74" s="253"/>
      <c r="FJ74" s="253"/>
      <c r="FK74" s="256"/>
      <c r="FL74" s="257" t="s">
        <v>817</v>
      </c>
      <c r="FM74" s="258" t="s">
        <v>389</v>
      </c>
      <c r="FN74" s="258"/>
      <c r="FO74" s="258" t="s">
        <v>423</v>
      </c>
      <c r="FP74" s="259">
        <f t="shared" si="6"/>
        <v>10</v>
      </c>
      <c r="FQ74" s="260" t="s">
        <v>424</v>
      </c>
      <c r="FR74" s="260"/>
    </row>
    <row r="75" spans="1:174">
      <c r="A75" s="251" t="s">
        <v>393</v>
      </c>
      <c r="B75" s="251" t="s">
        <v>385</v>
      </c>
      <c r="C75" s="251" t="s">
        <v>411</v>
      </c>
      <c r="D75" s="251" t="s">
        <v>293</v>
      </c>
      <c r="E75" s="252" t="s">
        <v>440</v>
      </c>
      <c r="F75" s="251" t="s">
        <v>388</v>
      </c>
      <c r="G75" s="251"/>
      <c r="H75" s="253"/>
      <c r="I75" s="253"/>
      <c r="J75" s="255">
        <f>200-200</f>
        <v>0</v>
      </c>
      <c r="K75" s="253"/>
      <c r="L75" s="253"/>
      <c r="M75" s="253"/>
      <c r="N75" s="253"/>
      <c r="O75" s="253"/>
      <c r="P75" s="253"/>
      <c r="Q75" s="253"/>
      <c r="R75" s="253"/>
      <c r="S75" s="253"/>
      <c r="T75" s="253"/>
      <c r="U75" s="253"/>
      <c r="V75" s="253"/>
      <c r="W75" s="253"/>
      <c r="X75" s="253"/>
      <c r="Y75" s="253"/>
      <c r="Z75" s="253"/>
      <c r="AA75" s="253"/>
      <c r="AB75" s="253"/>
      <c r="AC75" s="253"/>
      <c r="AD75" s="253"/>
      <c r="AE75" s="253"/>
      <c r="AF75" s="253"/>
      <c r="AG75" s="253"/>
      <c r="AH75" s="253"/>
      <c r="AI75" s="253"/>
      <c r="AJ75" s="253"/>
      <c r="AK75" s="253"/>
      <c r="AL75" s="253"/>
      <c r="AM75" s="253"/>
      <c r="AN75" s="253"/>
      <c r="AO75" s="253"/>
      <c r="AP75" s="253"/>
      <c r="AQ75" s="253"/>
      <c r="AR75" s="253"/>
      <c r="AS75" s="253"/>
      <c r="AT75" s="253"/>
      <c r="AU75" s="253"/>
      <c r="AV75" s="253"/>
      <c r="AW75" s="253"/>
      <c r="AX75" s="253"/>
      <c r="AY75" s="253"/>
      <c r="AZ75" s="253"/>
      <c r="BA75" s="253"/>
      <c r="BB75" s="253"/>
      <c r="BC75" s="253"/>
      <c r="BD75" s="253"/>
      <c r="BE75" s="253"/>
      <c r="BF75" s="253"/>
      <c r="BG75" s="253"/>
      <c r="BH75" s="253"/>
      <c r="BI75" s="253"/>
      <c r="BJ75" s="253"/>
      <c r="BK75" s="253"/>
      <c r="BL75" s="253"/>
      <c r="BM75" s="253"/>
      <c r="BN75" s="253"/>
      <c r="BO75" s="253"/>
      <c r="BP75" s="253"/>
      <c r="BQ75" s="253"/>
      <c r="BR75" s="253"/>
      <c r="BS75" s="253"/>
      <c r="BT75" s="253"/>
      <c r="BU75" s="253"/>
      <c r="BV75" s="253"/>
      <c r="BW75" s="253"/>
      <c r="BX75" s="253"/>
      <c r="BY75" s="253"/>
      <c r="BZ75" s="253"/>
      <c r="CA75" s="253"/>
      <c r="CB75" s="253"/>
      <c r="CC75" s="253"/>
      <c r="CD75" s="253"/>
      <c r="CE75" s="253"/>
      <c r="CF75" s="253"/>
      <c r="CG75" s="253"/>
      <c r="CH75" s="253"/>
      <c r="CI75" s="253"/>
      <c r="CJ75" s="253"/>
      <c r="CK75" s="253"/>
      <c r="CL75" s="253"/>
      <c r="CM75" s="253"/>
      <c r="CN75" s="253"/>
      <c r="CO75" s="253"/>
      <c r="CP75" s="253"/>
      <c r="CQ75" s="253"/>
      <c r="CR75" s="253"/>
      <c r="CS75" s="253"/>
      <c r="CT75" s="253"/>
      <c r="CU75" s="253"/>
      <c r="CV75" s="253"/>
      <c r="CW75" s="253"/>
      <c r="CX75" s="253"/>
      <c r="CY75" s="253"/>
      <c r="CZ75" s="253"/>
      <c r="DA75" s="253"/>
      <c r="DB75" s="253"/>
      <c r="DC75" s="253"/>
      <c r="DD75" s="253"/>
      <c r="DE75" s="253"/>
      <c r="DF75" s="253"/>
      <c r="DG75" s="253"/>
      <c r="DH75" s="253"/>
      <c r="DI75" s="253"/>
      <c r="DJ75" s="253"/>
      <c r="DK75" s="253"/>
      <c r="DL75" s="253"/>
      <c r="DM75" s="253"/>
      <c r="DN75" s="253"/>
      <c r="DO75" s="253"/>
      <c r="DP75" s="253"/>
      <c r="DQ75" s="253"/>
      <c r="DR75" s="253"/>
      <c r="DS75" s="253"/>
      <c r="DT75" s="253"/>
      <c r="DU75" s="253"/>
      <c r="DV75" s="253"/>
      <c r="DW75" s="253"/>
      <c r="DX75" s="253"/>
      <c r="DY75" s="253"/>
      <c r="DZ75" s="253"/>
      <c r="EA75" s="253"/>
      <c r="EB75" s="253"/>
      <c r="EC75" s="253"/>
      <c r="ED75" s="253"/>
      <c r="EE75" s="253"/>
      <c r="EF75" s="253"/>
      <c r="EG75" s="253"/>
      <c r="EH75" s="253"/>
      <c r="EI75" s="253"/>
      <c r="EJ75" s="253"/>
      <c r="EK75" s="253"/>
      <c r="EL75" s="253"/>
      <c r="EM75" s="253"/>
      <c r="EN75" s="253"/>
      <c r="EO75" s="253"/>
      <c r="EP75" s="253"/>
      <c r="EQ75" s="253"/>
      <c r="ER75" s="253"/>
      <c r="ES75" s="253"/>
      <c r="ET75" s="253"/>
      <c r="EU75" s="253"/>
      <c r="EV75" s="253"/>
      <c r="EW75" s="253"/>
      <c r="EX75" s="253"/>
      <c r="EY75" s="253"/>
      <c r="EZ75" s="253"/>
      <c r="FA75" s="253"/>
      <c r="FB75" s="253"/>
      <c r="FC75" s="253"/>
      <c r="FD75" s="253"/>
      <c r="FE75" s="253"/>
      <c r="FF75" s="253"/>
      <c r="FG75" s="253"/>
      <c r="FH75" s="253"/>
      <c r="FI75" s="253"/>
      <c r="FJ75" s="253"/>
      <c r="FK75" s="256"/>
      <c r="FL75" s="257" t="s">
        <v>817</v>
      </c>
      <c r="FM75" s="258" t="s">
        <v>389</v>
      </c>
      <c r="FN75" s="258"/>
      <c r="FO75" s="258" t="s">
        <v>423</v>
      </c>
      <c r="FP75" s="259">
        <f t="shared" si="6"/>
        <v>0</v>
      </c>
      <c r="FQ75" s="260" t="s">
        <v>424</v>
      </c>
      <c r="FR75" s="260"/>
    </row>
    <row r="76" spans="1:174">
      <c r="A76" s="251" t="s">
        <v>393</v>
      </c>
      <c r="B76" s="251" t="s">
        <v>385</v>
      </c>
      <c r="C76" s="251" t="s">
        <v>411</v>
      </c>
      <c r="D76" s="251" t="s">
        <v>291</v>
      </c>
      <c r="E76" s="252" t="s">
        <v>441</v>
      </c>
      <c r="F76" s="251" t="s">
        <v>388</v>
      </c>
      <c r="G76" s="251"/>
      <c r="H76" s="253"/>
      <c r="I76" s="253"/>
      <c r="J76" s="253"/>
      <c r="K76" s="253"/>
      <c r="L76" s="253"/>
      <c r="M76" s="253"/>
      <c r="N76" s="255">
        <f>60-60</f>
        <v>0</v>
      </c>
      <c r="O76" s="253"/>
      <c r="P76" s="253"/>
      <c r="Q76" s="255">
        <f>100-100</f>
        <v>0</v>
      </c>
      <c r="R76" s="253"/>
      <c r="S76" s="253"/>
      <c r="T76" s="255">
        <f>20-20</f>
        <v>0</v>
      </c>
      <c r="U76" s="253"/>
      <c r="V76" s="253"/>
      <c r="W76" s="253"/>
      <c r="X76" s="253"/>
      <c r="Y76" s="253"/>
      <c r="Z76" s="253"/>
      <c r="AA76" s="253"/>
      <c r="AB76" s="253"/>
      <c r="AC76" s="253"/>
      <c r="AD76" s="254">
        <f>0+20</f>
        <v>20</v>
      </c>
      <c r="AE76" s="253"/>
      <c r="AF76" s="253"/>
      <c r="AG76" s="255">
        <f>200-200</f>
        <v>0</v>
      </c>
      <c r="AH76" s="255">
        <f>200-200</f>
        <v>0</v>
      </c>
      <c r="AI76" s="253"/>
      <c r="AJ76" s="253"/>
      <c r="AK76" s="253"/>
      <c r="AL76" s="253"/>
      <c r="AM76" s="253"/>
      <c r="AN76" s="253"/>
      <c r="AO76" s="254">
        <f>100-100+9</f>
        <v>9</v>
      </c>
      <c r="AP76" s="253"/>
      <c r="AQ76" s="253"/>
      <c r="AR76" s="253"/>
      <c r="AS76" s="253"/>
      <c r="AT76" s="253"/>
      <c r="AU76" s="253"/>
      <c r="AV76" s="253"/>
      <c r="AW76" s="253"/>
      <c r="AX76" s="253"/>
      <c r="AY76" s="253"/>
      <c r="AZ76" s="253"/>
      <c r="BA76" s="253"/>
      <c r="BB76" s="253"/>
      <c r="BC76" s="253"/>
      <c r="BD76" s="253"/>
      <c r="BE76" s="253"/>
      <c r="BF76" s="255">
        <f>100-100</f>
        <v>0</v>
      </c>
      <c r="BG76" s="253"/>
      <c r="BH76" s="253"/>
      <c r="BI76" s="253"/>
      <c r="BJ76" s="253"/>
      <c r="BK76" s="253"/>
      <c r="BL76" s="253"/>
      <c r="BM76" s="253"/>
      <c r="BN76" s="253"/>
      <c r="BO76" s="253"/>
      <c r="BP76" s="253"/>
      <c r="BQ76" s="253"/>
      <c r="BR76" s="253"/>
      <c r="BS76" s="253"/>
      <c r="BT76" s="253"/>
      <c r="BU76" s="253"/>
      <c r="BV76" s="253"/>
      <c r="BW76" s="253"/>
      <c r="BX76" s="253"/>
      <c r="BY76" s="253"/>
      <c r="BZ76" s="253"/>
      <c r="CA76" s="253"/>
      <c r="CB76" s="253"/>
      <c r="CC76" s="253"/>
      <c r="CD76" s="253"/>
      <c r="CE76" s="253"/>
      <c r="CF76" s="253"/>
      <c r="CG76" s="253"/>
      <c r="CH76" s="253"/>
      <c r="CI76" s="253"/>
      <c r="CJ76" s="253"/>
      <c r="CK76" s="253"/>
      <c r="CL76" s="253"/>
      <c r="CM76" s="253"/>
      <c r="CN76" s="253"/>
      <c r="CO76" s="253"/>
      <c r="CP76" s="253"/>
      <c r="CQ76" s="253"/>
      <c r="CR76" s="253"/>
      <c r="CS76" s="253"/>
      <c r="CT76" s="253"/>
      <c r="CU76" s="253"/>
      <c r="CV76" s="253"/>
      <c r="CW76" s="253"/>
      <c r="CX76" s="253"/>
      <c r="CY76" s="253"/>
      <c r="CZ76" s="253"/>
      <c r="DA76" s="253"/>
      <c r="DB76" s="253"/>
      <c r="DC76" s="253"/>
      <c r="DD76" s="253"/>
      <c r="DE76" s="253"/>
      <c r="DF76" s="253"/>
      <c r="DG76" s="253"/>
      <c r="DH76" s="253"/>
      <c r="DI76" s="253"/>
      <c r="DJ76" s="253"/>
      <c r="DK76" s="253"/>
      <c r="DL76" s="253"/>
      <c r="DM76" s="253"/>
      <c r="DN76" s="253"/>
      <c r="DO76" s="253"/>
      <c r="DP76" s="253"/>
      <c r="DQ76" s="253"/>
      <c r="DR76" s="253"/>
      <c r="DS76" s="253"/>
      <c r="DT76" s="253"/>
      <c r="DU76" s="253"/>
      <c r="DV76" s="253"/>
      <c r="DW76" s="253"/>
      <c r="DX76" s="253"/>
      <c r="DY76" s="253"/>
      <c r="DZ76" s="253"/>
      <c r="EA76" s="253"/>
      <c r="EB76" s="253"/>
      <c r="EC76" s="253"/>
      <c r="ED76" s="253"/>
      <c r="EE76" s="253"/>
      <c r="EF76" s="253"/>
      <c r="EG76" s="253"/>
      <c r="EH76" s="253"/>
      <c r="EI76" s="253"/>
      <c r="EJ76" s="253"/>
      <c r="EK76" s="253"/>
      <c r="EL76" s="253"/>
      <c r="EM76" s="253"/>
      <c r="EN76" s="253"/>
      <c r="EO76" s="253"/>
      <c r="EP76" s="253"/>
      <c r="EQ76" s="253"/>
      <c r="ER76" s="253"/>
      <c r="ES76" s="253"/>
      <c r="ET76" s="253"/>
      <c r="EU76" s="253"/>
      <c r="EV76" s="253"/>
      <c r="EW76" s="253"/>
      <c r="EX76" s="253"/>
      <c r="EY76" s="253"/>
      <c r="EZ76" s="253"/>
      <c r="FA76" s="253"/>
      <c r="FB76" s="253"/>
      <c r="FC76" s="253"/>
      <c r="FD76" s="253"/>
      <c r="FE76" s="253"/>
      <c r="FF76" s="253"/>
      <c r="FG76" s="253"/>
      <c r="FH76" s="253"/>
      <c r="FI76" s="253"/>
      <c r="FJ76" s="253"/>
      <c r="FK76" s="256"/>
      <c r="FL76" s="257" t="s">
        <v>817</v>
      </c>
      <c r="FM76" s="258" t="s">
        <v>389</v>
      </c>
      <c r="FN76" s="258"/>
      <c r="FO76" s="258" t="s">
        <v>423</v>
      </c>
      <c r="FP76" s="259">
        <f t="shared" si="6"/>
        <v>29</v>
      </c>
      <c r="FQ76" s="260" t="s">
        <v>424</v>
      </c>
      <c r="FR76" s="260"/>
    </row>
    <row r="77" spans="1:174">
      <c r="A77" s="251" t="s">
        <v>393</v>
      </c>
      <c r="B77" s="251" t="s">
        <v>385</v>
      </c>
      <c r="C77" s="251" t="s">
        <v>411</v>
      </c>
      <c r="D77" s="251" t="s">
        <v>1</v>
      </c>
      <c r="E77" s="252" t="s">
        <v>441</v>
      </c>
      <c r="F77" s="251" t="s">
        <v>388</v>
      </c>
      <c r="G77" s="251"/>
      <c r="H77" s="253"/>
      <c r="I77" s="253"/>
      <c r="J77" s="253"/>
      <c r="K77" s="253"/>
      <c r="L77" s="253"/>
      <c r="M77" s="253"/>
      <c r="N77" s="254">
        <f>0+20</f>
        <v>20</v>
      </c>
      <c r="O77" s="255">
        <f>60-60</f>
        <v>0</v>
      </c>
      <c r="P77" s="255">
        <f>60-60</f>
        <v>0</v>
      </c>
      <c r="Q77" s="253"/>
      <c r="R77" s="253"/>
      <c r="S77" s="255">
        <f>20-20</f>
        <v>0</v>
      </c>
      <c r="T77" s="253"/>
      <c r="U77" s="255">
        <f>100-100</f>
        <v>0</v>
      </c>
      <c r="V77" s="255">
        <f>100-100</f>
        <v>0</v>
      </c>
      <c r="W77" s="253"/>
      <c r="X77" s="253"/>
      <c r="Y77" s="255">
        <f>100-100</f>
        <v>0</v>
      </c>
      <c r="Z77" s="255">
        <f>100-100</f>
        <v>0</v>
      </c>
      <c r="AA77" s="255">
        <f>200-200</f>
        <v>0</v>
      </c>
      <c r="AB77" s="255">
        <f>200-200</f>
        <v>0</v>
      </c>
      <c r="AC77" s="255">
        <f>100-100</f>
        <v>0</v>
      </c>
      <c r="AD77" s="255">
        <f>100-100</f>
        <v>0</v>
      </c>
      <c r="AE77" s="255">
        <f>200-200</f>
        <v>0</v>
      </c>
      <c r="AF77" s="255">
        <f>100-100</f>
        <v>0</v>
      </c>
      <c r="AG77" s="253"/>
      <c r="AH77" s="253"/>
      <c r="AI77" s="255">
        <f>100-100</f>
        <v>0</v>
      </c>
      <c r="AJ77" s="253"/>
      <c r="AK77" s="253"/>
      <c r="AL77" s="253"/>
      <c r="AM77" s="255">
        <f>100-100</f>
        <v>0</v>
      </c>
      <c r="AN77" s="253"/>
      <c r="AO77" s="253"/>
      <c r="AP77" s="253"/>
      <c r="AQ77" s="253"/>
      <c r="AR77" s="253"/>
      <c r="AS77" s="253"/>
      <c r="AT77" s="253"/>
      <c r="AU77" s="255">
        <f>400-400</f>
        <v>0</v>
      </c>
      <c r="AV77" s="253"/>
      <c r="AW77" s="253"/>
      <c r="AX77" s="253"/>
      <c r="AY77" s="253"/>
      <c r="AZ77" s="253"/>
      <c r="BA77" s="253"/>
      <c r="BB77" s="255">
        <f>100-100</f>
        <v>0</v>
      </c>
      <c r="BC77" s="253"/>
      <c r="BD77" s="253"/>
      <c r="BE77" s="253"/>
      <c r="BF77" s="253"/>
      <c r="BG77" s="253"/>
      <c r="BH77" s="253"/>
      <c r="BI77" s="253"/>
      <c r="BJ77" s="253"/>
      <c r="BK77" s="253"/>
      <c r="BL77" s="253"/>
      <c r="BM77" s="253"/>
      <c r="BN77" s="253"/>
      <c r="BO77" s="253"/>
      <c r="BP77" s="253"/>
      <c r="BQ77" s="253"/>
      <c r="BR77" s="253"/>
      <c r="BS77" s="253"/>
      <c r="BT77" s="253"/>
      <c r="BU77" s="253"/>
      <c r="BV77" s="253"/>
      <c r="BW77" s="253"/>
      <c r="BX77" s="253"/>
      <c r="BY77" s="253"/>
      <c r="BZ77" s="253"/>
      <c r="CA77" s="253"/>
      <c r="CB77" s="253"/>
      <c r="CC77" s="253"/>
      <c r="CD77" s="253"/>
      <c r="CE77" s="253"/>
      <c r="CF77" s="253"/>
      <c r="CG77" s="253"/>
      <c r="CH77" s="253"/>
      <c r="CI77" s="253"/>
      <c r="CJ77" s="253"/>
      <c r="CK77" s="253"/>
      <c r="CL77" s="253"/>
      <c r="CM77" s="253"/>
      <c r="CN77" s="253"/>
      <c r="CO77" s="253"/>
      <c r="CP77" s="253"/>
      <c r="CQ77" s="253"/>
      <c r="CR77" s="253"/>
      <c r="CS77" s="253"/>
      <c r="CT77" s="253"/>
      <c r="CU77" s="253"/>
      <c r="CV77" s="253"/>
      <c r="CW77" s="253"/>
      <c r="CX77" s="253"/>
      <c r="CY77" s="253"/>
      <c r="CZ77" s="253"/>
      <c r="DA77" s="253"/>
      <c r="DB77" s="253"/>
      <c r="DC77" s="253"/>
      <c r="DD77" s="253"/>
      <c r="DE77" s="253"/>
      <c r="DF77" s="253"/>
      <c r="DG77" s="253"/>
      <c r="DH77" s="253"/>
      <c r="DI77" s="253"/>
      <c r="DJ77" s="253"/>
      <c r="DK77" s="253"/>
      <c r="DL77" s="253"/>
      <c r="DM77" s="253"/>
      <c r="DN77" s="253"/>
      <c r="DO77" s="253"/>
      <c r="DP77" s="253"/>
      <c r="DQ77" s="253"/>
      <c r="DR77" s="253"/>
      <c r="DS77" s="253"/>
      <c r="DT77" s="253"/>
      <c r="DU77" s="253"/>
      <c r="DV77" s="253"/>
      <c r="DW77" s="253"/>
      <c r="DX77" s="253"/>
      <c r="DY77" s="253"/>
      <c r="DZ77" s="253"/>
      <c r="EA77" s="253"/>
      <c r="EB77" s="255">
        <f>50-50</f>
        <v>0</v>
      </c>
      <c r="EC77" s="255">
        <f>50-50</f>
        <v>0</v>
      </c>
      <c r="ED77" s="253"/>
      <c r="EE77" s="253"/>
      <c r="EF77" s="255">
        <f>100-100</f>
        <v>0</v>
      </c>
      <c r="EG77" s="255">
        <f>50-50</f>
        <v>0</v>
      </c>
      <c r="EH77" s="253"/>
      <c r="EI77" s="253"/>
      <c r="EJ77" s="253"/>
      <c r="EK77" s="255">
        <f>50-50</f>
        <v>0</v>
      </c>
      <c r="EL77" s="255">
        <f>50-50</f>
        <v>0</v>
      </c>
      <c r="EM77" s="255">
        <f>50-50</f>
        <v>0</v>
      </c>
      <c r="EN77" s="255">
        <f>50-50</f>
        <v>0</v>
      </c>
      <c r="EO77" s="255">
        <f>50-50</f>
        <v>0</v>
      </c>
      <c r="EP77" s="253"/>
      <c r="EQ77" s="253"/>
      <c r="ER77" s="253"/>
      <c r="ES77" s="253"/>
      <c r="ET77" s="253"/>
      <c r="EU77" s="253"/>
      <c r="EV77" s="253"/>
      <c r="EW77" s="253"/>
      <c r="EX77" s="253"/>
      <c r="EY77" s="253"/>
      <c r="EZ77" s="253"/>
      <c r="FA77" s="253"/>
      <c r="FB77" s="253"/>
      <c r="FC77" s="253"/>
      <c r="FD77" s="253"/>
      <c r="FE77" s="253"/>
      <c r="FF77" s="253"/>
      <c r="FG77" s="253"/>
      <c r="FH77" s="253"/>
      <c r="FI77" s="253"/>
      <c r="FJ77" s="253"/>
      <c r="FK77" s="256"/>
      <c r="FL77" s="257" t="s">
        <v>817</v>
      </c>
      <c r="FM77" s="258" t="s">
        <v>389</v>
      </c>
      <c r="FN77" s="258"/>
      <c r="FO77" s="258" t="s">
        <v>423</v>
      </c>
      <c r="FP77" s="259">
        <f t="shared" si="6"/>
        <v>20</v>
      </c>
      <c r="FQ77" s="260" t="s">
        <v>424</v>
      </c>
      <c r="FR77" s="260"/>
    </row>
    <row r="78" spans="1:174">
      <c r="A78" s="251" t="s">
        <v>393</v>
      </c>
      <c r="B78" s="251" t="s">
        <v>385</v>
      </c>
      <c r="C78" s="251" t="s">
        <v>411</v>
      </c>
      <c r="D78" s="251" t="s">
        <v>291</v>
      </c>
      <c r="E78" s="252" t="s">
        <v>849</v>
      </c>
      <c r="F78" s="251" t="s">
        <v>388</v>
      </c>
      <c r="G78" s="251"/>
      <c r="H78" s="253"/>
      <c r="I78" s="255">
        <f>30-30</f>
        <v>0</v>
      </c>
      <c r="J78" s="253"/>
      <c r="K78" s="255">
        <f>30-30</f>
        <v>0</v>
      </c>
      <c r="L78" s="253"/>
      <c r="M78" s="253"/>
      <c r="N78" s="255">
        <f>50-50</f>
        <v>0</v>
      </c>
      <c r="O78" s="253"/>
      <c r="P78" s="253"/>
      <c r="Q78" s="255">
        <f>50-50</f>
        <v>0</v>
      </c>
      <c r="R78" s="253"/>
      <c r="S78" s="253"/>
      <c r="T78" s="253"/>
      <c r="U78" s="253"/>
      <c r="V78" s="253"/>
      <c r="W78" s="253"/>
      <c r="X78" s="253"/>
      <c r="Y78" s="253"/>
      <c r="Z78" s="253"/>
      <c r="AA78" s="253"/>
      <c r="AB78" s="253"/>
      <c r="AC78" s="253"/>
      <c r="AD78" s="253"/>
      <c r="AE78" s="253"/>
      <c r="AF78" s="253"/>
      <c r="AG78" s="255">
        <f>50-50</f>
        <v>0</v>
      </c>
      <c r="AH78" s="255">
        <f>50-50</f>
        <v>0</v>
      </c>
      <c r="AI78" s="253"/>
      <c r="AJ78" s="253"/>
      <c r="AK78" s="253"/>
      <c r="AL78" s="253"/>
      <c r="AM78" s="253"/>
      <c r="AN78" s="253"/>
      <c r="AO78" s="253"/>
      <c r="AP78" s="253"/>
      <c r="AQ78" s="255">
        <f>50-50</f>
        <v>0</v>
      </c>
      <c r="AR78" s="255">
        <f>50-50</f>
        <v>0</v>
      </c>
      <c r="AS78" s="253"/>
      <c r="AT78" s="253"/>
      <c r="AU78" s="253"/>
      <c r="AV78" s="253"/>
      <c r="AW78" s="253"/>
      <c r="AX78" s="253"/>
      <c r="AY78" s="253"/>
      <c r="AZ78" s="253"/>
      <c r="BA78" s="253"/>
      <c r="BB78" s="253"/>
      <c r="BC78" s="253"/>
      <c r="BD78" s="253"/>
      <c r="BE78" s="253"/>
      <c r="BF78" s="255">
        <f>50-50</f>
        <v>0</v>
      </c>
      <c r="BG78" s="253"/>
      <c r="BH78" s="253"/>
      <c r="BI78" s="253"/>
      <c r="BJ78" s="253"/>
      <c r="BK78" s="253"/>
      <c r="BL78" s="253"/>
      <c r="BM78" s="253"/>
      <c r="BN78" s="253"/>
      <c r="BO78" s="253"/>
      <c r="BP78" s="253"/>
      <c r="BQ78" s="253"/>
      <c r="BR78" s="253"/>
      <c r="BS78" s="253"/>
      <c r="BT78" s="253"/>
      <c r="BU78" s="253"/>
      <c r="BV78" s="253"/>
      <c r="BW78" s="253"/>
      <c r="BX78" s="253"/>
      <c r="BY78" s="253"/>
      <c r="BZ78" s="253"/>
      <c r="CA78" s="253"/>
      <c r="CB78" s="253"/>
      <c r="CC78" s="253"/>
      <c r="CD78" s="253"/>
      <c r="CE78" s="253"/>
      <c r="CF78" s="253"/>
      <c r="CG78" s="253"/>
      <c r="CH78" s="253"/>
      <c r="CI78" s="253"/>
      <c r="CJ78" s="253"/>
      <c r="CK78" s="253"/>
      <c r="CL78" s="253"/>
      <c r="CM78" s="253"/>
      <c r="CN78" s="253"/>
      <c r="CO78" s="253"/>
      <c r="CP78" s="253"/>
      <c r="CQ78" s="253"/>
      <c r="CR78" s="253"/>
      <c r="CS78" s="253"/>
      <c r="CT78" s="253"/>
      <c r="CU78" s="253"/>
      <c r="CV78" s="253"/>
      <c r="CW78" s="253"/>
      <c r="CX78" s="253"/>
      <c r="CY78" s="253"/>
      <c r="CZ78" s="253"/>
      <c r="DA78" s="253"/>
      <c r="DB78" s="253"/>
      <c r="DC78" s="253"/>
      <c r="DD78" s="253"/>
      <c r="DE78" s="253"/>
      <c r="DF78" s="253"/>
      <c r="DG78" s="253"/>
      <c r="DH78" s="253"/>
      <c r="DI78" s="253"/>
      <c r="DJ78" s="253"/>
      <c r="DK78" s="253"/>
      <c r="DL78" s="253"/>
      <c r="DM78" s="253"/>
      <c r="DN78" s="253"/>
      <c r="DO78" s="253"/>
      <c r="DP78" s="253"/>
      <c r="DQ78" s="253"/>
      <c r="DR78" s="253"/>
      <c r="DS78" s="253"/>
      <c r="DT78" s="253"/>
      <c r="DU78" s="253"/>
      <c r="DV78" s="253"/>
      <c r="DW78" s="253"/>
      <c r="DX78" s="253"/>
      <c r="DY78" s="253"/>
      <c r="DZ78" s="253"/>
      <c r="EA78" s="253"/>
      <c r="EB78" s="253"/>
      <c r="EC78" s="253"/>
      <c r="ED78" s="253"/>
      <c r="EE78" s="253"/>
      <c r="EF78" s="253"/>
      <c r="EG78" s="253"/>
      <c r="EH78" s="253"/>
      <c r="EI78" s="253"/>
      <c r="EJ78" s="253"/>
      <c r="EK78" s="253"/>
      <c r="EL78" s="253"/>
      <c r="EM78" s="253"/>
      <c r="EN78" s="253"/>
      <c r="EO78" s="253"/>
      <c r="EP78" s="253"/>
      <c r="EQ78" s="253"/>
      <c r="ER78" s="253"/>
      <c r="ES78" s="253"/>
      <c r="ET78" s="253"/>
      <c r="EU78" s="253"/>
      <c r="EV78" s="253"/>
      <c r="EW78" s="253"/>
      <c r="EX78" s="253"/>
      <c r="EY78" s="253"/>
      <c r="EZ78" s="253"/>
      <c r="FA78" s="253"/>
      <c r="FB78" s="253"/>
      <c r="FC78" s="253"/>
      <c r="FD78" s="253"/>
      <c r="FE78" s="253"/>
      <c r="FF78" s="253"/>
      <c r="FG78" s="253"/>
      <c r="FH78" s="253"/>
      <c r="FI78" s="253"/>
      <c r="FJ78" s="253"/>
      <c r="FK78" s="256"/>
      <c r="FL78" s="257" t="s">
        <v>817</v>
      </c>
      <c r="FM78" s="258" t="s">
        <v>389</v>
      </c>
      <c r="FN78" s="258"/>
      <c r="FO78" s="258" t="s">
        <v>429</v>
      </c>
      <c r="FP78" s="259">
        <f t="shared" si="6"/>
        <v>0</v>
      </c>
      <c r="FQ78" s="260" t="s">
        <v>414</v>
      </c>
      <c r="FR78" s="260"/>
    </row>
    <row r="79" spans="1:174">
      <c r="A79" s="251" t="s">
        <v>393</v>
      </c>
      <c r="B79" s="251" t="s">
        <v>385</v>
      </c>
      <c r="C79" s="251" t="s">
        <v>411</v>
      </c>
      <c r="D79" s="251" t="s">
        <v>1</v>
      </c>
      <c r="E79" s="252" t="s">
        <v>849</v>
      </c>
      <c r="F79" s="251" t="s">
        <v>388</v>
      </c>
      <c r="G79" s="251"/>
      <c r="H79" s="253"/>
      <c r="I79" s="253"/>
      <c r="J79" s="253"/>
      <c r="K79" s="253"/>
      <c r="L79" s="253"/>
      <c r="M79" s="255">
        <f>50-50</f>
        <v>0</v>
      </c>
      <c r="N79" s="254">
        <f>0+20</f>
        <v>20</v>
      </c>
      <c r="O79" s="255">
        <f>50-50</f>
        <v>0</v>
      </c>
      <c r="P79" s="255">
        <f>50-50</f>
        <v>0</v>
      </c>
      <c r="Q79" s="253"/>
      <c r="R79" s="253"/>
      <c r="S79" s="253"/>
      <c r="T79" s="253"/>
      <c r="U79" s="255">
        <f>50-50</f>
        <v>0</v>
      </c>
      <c r="V79" s="255">
        <f>50-50</f>
        <v>0</v>
      </c>
      <c r="W79" s="253"/>
      <c r="X79" s="253"/>
      <c r="Y79" s="255">
        <f>50-50</f>
        <v>0</v>
      </c>
      <c r="Z79" s="255">
        <f>50-50</f>
        <v>0</v>
      </c>
      <c r="AA79" s="253"/>
      <c r="AB79" s="255">
        <f>50-50</f>
        <v>0</v>
      </c>
      <c r="AC79" s="255">
        <f>50-50</f>
        <v>0</v>
      </c>
      <c r="AD79" s="255">
        <f>50-50</f>
        <v>0</v>
      </c>
      <c r="AE79" s="254">
        <f>50-50+10</f>
        <v>10</v>
      </c>
      <c r="AF79" s="255">
        <f>50-50</f>
        <v>0</v>
      </c>
      <c r="AG79" s="253"/>
      <c r="AH79" s="253"/>
      <c r="AI79" s="255">
        <f>50-50</f>
        <v>0</v>
      </c>
      <c r="AJ79" s="253"/>
      <c r="AK79" s="253"/>
      <c r="AL79" s="253"/>
      <c r="AM79" s="255">
        <f>50-50</f>
        <v>0</v>
      </c>
      <c r="AN79" s="253"/>
      <c r="AO79" s="253"/>
      <c r="AP79" s="253"/>
      <c r="AQ79" s="253"/>
      <c r="AR79" s="253"/>
      <c r="AS79" s="253"/>
      <c r="AT79" s="253"/>
      <c r="AU79" s="255">
        <f>50-50</f>
        <v>0</v>
      </c>
      <c r="AV79" s="253"/>
      <c r="AW79" s="253"/>
      <c r="AX79" s="253"/>
      <c r="AY79" s="253"/>
      <c r="AZ79" s="253"/>
      <c r="BA79" s="253"/>
      <c r="BB79" s="255">
        <f>50-50</f>
        <v>0</v>
      </c>
      <c r="BC79" s="253"/>
      <c r="BD79" s="253"/>
      <c r="BE79" s="253"/>
      <c r="BF79" s="253"/>
      <c r="BG79" s="255">
        <f>50-50</f>
        <v>0</v>
      </c>
      <c r="BH79" s="253"/>
      <c r="BI79" s="253"/>
      <c r="BJ79" s="253"/>
      <c r="BK79" s="253"/>
      <c r="BL79" s="253"/>
      <c r="BM79" s="253"/>
      <c r="BN79" s="253"/>
      <c r="BO79" s="253"/>
      <c r="BP79" s="253"/>
      <c r="BQ79" s="253"/>
      <c r="BR79" s="253"/>
      <c r="BS79" s="253"/>
      <c r="BT79" s="253"/>
      <c r="BU79" s="253"/>
      <c r="BV79" s="253"/>
      <c r="BW79" s="253"/>
      <c r="BX79" s="253"/>
      <c r="BY79" s="253"/>
      <c r="BZ79" s="253"/>
      <c r="CA79" s="253"/>
      <c r="CB79" s="253"/>
      <c r="CC79" s="253"/>
      <c r="CD79" s="253"/>
      <c r="CE79" s="253"/>
      <c r="CF79" s="253"/>
      <c r="CG79" s="253"/>
      <c r="CH79" s="253"/>
      <c r="CI79" s="253"/>
      <c r="CJ79" s="253"/>
      <c r="CK79" s="253"/>
      <c r="CL79" s="253"/>
      <c r="CM79" s="253"/>
      <c r="CN79" s="253"/>
      <c r="CO79" s="253"/>
      <c r="CP79" s="253"/>
      <c r="CQ79" s="253"/>
      <c r="CR79" s="253"/>
      <c r="CS79" s="253"/>
      <c r="CT79" s="253"/>
      <c r="CU79" s="253"/>
      <c r="CV79" s="253"/>
      <c r="CW79" s="253"/>
      <c r="CX79" s="253"/>
      <c r="CY79" s="253"/>
      <c r="CZ79" s="253"/>
      <c r="DA79" s="253"/>
      <c r="DB79" s="253"/>
      <c r="DC79" s="253"/>
      <c r="DD79" s="253"/>
      <c r="DE79" s="253"/>
      <c r="DF79" s="253"/>
      <c r="DG79" s="253"/>
      <c r="DH79" s="253"/>
      <c r="DI79" s="253"/>
      <c r="DJ79" s="253"/>
      <c r="DK79" s="253"/>
      <c r="DL79" s="253"/>
      <c r="DM79" s="253"/>
      <c r="DN79" s="253"/>
      <c r="DO79" s="253"/>
      <c r="DP79" s="253"/>
      <c r="DQ79" s="253"/>
      <c r="DR79" s="253"/>
      <c r="DS79" s="253"/>
      <c r="DT79" s="253"/>
      <c r="DU79" s="253"/>
      <c r="DV79" s="253"/>
      <c r="DW79" s="253"/>
      <c r="DX79" s="253"/>
      <c r="DY79" s="253"/>
      <c r="DZ79" s="253"/>
      <c r="EA79" s="253"/>
      <c r="EB79" s="255">
        <f>50-50</f>
        <v>0</v>
      </c>
      <c r="EC79" s="255">
        <f>50-50</f>
        <v>0</v>
      </c>
      <c r="ED79" s="253"/>
      <c r="EE79" s="253"/>
      <c r="EF79" s="255">
        <f t="shared" ref="EF79:EO79" si="7">50-50</f>
        <v>0</v>
      </c>
      <c r="EG79" s="255">
        <f t="shared" si="7"/>
        <v>0</v>
      </c>
      <c r="EH79" s="255">
        <f t="shared" si="7"/>
        <v>0</v>
      </c>
      <c r="EI79" s="255">
        <f t="shared" si="7"/>
        <v>0</v>
      </c>
      <c r="EJ79" s="255">
        <f t="shared" si="7"/>
        <v>0</v>
      </c>
      <c r="EK79" s="255">
        <f t="shared" si="7"/>
        <v>0</v>
      </c>
      <c r="EL79" s="255">
        <f t="shared" si="7"/>
        <v>0</v>
      </c>
      <c r="EM79" s="255">
        <f t="shared" si="7"/>
        <v>0</v>
      </c>
      <c r="EN79" s="255">
        <f t="shared" si="7"/>
        <v>0</v>
      </c>
      <c r="EO79" s="255">
        <f t="shared" si="7"/>
        <v>0</v>
      </c>
      <c r="EP79" s="253"/>
      <c r="EQ79" s="253"/>
      <c r="ER79" s="253"/>
      <c r="ES79" s="253"/>
      <c r="ET79" s="253"/>
      <c r="EU79" s="253"/>
      <c r="EV79" s="253"/>
      <c r="EW79" s="253"/>
      <c r="EX79" s="253"/>
      <c r="EY79" s="253"/>
      <c r="EZ79" s="253"/>
      <c r="FA79" s="253"/>
      <c r="FB79" s="253"/>
      <c r="FC79" s="253"/>
      <c r="FD79" s="253"/>
      <c r="FE79" s="253"/>
      <c r="FF79" s="253"/>
      <c r="FG79" s="255">
        <f>50-50</f>
        <v>0</v>
      </c>
      <c r="FH79" s="255">
        <f>50-50</f>
        <v>0</v>
      </c>
      <c r="FI79" s="253"/>
      <c r="FJ79" s="253"/>
      <c r="FK79" s="256"/>
      <c r="FL79" s="257" t="s">
        <v>817</v>
      </c>
      <c r="FM79" s="258" t="s">
        <v>389</v>
      </c>
      <c r="FN79" s="258"/>
      <c r="FO79" s="258" t="s">
        <v>429</v>
      </c>
      <c r="FP79" s="259">
        <f t="shared" si="6"/>
        <v>30</v>
      </c>
      <c r="FQ79" s="260" t="s">
        <v>414</v>
      </c>
      <c r="FR79" s="260"/>
    </row>
    <row r="80" spans="1:174">
      <c r="A80" s="251" t="s">
        <v>393</v>
      </c>
      <c r="B80" s="251" t="s">
        <v>385</v>
      </c>
      <c r="C80" s="251" t="s">
        <v>411</v>
      </c>
      <c r="D80" s="251" t="s">
        <v>293</v>
      </c>
      <c r="E80" s="252" t="s">
        <v>849</v>
      </c>
      <c r="F80" s="251" t="s">
        <v>388</v>
      </c>
      <c r="G80" s="251"/>
      <c r="H80" s="253"/>
      <c r="I80" s="253"/>
      <c r="J80" s="255">
        <f>30-30</f>
        <v>0</v>
      </c>
      <c r="K80" s="253"/>
      <c r="L80" s="253"/>
      <c r="M80" s="253"/>
      <c r="N80" s="253"/>
      <c r="O80" s="253"/>
      <c r="P80" s="253"/>
      <c r="Q80" s="253"/>
      <c r="R80" s="253"/>
      <c r="S80" s="253"/>
      <c r="T80" s="253"/>
      <c r="U80" s="253"/>
      <c r="V80" s="253"/>
      <c r="W80" s="253"/>
      <c r="X80" s="253"/>
      <c r="Y80" s="253"/>
      <c r="Z80" s="253"/>
      <c r="AA80" s="253"/>
      <c r="AB80" s="253"/>
      <c r="AC80" s="253"/>
      <c r="AD80" s="253"/>
      <c r="AE80" s="253"/>
      <c r="AF80" s="253"/>
      <c r="AG80" s="253"/>
      <c r="AH80" s="253"/>
      <c r="AI80" s="253"/>
      <c r="AJ80" s="253"/>
      <c r="AK80" s="253"/>
      <c r="AL80" s="253"/>
      <c r="AM80" s="253"/>
      <c r="AN80" s="253"/>
      <c r="AO80" s="253"/>
      <c r="AP80" s="253"/>
      <c r="AQ80" s="253"/>
      <c r="AR80" s="253"/>
      <c r="AS80" s="253"/>
      <c r="AT80" s="253"/>
      <c r="AU80" s="253"/>
      <c r="AV80" s="253"/>
      <c r="AW80" s="253"/>
      <c r="AX80" s="253"/>
      <c r="AY80" s="253"/>
      <c r="AZ80" s="253"/>
      <c r="BA80" s="253"/>
      <c r="BB80" s="253"/>
      <c r="BC80" s="253"/>
      <c r="BD80" s="253"/>
      <c r="BE80" s="253"/>
      <c r="BF80" s="253"/>
      <c r="BG80" s="253"/>
      <c r="BH80" s="253"/>
      <c r="BI80" s="253"/>
      <c r="BJ80" s="253"/>
      <c r="BK80" s="253"/>
      <c r="BL80" s="253"/>
      <c r="BM80" s="253"/>
      <c r="BN80" s="253"/>
      <c r="BO80" s="253"/>
      <c r="BP80" s="253"/>
      <c r="BQ80" s="253"/>
      <c r="BR80" s="253"/>
      <c r="BS80" s="253"/>
      <c r="BT80" s="253"/>
      <c r="BU80" s="253"/>
      <c r="BV80" s="253"/>
      <c r="BW80" s="253"/>
      <c r="BX80" s="253"/>
      <c r="BY80" s="253"/>
      <c r="BZ80" s="253"/>
      <c r="CA80" s="253"/>
      <c r="CB80" s="253"/>
      <c r="CC80" s="253"/>
      <c r="CD80" s="253"/>
      <c r="CE80" s="253"/>
      <c r="CF80" s="253"/>
      <c r="CG80" s="253"/>
      <c r="CH80" s="253"/>
      <c r="CI80" s="253"/>
      <c r="CJ80" s="253"/>
      <c r="CK80" s="253"/>
      <c r="CL80" s="253"/>
      <c r="CM80" s="253"/>
      <c r="CN80" s="253"/>
      <c r="CO80" s="253"/>
      <c r="CP80" s="253"/>
      <c r="CQ80" s="253"/>
      <c r="CR80" s="253"/>
      <c r="CS80" s="253"/>
      <c r="CT80" s="253"/>
      <c r="CU80" s="253"/>
      <c r="CV80" s="253"/>
      <c r="CW80" s="253"/>
      <c r="CX80" s="253"/>
      <c r="CY80" s="253"/>
      <c r="CZ80" s="253"/>
      <c r="DA80" s="253"/>
      <c r="DB80" s="253"/>
      <c r="DC80" s="253"/>
      <c r="DD80" s="253"/>
      <c r="DE80" s="253"/>
      <c r="DF80" s="253"/>
      <c r="DG80" s="253"/>
      <c r="DH80" s="253"/>
      <c r="DI80" s="253"/>
      <c r="DJ80" s="253"/>
      <c r="DK80" s="253"/>
      <c r="DL80" s="253"/>
      <c r="DM80" s="253"/>
      <c r="DN80" s="253"/>
      <c r="DO80" s="253"/>
      <c r="DP80" s="253"/>
      <c r="DQ80" s="253"/>
      <c r="DR80" s="253"/>
      <c r="DS80" s="253"/>
      <c r="DT80" s="253"/>
      <c r="DU80" s="253"/>
      <c r="DV80" s="253"/>
      <c r="DW80" s="253"/>
      <c r="DX80" s="253"/>
      <c r="DY80" s="253"/>
      <c r="DZ80" s="253"/>
      <c r="EA80" s="253"/>
      <c r="EB80" s="253"/>
      <c r="EC80" s="253"/>
      <c r="ED80" s="253"/>
      <c r="EE80" s="253"/>
      <c r="EF80" s="253"/>
      <c r="EG80" s="253"/>
      <c r="EH80" s="253"/>
      <c r="EI80" s="253"/>
      <c r="EJ80" s="253"/>
      <c r="EK80" s="253"/>
      <c r="EL80" s="253"/>
      <c r="EM80" s="253"/>
      <c r="EN80" s="253"/>
      <c r="EO80" s="253"/>
      <c r="EP80" s="253"/>
      <c r="EQ80" s="253"/>
      <c r="ER80" s="253"/>
      <c r="ES80" s="253"/>
      <c r="ET80" s="253"/>
      <c r="EU80" s="253"/>
      <c r="EV80" s="253"/>
      <c r="EW80" s="253"/>
      <c r="EX80" s="253"/>
      <c r="EY80" s="253"/>
      <c r="EZ80" s="253"/>
      <c r="FA80" s="253"/>
      <c r="FB80" s="253"/>
      <c r="FC80" s="253"/>
      <c r="FD80" s="253"/>
      <c r="FE80" s="253"/>
      <c r="FF80" s="253"/>
      <c r="FG80" s="253"/>
      <c r="FH80" s="253"/>
      <c r="FI80" s="253"/>
      <c r="FJ80" s="253"/>
      <c r="FK80" s="256"/>
      <c r="FL80" s="257" t="s">
        <v>817</v>
      </c>
      <c r="FM80" s="258" t="s">
        <v>389</v>
      </c>
      <c r="FN80" s="258"/>
      <c r="FO80" s="258" t="s">
        <v>429</v>
      </c>
      <c r="FP80" s="259">
        <f t="shared" si="6"/>
        <v>0</v>
      </c>
      <c r="FQ80" s="260" t="s">
        <v>414</v>
      </c>
      <c r="FR80" s="260"/>
    </row>
    <row r="81" spans="1:174">
      <c r="A81" s="251" t="s">
        <v>393</v>
      </c>
      <c r="B81" s="251" t="s">
        <v>385</v>
      </c>
      <c r="C81" s="251" t="s">
        <v>411</v>
      </c>
      <c r="D81" s="251" t="s">
        <v>291</v>
      </c>
      <c r="E81" s="252" t="s">
        <v>442</v>
      </c>
      <c r="F81" s="251" t="s">
        <v>388</v>
      </c>
      <c r="G81" s="251"/>
      <c r="H81" s="253"/>
      <c r="I81" s="253"/>
      <c r="J81" s="253"/>
      <c r="K81" s="253"/>
      <c r="L81" s="253"/>
      <c r="M81" s="253"/>
      <c r="N81" s="253"/>
      <c r="O81" s="253"/>
      <c r="P81" s="253"/>
      <c r="Q81" s="253"/>
      <c r="R81" s="253"/>
      <c r="S81" s="253"/>
      <c r="T81" s="253"/>
      <c r="U81" s="253"/>
      <c r="V81" s="253"/>
      <c r="W81" s="253"/>
      <c r="X81" s="253"/>
      <c r="Y81" s="253"/>
      <c r="Z81" s="253"/>
      <c r="AA81" s="253"/>
      <c r="AB81" s="253"/>
      <c r="AC81" s="253"/>
      <c r="AD81" s="253"/>
      <c r="AE81" s="253"/>
      <c r="AF81" s="253"/>
      <c r="AG81" s="255">
        <f>500-500</f>
        <v>0</v>
      </c>
      <c r="AH81" s="255">
        <f>500-500</f>
        <v>0</v>
      </c>
      <c r="AI81" s="253"/>
      <c r="AJ81" s="253"/>
      <c r="AK81" s="253"/>
      <c r="AL81" s="253"/>
      <c r="AM81" s="253"/>
      <c r="AN81" s="253"/>
      <c r="AO81" s="253"/>
      <c r="AP81" s="253"/>
      <c r="AQ81" s="255">
        <f>500-500</f>
        <v>0</v>
      </c>
      <c r="AR81" s="255">
        <f>500-500</f>
        <v>0</v>
      </c>
      <c r="AS81" s="253"/>
      <c r="AT81" s="253"/>
      <c r="AU81" s="253"/>
      <c r="AV81" s="253"/>
      <c r="AW81" s="253"/>
      <c r="AX81" s="253"/>
      <c r="AY81" s="253"/>
      <c r="AZ81" s="253"/>
      <c r="BA81" s="253"/>
      <c r="BB81" s="253"/>
      <c r="BC81" s="253"/>
      <c r="BD81" s="253"/>
      <c r="BE81" s="253"/>
      <c r="BF81" s="253"/>
      <c r="BG81" s="253"/>
      <c r="BH81" s="253"/>
      <c r="BI81" s="253"/>
      <c r="BJ81" s="253"/>
      <c r="BK81" s="253"/>
      <c r="BL81" s="253"/>
      <c r="BM81" s="253"/>
      <c r="BN81" s="253"/>
      <c r="BO81" s="253"/>
      <c r="BP81" s="253"/>
      <c r="BQ81" s="253"/>
      <c r="BR81" s="253"/>
      <c r="BS81" s="253"/>
      <c r="BT81" s="253"/>
      <c r="BU81" s="253"/>
      <c r="BV81" s="253"/>
      <c r="BW81" s="253"/>
      <c r="BX81" s="253"/>
      <c r="BY81" s="253"/>
      <c r="BZ81" s="253"/>
      <c r="CA81" s="253"/>
      <c r="CB81" s="253"/>
      <c r="CC81" s="253"/>
      <c r="CD81" s="253"/>
      <c r="CE81" s="253"/>
      <c r="CF81" s="253"/>
      <c r="CG81" s="253"/>
      <c r="CH81" s="253"/>
      <c r="CI81" s="253"/>
      <c r="CJ81" s="253"/>
      <c r="CK81" s="253"/>
      <c r="CL81" s="253"/>
      <c r="CM81" s="253"/>
      <c r="CN81" s="253"/>
      <c r="CO81" s="253"/>
      <c r="CP81" s="253"/>
      <c r="CQ81" s="253"/>
      <c r="CR81" s="253"/>
      <c r="CS81" s="253"/>
      <c r="CT81" s="253"/>
      <c r="CU81" s="253"/>
      <c r="CV81" s="253"/>
      <c r="CW81" s="253"/>
      <c r="CX81" s="253"/>
      <c r="CY81" s="253"/>
      <c r="CZ81" s="253"/>
      <c r="DA81" s="253"/>
      <c r="DB81" s="253"/>
      <c r="DC81" s="253"/>
      <c r="DD81" s="253"/>
      <c r="DE81" s="253"/>
      <c r="DF81" s="253"/>
      <c r="DG81" s="253"/>
      <c r="DH81" s="253"/>
      <c r="DI81" s="253"/>
      <c r="DJ81" s="253"/>
      <c r="DK81" s="253"/>
      <c r="DL81" s="253"/>
      <c r="DM81" s="253"/>
      <c r="DN81" s="253"/>
      <c r="DO81" s="253"/>
      <c r="DP81" s="253"/>
      <c r="DQ81" s="253"/>
      <c r="DR81" s="253"/>
      <c r="DS81" s="253"/>
      <c r="DT81" s="253"/>
      <c r="DU81" s="253"/>
      <c r="DV81" s="253"/>
      <c r="DW81" s="253"/>
      <c r="DX81" s="253"/>
      <c r="DY81" s="253"/>
      <c r="DZ81" s="253"/>
      <c r="EA81" s="253"/>
      <c r="EB81" s="253"/>
      <c r="EC81" s="253"/>
      <c r="ED81" s="253"/>
      <c r="EE81" s="253"/>
      <c r="EF81" s="253"/>
      <c r="EG81" s="253"/>
      <c r="EH81" s="253"/>
      <c r="EI81" s="253"/>
      <c r="EJ81" s="253"/>
      <c r="EK81" s="253"/>
      <c r="EL81" s="253"/>
      <c r="EM81" s="253"/>
      <c r="EN81" s="253"/>
      <c r="EO81" s="253"/>
      <c r="EP81" s="253"/>
      <c r="EQ81" s="253"/>
      <c r="ER81" s="253"/>
      <c r="ES81" s="253"/>
      <c r="ET81" s="253"/>
      <c r="EU81" s="253"/>
      <c r="EV81" s="253"/>
      <c r="EW81" s="253"/>
      <c r="EX81" s="253"/>
      <c r="EY81" s="253"/>
      <c r="EZ81" s="253"/>
      <c r="FA81" s="253"/>
      <c r="FB81" s="253"/>
      <c r="FC81" s="253"/>
      <c r="FD81" s="253"/>
      <c r="FE81" s="253"/>
      <c r="FF81" s="253"/>
      <c r="FG81" s="253"/>
      <c r="FH81" s="253"/>
      <c r="FI81" s="253"/>
      <c r="FJ81" s="253"/>
      <c r="FK81" s="256"/>
      <c r="FL81" s="257" t="s">
        <v>817</v>
      </c>
      <c r="FM81" s="258" t="s">
        <v>389</v>
      </c>
      <c r="FN81" s="258"/>
      <c r="FO81" s="258" t="s">
        <v>413</v>
      </c>
      <c r="FP81" s="259">
        <f t="shared" si="6"/>
        <v>0</v>
      </c>
      <c r="FQ81" s="260" t="s">
        <v>414</v>
      </c>
      <c r="FR81" s="260"/>
    </row>
    <row r="82" spans="1:174">
      <c r="A82" s="251" t="s">
        <v>393</v>
      </c>
      <c r="B82" s="251" t="s">
        <v>385</v>
      </c>
      <c r="C82" s="251" t="s">
        <v>411</v>
      </c>
      <c r="D82" s="251" t="s">
        <v>1</v>
      </c>
      <c r="E82" s="252" t="s">
        <v>442</v>
      </c>
      <c r="F82" s="251" t="s">
        <v>388</v>
      </c>
      <c r="G82" s="251"/>
      <c r="H82" s="253"/>
      <c r="I82" s="253"/>
      <c r="J82" s="253"/>
      <c r="K82" s="253"/>
      <c r="L82" s="253"/>
      <c r="M82" s="253"/>
      <c r="N82" s="253"/>
      <c r="O82" s="253"/>
      <c r="P82" s="253"/>
      <c r="Q82" s="253"/>
      <c r="R82" s="253"/>
      <c r="S82" s="253"/>
      <c r="T82" s="253"/>
      <c r="U82" s="253"/>
      <c r="V82" s="253"/>
      <c r="W82" s="253"/>
      <c r="X82" s="253"/>
      <c r="Y82" s="253"/>
      <c r="Z82" s="253"/>
      <c r="AA82" s="253"/>
      <c r="AB82" s="253"/>
      <c r="AC82" s="253"/>
      <c r="AD82" s="253"/>
      <c r="AE82" s="253"/>
      <c r="AF82" s="255">
        <f>500-500</f>
        <v>0</v>
      </c>
      <c r="AG82" s="253"/>
      <c r="AH82" s="253"/>
      <c r="AI82" s="253"/>
      <c r="AJ82" s="253"/>
      <c r="AK82" s="253"/>
      <c r="AL82" s="253"/>
      <c r="AM82" s="253"/>
      <c r="AN82" s="253"/>
      <c r="AO82" s="253"/>
      <c r="AP82" s="253"/>
      <c r="AQ82" s="253"/>
      <c r="AR82" s="253"/>
      <c r="AS82" s="253"/>
      <c r="AT82" s="253"/>
      <c r="AU82" s="255">
        <f>500-500</f>
        <v>0</v>
      </c>
      <c r="AV82" s="253"/>
      <c r="AW82" s="253"/>
      <c r="AX82" s="253"/>
      <c r="AY82" s="253"/>
      <c r="AZ82" s="253"/>
      <c r="BA82" s="253"/>
      <c r="BB82" s="253"/>
      <c r="BC82" s="253"/>
      <c r="BD82" s="253"/>
      <c r="BE82" s="253"/>
      <c r="BF82" s="253"/>
      <c r="BG82" s="253"/>
      <c r="BH82" s="253"/>
      <c r="BI82" s="253"/>
      <c r="BJ82" s="253"/>
      <c r="BK82" s="253"/>
      <c r="BL82" s="253"/>
      <c r="BM82" s="253"/>
      <c r="BN82" s="253"/>
      <c r="BO82" s="253"/>
      <c r="BP82" s="253"/>
      <c r="BQ82" s="253"/>
      <c r="BR82" s="253"/>
      <c r="BS82" s="253"/>
      <c r="BT82" s="253"/>
      <c r="BU82" s="253"/>
      <c r="BV82" s="253"/>
      <c r="BW82" s="253"/>
      <c r="BX82" s="253"/>
      <c r="BY82" s="253"/>
      <c r="BZ82" s="253"/>
      <c r="CA82" s="253"/>
      <c r="CB82" s="253"/>
      <c r="CC82" s="253"/>
      <c r="CD82" s="253"/>
      <c r="CE82" s="253"/>
      <c r="CF82" s="253"/>
      <c r="CG82" s="253"/>
      <c r="CH82" s="253"/>
      <c r="CI82" s="253"/>
      <c r="CJ82" s="253"/>
      <c r="CK82" s="253"/>
      <c r="CL82" s="253"/>
      <c r="CM82" s="253"/>
      <c r="CN82" s="253"/>
      <c r="CO82" s="253"/>
      <c r="CP82" s="253"/>
      <c r="CQ82" s="253"/>
      <c r="CR82" s="253"/>
      <c r="CS82" s="253"/>
      <c r="CT82" s="253"/>
      <c r="CU82" s="253"/>
      <c r="CV82" s="253"/>
      <c r="CW82" s="253"/>
      <c r="CX82" s="253"/>
      <c r="CY82" s="253"/>
      <c r="CZ82" s="253"/>
      <c r="DA82" s="253"/>
      <c r="DB82" s="253"/>
      <c r="DC82" s="253"/>
      <c r="DD82" s="253"/>
      <c r="DE82" s="253"/>
      <c r="DF82" s="253"/>
      <c r="DG82" s="253"/>
      <c r="DH82" s="253"/>
      <c r="DI82" s="253"/>
      <c r="DJ82" s="253"/>
      <c r="DK82" s="253"/>
      <c r="DL82" s="253"/>
      <c r="DM82" s="253"/>
      <c r="DN82" s="253"/>
      <c r="DO82" s="253"/>
      <c r="DP82" s="253"/>
      <c r="DQ82" s="253"/>
      <c r="DR82" s="253"/>
      <c r="DS82" s="253"/>
      <c r="DT82" s="253"/>
      <c r="DU82" s="253"/>
      <c r="DV82" s="253"/>
      <c r="DW82" s="253"/>
      <c r="DX82" s="253"/>
      <c r="DY82" s="253"/>
      <c r="DZ82" s="253"/>
      <c r="EA82" s="253"/>
      <c r="EB82" s="253"/>
      <c r="EC82" s="253"/>
      <c r="ED82" s="253"/>
      <c r="EE82" s="253"/>
      <c r="EF82" s="253"/>
      <c r="EG82" s="253"/>
      <c r="EH82" s="253"/>
      <c r="EI82" s="253"/>
      <c r="EJ82" s="253"/>
      <c r="EK82" s="253"/>
      <c r="EL82" s="253"/>
      <c r="EM82" s="255">
        <f>200-200</f>
        <v>0</v>
      </c>
      <c r="EN82" s="253"/>
      <c r="EO82" s="255">
        <f>200-200</f>
        <v>0</v>
      </c>
      <c r="EP82" s="253"/>
      <c r="EQ82" s="253"/>
      <c r="ER82" s="253"/>
      <c r="ES82" s="253"/>
      <c r="ET82" s="253"/>
      <c r="EU82" s="253"/>
      <c r="EV82" s="253"/>
      <c r="EW82" s="253"/>
      <c r="EX82" s="253"/>
      <c r="EY82" s="253"/>
      <c r="EZ82" s="253"/>
      <c r="FA82" s="253"/>
      <c r="FB82" s="253"/>
      <c r="FC82" s="253"/>
      <c r="FD82" s="253"/>
      <c r="FE82" s="253"/>
      <c r="FF82" s="253"/>
      <c r="FG82" s="253"/>
      <c r="FH82" s="253"/>
      <c r="FI82" s="253"/>
      <c r="FJ82" s="253"/>
      <c r="FK82" s="256"/>
      <c r="FL82" s="257" t="s">
        <v>817</v>
      </c>
      <c r="FM82" s="258" t="s">
        <v>389</v>
      </c>
      <c r="FN82" s="258"/>
      <c r="FO82" s="258" t="s">
        <v>413</v>
      </c>
      <c r="FP82" s="259">
        <f t="shared" si="6"/>
        <v>0</v>
      </c>
      <c r="FQ82" s="260" t="s">
        <v>414</v>
      </c>
      <c r="FR82" s="260"/>
    </row>
    <row r="83" spans="1:174">
      <c r="A83" s="251" t="s">
        <v>393</v>
      </c>
      <c r="B83" s="251" t="s">
        <v>385</v>
      </c>
      <c r="C83" s="251" t="s">
        <v>411</v>
      </c>
      <c r="D83" s="251" t="s">
        <v>291</v>
      </c>
      <c r="E83" s="252" t="s">
        <v>443</v>
      </c>
      <c r="F83" s="251" t="s">
        <v>388</v>
      </c>
      <c r="G83" s="251" t="s">
        <v>850</v>
      </c>
      <c r="H83" s="253"/>
      <c r="I83" s="253"/>
      <c r="J83" s="253"/>
      <c r="K83" s="253"/>
      <c r="L83" s="253"/>
      <c r="M83" s="253"/>
      <c r="N83" s="253"/>
      <c r="O83" s="253"/>
      <c r="P83" s="253"/>
      <c r="Q83" s="253"/>
      <c r="R83" s="253"/>
      <c r="S83" s="253"/>
      <c r="T83" s="253"/>
      <c r="U83" s="253"/>
      <c r="V83" s="253"/>
      <c r="W83" s="253"/>
      <c r="X83" s="253"/>
      <c r="Y83" s="253"/>
      <c r="Z83" s="253"/>
      <c r="AA83" s="253"/>
      <c r="AB83" s="253"/>
      <c r="AC83" s="253"/>
      <c r="AD83" s="253"/>
      <c r="AE83" s="253"/>
      <c r="AF83" s="253"/>
      <c r="AG83" s="253"/>
      <c r="AH83" s="253"/>
      <c r="AI83" s="253"/>
      <c r="AJ83" s="253"/>
      <c r="AK83" s="253"/>
      <c r="AL83" s="253"/>
      <c r="AM83" s="253"/>
      <c r="AN83" s="253"/>
      <c r="AO83" s="253"/>
      <c r="AP83" s="253"/>
      <c r="AQ83" s="253"/>
      <c r="AR83" s="253"/>
      <c r="AS83" s="253"/>
      <c r="AT83" s="253"/>
      <c r="AU83" s="253"/>
      <c r="AV83" s="253"/>
      <c r="AW83" s="253"/>
      <c r="AX83" s="253"/>
      <c r="AY83" s="253"/>
      <c r="AZ83" s="253"/>
      <c r="BA83" s="253"/>
      <c r="BB83" s="253"/>
      <c r="BC83" s="253"/>
      <c r="BD83" s="253"/>
      <c r="BE83" s="253"/>
      <c r="BF83" s="255">
        <f>300-300</f>
        <v>0</v>
      </c>
      <c r="BG83" s="253"/>
      <c r="BH83" s="253"/>
      <c r="BI83" s="253"/>
      <c r="BJ83" s="253"/>
      <c r="BK83" s="253"/>
      <c r="BL83" s="253"/>
      <c r="BM83" s="253"/>
      <c r="BN83" s="253"/>
      <c r="BO83" s="253"/>
      <c r="BP83" s="253"/>
      <c r="BQ83" s="253"/>
      <c r="BR83" s="253"/>
      <c r="BS83" s="253"/>
      <c r="BT83" s="253"/>
      <c r="BU83" s="253"/>
      <c r="BV83" s="253"/>
      <c r="BW83" s="253"/>
      <c r="BX83" s="253"/>
      <c r="BY83" s="253"/>
      <c r="BZ83" s="253"/>
      <c r="CA83" s="253"/>
      <c r="CB83" s="253"/>
      <c r="CC83" s="253"/>
      <c r="CD83" s="253"/>
      <c r="CE83" s="253"/>
      <c r="CF83" s="253"/>
      <c r="CG83" s="253"/>
      <c r="CH83" s="253"/>
      <c r="CI83" s="253"/>
      <c r="CJ83" s="253"/>
      <c r="CK83" s="253"/>
      <c r="CL83" s="253"/>
      <c r="CM83" s="253"/>
      <c r="CN83" s="253"/>
      <c r="CO83" s="253"/>
      <c r="CP83" s="253"/>
      <c r="CQ83" s="253"/>
      <c r="CR83" s="253"/>
      <c r="CS83" s="253"/>
      <c r="CT83" s="253"/>
      <c r="CU83" s="253"/>
      <c r="CV83" s="253"/>
      <c r="CW83" s="253"/>
      <c r="CX83" s="253"/>
      <c r="CY83" s="253"/>
      <c r="CZ83" s="253"/>
      <c r="DA83" s="253"/>
      <c r="DB83" s="253"/>
      <c r="DC83" s="253"/>
      <c r="DD83" s="253"/>
      <c r="DE83" s="253"/>
      <c r="DF83" s="253"/>
      <c r="DG83" s="253"/>
      <c r="DH83" s="253"/>
      <c r="DI83" s="253"/>
      <c r="DJ83" s="253"/>
      <c r="DK83" s="253"/>
      <c r="DL83" s="253"/>
      <c r="DM83" s="253"/>
      <c r="DN83" s="253"/>
      <c r="DO83" s="253"/>
      <c r="DP83" s="253"/>
      <c r="DQ83" s="253"/>
      <c r="DR83" s="253"/>
      <c r="DS83" s="253"/>
      <c r="DT83" s="253"/>
      <c r="DU83" s="253"/>
      <c r="DV83" s="253"/>
      <c r="DW83" s="253"/>
      <c r="DX83" s="253"/>
      <c r="DY83" s="253"/>
      <c r="DZ83" s="253"/>
      <c r="EA83" s="253"/>
      <c r="EB83" s="253"/>
      <c r="EC83" s="253"/>
      <c r="ED83" s="253"/>
      <c r="EE83" s="253"/>
      <c r="EF83" s="253"/>
      <c r="EG83" s="253"/>
      <c r="EH83" s="253"/>
      <c r="EI83" s="253"/>
      <c r="EJ83" s="253"/>
      <c r="EK83" s="253"/>
      <c r="EL83" s="253"/>
      <c r="EM83" s="253"/>
      <c r="EN83" s="253"/>
      <c r="EO83" s="253"/>
      <c r="EP83" s="253"/>
      <c r="EQ83" s="253"/>
      <c r="ER83" s="253"/>
      <c r="ES83" s="253"/>
      <c r="ET83" s="253"/>
      <c r="EU83" s="253"/>
      <c r="EV83" s="253"/>
      <c r="EW83" s="253"/>
      <c r="EX83" s="253"/>
      <c r="EY83" s="253"/>
      <c r="EZ83" s="253"/>
      <c r="FA83" s="253"/>
      <c r="FB83" s="253"/>
      <c r="FC83" s="253"/>
      <c r="FD83" s="253"/>
      <c r="FE83" s="253"/>
      <c r="FF83" s="253"/>
      <c r="FG83" s="253"/>
      <c r="FH83" s="253"/>
      <c r="FI83" s="253"/>
      <c r="FJ83" s="253"/>
      <c r="FK83" s="262"/>
      <c r="FL83" s="257" t="s">
        <v>817</v>
      </c>
      <c r="FM83" s="258" t="s">
        <v>389</v>
      </c>
      <c r="FN83" s="258" t="s">
        <v>444</v>
      </c>
      <c r="FO83" s="258" t="s">
        <v>445</v>
      </c>
      <c r="FP83" s="259">
        <f t="shared" si="6"/>
        <v>0</v>
      </c>
      <c r="FQ83" s="260" t="s">
        <v>433</v>
      </c>
      <c r="FR83" s="260"/>
    </row>
    <row r="84" spans="1:174">
      <c r="A84" s="251" t="s">
        <v>393</v>
      </c>
      <c r="B84" s="251" t="s">
        <v>385</v>
      </c>
      <c r="C84" s="251" t="s">
        <v>411</v>
      </c>
      <c r="D84" s="251" t="s">
        <v>1</v>
      </c>
      <c r="E84" s="252" t="s">
        <v>443</v>
      </c>
      <c r="F84" s="251" t="s">
        <v>388</v>
      </c>
      <c r="G84" s="251" t="s">
        <v>850</v>
      </c>
      <c r="H84" s="253"/>
      <c r="I84" s="253"/>
      <c r="J84" s="253"/>
      <c r="K84" s="253"/>
      <c r="L84" s="253"/>
      <c r="M84" s="253"/>
      <c r="N84" s="253"/>
      <c r="O84" s="253"/>
      <c r="P84" s="253"/>
      <c r="Q84" s="253"/>
      <c r="R84" s="253"/>
      <c r="S84" s="253"/>
      <c r="T84" s="253"/>
      <c r="U84" s="253"/>
      <c r="V84" s="253"/>
      <c r="W84" s="253"/>
      <c r="X84" s="253"/>
      <c r="Y84" s="253"/>
      <c r="Z84" s="253"/>
      <c r="AA84" s="253"/>
      <c r="AB84" s="253"/>
      <c r="AC84" s="253"/>
      <c r="AD84" s="253"/>
      <c r="AE84" s="253"/>
      <c r="AF84" s="253"/>
      <c r="AG84" s="253"/>
      <c r="AH84" s="253"/>
      <c r="AI84" s="253"/>
      <c r="AJ84" s="253"/>
      <c r="AK84" s="253"/>
      <c r="AL84" s="253"/>
      <c r="AM84" s="253"/>
      <c r="AN84" s="253"/>
      <c r="AO84" s="253"/>
      <c r="AP84" s="253"/>
      <c r="AQ84" s="253"/>
      <c r="AR84" s="253"/>
      <c r="AS84" s="253"/>
      <c r="AT84" s="253"/>
      <c r="AU84" s="255">
        <f>2000-2000</f>
        <v>0</v>
      </c>
      <c r="AV84" s="253"/>
      <c r="AW84" s="253"/>
      <c r="AX84" s="253"/>
      <c r="AY84" s="253"/>
      <c r="AZ84" s="253"/>
      <c r="BA84" s="253"/>
      <c r="BB84" s="255">
        <f>300-300</f>
        <v>0</v>
      </c>
      <c r="BC84" s="253"/>
      <c r="BD84" s="253"/>
      <c r="BE84" s="253"/>
      <c r="BF84" s="253"/>
      <c r="BG84" s="253"/>
      <c r="BH84" s="253"/>
      <c r="BI84" s="253"/>
      <c r="BJ84" s="253"/>
      <c r="BK84" s="253"/>
      <c r="BL84" s="253"/>
      <c r="BM84" s="253"/>
      <c r="BN84" s="253"/>
      <c r="BO84" s="253"/>
      <c r="BP84" s="253"/>
      <c r="BQ84" s="253"/>
      <c r="BR84" s="253"/>
      <c r="BS84" s="253"/>
      <c r="BT84" s="253"/>
      <c r="BU84" s="253"/>
      <c r="BV84" s="253"/>
      <c r="BW84" s="253"/>
      <c r="BX84" s="253"/>
      <c r="BY84" s="253"/>
      <c r="BZ84" s="253"/>
      <c r="CA84" s="253"/>
      <c r="CB84" s="253"/>
      <c r="CC84" s="253"/>
      <c r="CD84" s="253"/>
      <c r="CE84" s="253"/>
      <c r="CF84" s="253"/>
      <c r="CG84" s="253"/>
      <c r="CH84" s="253"/>
      <c r="CI84" s="253"/>
      <c r="CJ84" s="253"/>
      <c r="CK84" s="253"/>
      <c r="CL84" s="253"/>
      <c r="CM84" s="253"/>
      <c r="CN84" s="253"/>
      <c r="CO84" s="253"/>
      <c r="CP84" s="253"/>
      <c r="CQ84" s="253"/>
      <c r="CR84" s="253"/>
      <c r="CS84" s="253"/>
      <c r="CT84" s="253"/>
      <c r="CU84" s="253"/>
      <c r="CV84" s="253"/>
      <c r="CW84" s="253"/>
      <c r="CX84" s="253"/>
      <c r="CY84" s="253"/>
      <c r="CZ84" s="253"/>
      <c r="DA84" s="253"/>
      <c r="DB84" s="253"/>
      <c r="DC84" s="253"/>
      <c r="DD84" s="253"/>
      <c r="DE84" s="253"/>
      <c r="DF84" s="253"/>
      <c r="DG84" s="253"/>
      <c r="DH84" s="253"/>
      <c r="DI84" s="253"/>
      <c r="DJ84" s="253"/>
      <c r="DK84" s="253"/>
      <c r="DL84" s="253"/>
      <c r="DM84" s="253"/>
      <c r="DN84" s="253"/>
      <c r="DO84" s="253"/>
      <c r="DP84" s="253"/>
      <c r="DQ84" s="253"/>
      <c r="DR84" s="253"/>
      <c r="DS84" s="253"/>
      <c r="DT84" s="253"/>
      <c r="DU84" s="253"/>
      <c r="DV84" s="253"/>
      <c r="DW84" s="253"/>
      <c r="DX84" s="253"/>
      <c r="DY84" s="253"/>
      <c r="DZ84" s="253"/>
      <c r="EA84" s="253"/>
      <c r="EB84" s="253"/>
      <c r="EC84" s="253"/>
      <c r="ED84" s="253"/>
      <c r="EE84" s="253"/>
      <c r="EF84" s="253"/>
      <c r="EG84" s="253"/>
      <c r="EH84" s="253"/>
      <c r="EI84" s="253"/>
      <c r="EJ84" s="253"/>
      <c r="EK84" s="253"/>
      <c r="EL84" s="253"/>
      <c r="EM84" s="253"/>
      <c r="EN84" s="253"/>
      <c r="EO84" s="253"/>
      <c r="EP84" s="253"/>
      <c r="EQ84" s="253"/>
      <c r="ER84" s="253"/>
      <c r="ES84" s="253"/>
      <c r="ET84" s="253"/>
      <c r="EU84" s="253"/>
      <c r="EV84" s="253"/>
      <c r="EW84" s="253"/>
      <c r="EX84" s="253"/>
      <c r="EY84" s="253"/>
      <c r="EZ84" s="253"/>
      <c r="FA84" s="253"/>
      <c r="FB84" s="253"/>
      <c r="FC84" s="253"/>
      <c r="FD84" s="253"/>
      <c r="FE84" s="253"/>
      <c r="FF84" s="253"/>
      <c r="FG84" s="253"/>
      <c r="FH84" s="253"/>
      <c r="FI84" s="253"/>
      <c r="FJ84" s="253"/>
      <c r="FK84" s="262"/>
      <c r="FL84" s="257" t="s">
        <v>817</v>
      </c>
      <c r="FM84" s="258" t="s">
        <v>389</v>
      </c>
      <c r="FN84" s="258" t="s">
        <v>444</v>
      </c>
      <c r="FO84" s="258" t="s">
        <v>445</v>
      </c>
      <c r="FP84" s="259">
        <f t="shared" si="6"/>
        <v>0</v>
      </c>
      <c r="FQ84" s="260" t="s">
        <v>433</v>
      </c>
      <c r="FR84" s="260"/>
    </row>
    <row r="85" spans="1:174">
      <c r="A85" s="251" t="s">
        <v>385</v>
      </c>
      <c r="B85" s="251" t="s">
        <v>385</v>
      </c>
      <c r="C85" s="251" t="s">
        <v>411</v>
      </c>
      <c r="D85" s="251" t="s">
        <v>291</v>
      </c>
      <c r="E85" s="252" t="s">
        <v>851</v>
      </c>
      <c r="F85" s="251" t="s">
        <v>388</v>
      </c>
      <c r="G85" s="251" t="s">
        <v>852</v>
      </c>
      <c r="H85" s="253"/>
      <c r="I85" s="253"/>
      <c r="J85" s="253"/>
      <c r="K85" s="253"/>
      <c r="L85" s="253"/>
      <c r="M85" s="253"/>
      <c r="N85" s="253"/>
      <c r="O85" s="253"/>
      <c r="P85" s="253"/>
      <c r="Q85" s="253"/>
      <c r="R85" s="253"/>
      <c r="S85" s="253"/>
      <c r="T85" s="253"/>
      <c r="U85" s="253"/>
      <c r="V85" s="253"/>
      <c r="W85" s="253"/>
      <c r="X85" s="253"/>
      <c r="Y85" s="253"/>
      <c r="Z85" s="253"/>
      <c r="AA85" s="253"/>
      <c r="AB85" s="253"/>
      <c r="AC85" s="253"/>
      <c r="AD85" s="253"/>
      <c r="AE85" s="253"/>
      <c r="AF85" s="253"/>
      <c r="AG85" s="255">
        <f>150-150</f>
        <v>0</v>
      </c>
      <c r="AH85" s="255">
        <f>150-150</f>
        <v>0</v>
      </c>
      <c r="AI85" s="253"/>
      <c r="AJ85" s="253"/>
      <c r="AK85" s="253"/>
      <c r="AL85" s="253"/>
      <c r="AM85" s="253"/>
      <c r="AN85" s="253"/>
      <c r="AO85" s="254">
        <f>100-100+9</f>
        <v>9</v>
      </c>
      <c r="AP85" s="253"/>
      <c r="AQ85" s="253"/>
      <c r="AR85" s="253"/>
      <c r="AS85" s="253"/>
      <c r="AT85" s="253"/>
      <c r="AU85" s="253"/>
      <c r="AV85" s="253"/>
      <c r="AW85" s="253"/>
      <c r="AX85" s="253"/>
      <c r="AY85" s="253"/>
      <c r="AZ85" s="253"/>
      <c r="BA85" s="253"/>
      <c r="BB85" s="253"/>
      <c r="BC85" s="253"/>
      <c r="BD85" s="253"/>
      <c r="BE85" s="253"/>
      <c r="BF85" s="255">
        <f>150-150</f>
        <v>0</v>
      </c>
      <c r="BG85" s="253"/>
      <c r="BH85" s="253"/>
      <c r="BI85" s="253"/>
      <c r="BJ85" s="253"/>
      <c r="BK85" s="253"/>
      <c r="BL85" s="253"/>
      <c r="BM85" s="253"/>
      <c r="BN85" s="253"/>
      <c r="BO85" s="253"/>
      <c r="BP85" s="253"/>
      <c r="BQ85" s="253"/>
      <c r="BR85" s="253"/>
      <c r="BS85" s="253"/>
      <c r="BT85" s="253"/>
      <c r="BU85" s="253"/>
      <c r="BV85" s="253"/>
      <c r="BW85" s="253"/>
      <c r="BX85" s="253"/>
      <c r="BY85" s="253"/>
      <c r="BZ85" s="253"/>
      <c r="CA85" s="253"/>
      <c r="CB85" s="253"/>
      <c r="CC85" s="253"/>
      <c r="CD85" s="253"/>
      <c r="CE85" s="253"/>
      <c r="CF85" s="253"/>
      <c r="CG85" s="253"/>
      <c r="CH85" s="253"/>
      <c r="CI85" s="253"/>
      <c r="CJ85" s="253"/>
      <c r="CK85" s="253"/>
      <c r="CL85" s="253"/>
      <c r="CM85" s="253"/>
      <c r="CN85" s="253"/>
      <c r="CO85" s="253"/>
      <c r="CP85" s="253"/>
      <c r="CQ85" s="253"/>
      <c r="CR85" s="253"/>
      <c r="CS85" s="253"/>
      <c r="CT85" s="253"/>
      <c r="CU85" s="253"/>
      <c r="CV85" s="253"/>
      <c r="CW85" s="253"/>
      <c r="CX85" s="253"/>
      <c r="CY85" s="253"/>
      <c r="CZ85" s="253"/>
      <c r="DA85" s="253"/>
      <c r="DB85" s="253"/>
      <c r="DC85" s="253"/>
      <c r="DD85" s="253"/>
      <c r="DE85" s="253"/>
      <c r="DF85" s="253"/>
      <c r="DG85" s="253"/>
      <c r="DH85" s="253"/>
      <c r="DI85" s="253"/>
      <c r="DJ85" s="253"/>
      <c r="DK85" s="253"/>
      <c r="DL85" s="253"/>
      <c r="DM85" s="253"/>
      <c r="DN85" s="253"/>
      <c r="DO85" s="253"/>
      <c r="DP85" s="253"/>
      <c r="DQ85" s="253"/>
      <c r="DR85" s="253"/>
      <c r="DS85" s="253"/>
      <c r="DT85" s="253"/>
      <c r="DU85" s="253"/>
      <c r="DV85" s="253"/>
      <c r="DW85" s="253"/>
      <c r="DX85" s="253"/>
      <c r="DY85" s="253"/>
      <c r="DZ85" s="253"/>
      <c r="EA85" s="253"/>
      <c r="EB85" s="253"/>
      <c r="EC85" s="253"/>
      <c r="ED85" s="253"/>
      <c r="EE85" s="253"/>
      <c r="EF85" s="253"/>
      <c r="EG85" s="253"/>
      <c r="EH85" s="253"/>
      <c r="EI85" s="253"/>
      <c r="EJ85" s="253"/>
      <c r="EK85" s="253"/>
      <c r="EL85" s="253"/>
      <c r="EM85" s="253"/>
      <c r="EN85" s="253"/>
      <c r="EO85" s="253"/>
      <c r="EP85" s="253"/>
      <c r="EQ85" s="253"/>
      <c r="ER85" s="253"/>
      <c r="ES85" s="253"/>
      <c r="ET85" s="253"/>
      <c r="EU85" s="253"/>
      <c r="EV85" s="253"/>
      <c r="EW85" s="253"/>
      <c r="EX85" s="253"/>
      <c r="EY85" s="253"/>
      <c r="EZ85" s="253"/>
      <c r="FA85" s="253"/>
      <c r="FB85" s="253"/>
      <c r="FC85" s="253"/>
      <c r="FD85" s="253"/>
      <c r="FE85" s="253"/>
      <c r="FF85" s="253"/>
      <c r="FG85" s="253"/>
      <c r="FH85" s="253"/>
      <c r="FI85" s="253"/>
      <c r="FJ85" s="253"/>
      <c r="FK85" s="256"/>
      <c r="FL85" s="257" t="s">
        <v>817</v>
      </c>
      <c r="FM85" s="258" t="s">
        <v>389</v>
      </c>
      <c r="FN85" s="258" t="s">
        <v>853</v>
      </c>
      <c r="FO85" s="258" t="s">
        <v>439</v>
      </c>
      <c r="FP85" s="259">
        <f t="shared" si="6"/>
        <v>9</v>
      </c>
      <c r="FQ85" s="260" t="s">
        <v>421</v>
      </c>
      <c r="FR85" s="260"/>
    </row>
    <row r="86" spans="1:174">
      <c r="A86" s="251" t="s">
        <v>385</v>
      </c>
      <c r="B86" s="251" t="s">
        <v>385</v>
      </c>
      <c r="C86" s="251" t="s">
        <v>411</v>
      </c>
      <c r="D86" s="251" t="s">
        <v>1</v>
      </c>
      <c r="E86" s="252" t="s">
        <v>851</v>
      </c>
      <c r="F86" s="251" t="s">
        <v>388</v>
      </c>
      <c r="G86" s="251" t="s">
        <v>852</v>
      </c>
      <c r="H86" s="253"/>
      <c r="I86" s="253"/>
      <c r="J86" s="253"/>
      <c r="K86" s="253"/>
      <c r="L86" s="253"/>
      <c r="M86" s="253"/>
      <c r="N86" s="253"/>
      <c r="O86" s="253"/>
      <c r="P86" s="253"/>
      <c r="Q86" s="253"/>
      <c r="R86" s="253"/>
      <c r="S86" s="253"/>
      <c r="T86" s="253"/>
      <c r="U86" s="255">
        <f>100-100</f>
        <v>0</v>
      </c>
      <c r="V86" s="253"/>
      <c r="W86" s="253"/>
      <c r="X86" s="253"/>
      <c r="Y86" s="255">
        <f>100-100</f>
        <v>0</v>
      </c>
      <c r="Z86" s="255">
        <f>100-100</f>
        <v>0</v>
      </c>
      <c r="AA86" s="253"/>
      <c r="AB86" s="253"/>
      <c r="AC86" s="253"/>
      <c r="AD86" s="253"/>
      <c r="AE86" s="254">
        <f>100-100+10</f>
        <v>10</v>
      </c>
      <c r="AF86" s="255">
        <f>100-100</f>
        <v>0</v>
      </c>
      <c r="AG86" s="253"/>
      <c r="AH86" s="253"/>
      <c r="AI86" s="253"/>
      <c r="AJ86" s="253"/>
      <c r="AK86" s="253"/>
      <c r="AL86" s="253"/>
      <c r="AM86" s="253"/>
      <c r="AN86" s="253"/>
      <c r="AO86" s="253"/>
      <c r="AP86" s="253"/>
      <c r="AQ86" s="253"/>
      <c r="AR86" s="253"/>
      <c r="AS86" s="253"/>
      <c r="AT86" s="253"/>
      <c r="AU86" s="255">
        <f>200-200</f>
        <v>0</v>
      </c>
      <c r="AV86" s="253"/>
      <c r="AW86" s="253"/>
      <c r="AX86" s="253"/>
      <c r="AY86" s="253"/>
      <c r="AZ86" s="253"/>
      <c r="BA86" s="253"/>
      <c r="BB86" s="253"/>
      <c r="BC86" s="253"/>
      <c r="BD86" s="253"/>
      <c r="BE86" s="253"/>
      <c r="BF86" s="253"/>
      <c r="BG86" s="253"/>
      <c r="BH86" s="253"/>
      <c r="BI86" s="253"/>
      <c r="BJ86" s="253"/>
      <c r="BK86" s="253"/>
      <c r="BL86" s="253"/>
      <c r="BM86" s="253"/>
      <c r="BN86" s="253"/>
      <c r="BO86" s="253"/>
      <c r="BP86" s="253"/>
      <c r="BQ86" s="253"/>
      <c r="BR86" s="253"/>
      <c r="BS86" s="253"/>
      <c r="BT86" s="253"/>
      <c r="BU86" s="253"/>
      <c r="BV86" s="255">
        <f>100-100</f>
        <v>0</v>
      </c>
      <c r="BW86" s="255">
        <f>200-200</f>
        <v>0</v>
      </c>
      <c r="BX86" s="255">
        <f>150-150</f>
        <v>0</v>
      </c>
      <c r="BY86" s="255">
        <f>100-100</f>
        <v>0</v>
      </c>
      <c r="BZ86" s="253"/>
      <c r="CA86" s="255">
        <f>100-100</f>
        <v>0</v>
      </c>
      <c r="CB86" s="255">
        <f>100-100</f>
        <v>0</v>
      </c>
      <c r="CC86" s="255">
        <f>100-100</f>
        <v>0</v>
      </c>
      <c r="CD86" s="255">
        <f>100-100</f>
        <v>0</v>
      </c>
      <c r="CE86" s="255">
        <f>100-100</f>
        <v>0</v>
      </c>
      <c r="CF86" s="253"/>
      <c r="CG86" s="255">
        <f>50-50</f>
        <v>0</v>
      </c>
      <c r="CH86" s="253"/>
      <c r="CI86" s="255">
        <f>100-100</f>
        <v>0</v>
      </c>
      <c r="CJ86" s="255">
        <f>50-50</f>
        <v>0</v>
      </c>
      <c r="CK86" s="255">
        <f>50-50</f>
        <v>0</v>
      </c>
      <c r="CL86" s="255">
        <f>80-80</f>
        <v>0</v>
      </c>
      <c r="CM86" s="255">
        <f>80-80</f>
        <v>0</v>
      </c>
      <c r="CN86" s="255">
        <f>50-50</f>
        <v>0</v>
      </c>
      <c r="CO86" s="253"/>
      <c r="CP86" s="253"/>
      <c r="CQ86" s="255">
        <f>50-50</f>
        <v>0</v>
      </c>
      <c r="CR86" s="255">
        <f>60-60</f>
        <v>0</v>
      </c>
      <c r="CS86" s="255">
        <f>60-60</f>
        <v>0</v>
      </c>
      <c r="CT86" s="255">
        <f>60-60</f>
        <v>0</v>
      </c>
      <c r="CU86" s="253"/>
      <c r="CV86" s="253"/>
      <c r="CW86" s="253"/>
      <c r="CX86" s="253"/>
      <c r="CY86" s="253"/>
      <c r="CZ86" s="253"/>
      <c r="DA86" s="253"/>
      <c r="DB86" s="253"/>
      <c r="DC86" s="253"/>
      <c r="DD86" s="255">
        <f>30-30</f>
        <v>0</v>
      </c>
      <c r="DE86" s="255">
        <f>30-30</f>
        <v>0</v>
      </c>
      <c r="DF86" s="253"/>
      <c r="DG86" s="253"/>
      <c r="DH86" s="255">
        <f>20-20</f>
        <v>0</v>
      </c>
      <c r="DI86" s="253"/>
      <c r="DJ86" s="253"/>
      <c r="DK86" s="253"/>
      <c r="DL86" s="253"/>
      <c r="DM86" s="253"/>
      <c r="DN86" s="253"/>
      <c r="DO86" s="253"/>
      <c r="DP86" s="253"/>
      <c r="DQ86" s="253"/>
      <c r="DR86" s="253"/>
      <c r="DS86" s="253"/>
      <c r="DT86" s="253"/>
      <c r="DU86" s="253"/>
      <c r="DV86" s="253"/>
      <c r="DW86" s="253"/>
      <c r="DX86" s="253"/>
      <c r="DY86" s="253"/>
      <c r="DZ86" s="253"/>
      <c r="EA86" s="253"/>
      <c r="EB86" s="253"/>
      <c r="EC86" s="253"/>
      <c r="ED86" s="253"/>
      <c r="EE86" s="253"/>
      <c r="EF86" s="253"/>
      <c r="EG86" s="253"/>
      <c r="EH86" s="253"/>
      <c r="EI86" s="253"/>
      <c r="EJ86" s="253"/>
      <c r="EK86" s="253"/>
      <c r="EL86" s="253"/>
      <c r="EM86" s="255">
        <f>50-50</f>
        <v>0</v>
      </c>
      <c r="EN86" s="253"/>
      <c r="EO86" s="255">
        <f>50-50</f>
        <v>0</v>
      </c>
      <c r="EP86" s="253"/>
      <c r="EQ86" s="253"/>
      <c r="ER86" s="253"/>
      <c r="ES86" s="253"/>
      <c r="ET86" s="253"/>
      <c r="EU86" s="255">
        <f>50-50</f>
        <v>0</v>
      </c>
      <c r="EV86" s="255">
        <f>50-50</f>
        <v>0</v>
      </c>
      <c r="EW86" s="253"/>
      <c r="EX86" s="255">
        <f>40-40</f>
        <v>0</v>
      </c>
      <c r="EY86" s="253"/>
      <c r="EZ86" s="255">
        <f>30-30</f>
        <v>0</v>
      </c>
      <c r="FA86" s="253"/>
      <c r="FB86" s="255">
        <f>40-40</f>
        <v>0</v>
      </c>
      <c r="FC86" s="255">
        <f>10-10</f>
        <v>0</v>
      </c>
      <c r="FD86" s="253"/>
      <c r="FE86" s="253"/>
      <c r="FF86" s="255">
        <f>10-10</f>
        <v>0</v>
      </c>
      <c r="FG86" s="253"/>
      <c r="FH86" s="253"/>
      <c r="FI86" s="253"/>
      <c r="FJ86" s="253"/>
      <c r="FK86" s="256"/>
      <c r="FL86" s="257" t="s">
        <v>817</v>
      </c>
      <c r="FM86" s="258" t="s">
        <v>389</v>
      </c>
      <c r="FN86" s="258" t="s">
        <v>853</v>
      </c>
      <c r="FO86" s="258" t="s">
        <v>439</v>
      </c>
      <c r="FP86" s="259">
        <f t="shared" si="6"/>
        <v>10</v>
      </c>
      <c r="FQ86" s="260" t="s">
        <v>421</v>
      </c>
      <c r="FR86" s="260"/>
    </row>
    <row r="87" spans="1:174">
      <c r="A87" s="251" t="s">
        <v>385</v>
      </c>
      <c r="B87" s="251" t="s">
        <v>392</v>
      </c>
      <c r="C87" s="251" t="s">
        <v>411</v>
      </c>
      <c r="D87" s="251" t="s">
        <v>291</v>
      </c>
      <c r="E87" s="252" t="s">
        <v>851</v>
      </c>
      <c r="F87" s="251" t="s">
        <v>388</v>
      </c>
      <c r="G87" s="251" t="s">
        <v>854</v>
      </c>
      <c r="H87" s="253"/>
      <c r="I87" s="255">
        <f>400-400</f>
        <v>0</v>
      </c>
      <c r="J87" s="253"/>
      <c r="K87" s="255">
        <f>400-400</f>
        <v>0</v>
      </c>
      <c r="L87" s="253"/>
      <c r="M87" s="253"/>
      <c r="N87" s="255">
        <f>300-300</f>
        <v>0</v>
      </c>
      <c r="O87" s="253"/>
      <c r="P87" s="253"/>
      <c r="Q87" s="253"/>
      <c r="R87" s="253"/>
      <c r="S87" s="253"/>
      <c r="T87" s="253"/>
      <c r="U87" s="253"/>
      <c r="V87" s="253"/>
      <c r="W87" s="253"/>
      <c r="X87" s="253"/>
      <c r="Y87" s="253"/>
      <c r="Z87" s="253"/>
      <c r="AA87" s="253"/>
      <c r="AB87" s="253"/>
      <c r="AC87" s="253"/>
      <c r="AD87" s="253"/>
      <c r="AE87" s="253"/>
      <c r="AF87" s="253"/>
      <c r="AG87" s="255">
        <f>250-250</f>
        <v>0</v>
      </c>
      <c r="AH87" s="255">
        <f>300-300</f>
        <v>0</v>
      </c>
      <c r="AI87" s="253"/>
      <c r="AJ87" s="253"/>
      <c r="AK87" s="253"/>
      <c r="AL87" s="253"/>
      <c r="AM87" s="253"/>
      <c r="AN87" s="253"/>
      <c r="AO87" s="255">
        <f>100-100</f>
        <v>0</v>
      </c>
      <c r="AP87" s="253"/>
      <c r="AQ87" s="253"/>
      <c r="AR87" s="253"/>
      <c r="AS87" s="253"/>
      <c r="AT87" s="253"/>
      <c r="AU87" s="253"/>
      <c r="AV87" s="253"/>
      <c r="AW87" s="253"/>
      <c r="AX87" s="253"/>
      <c r="AY87" s="253"/>
      <c r="AZ87" s="253"/>
      <c r="BA87" s="253"/>
      <c r="BB87" s="253"/>
      <c r="BC87" s="253"/>
      <c r="BD87" s="253"/>
      <c r="BE87" s="253"/>
      <c r="BF87" s="255">
        <f>150-150</f>
        <v>0</v>
      </c>
      <c r="BG87" s="253"/>
      <c r="BH87" s="253"/>
      <c r="BI87" s="253"/>
      <c r="BJ87" s="253"/>
      <c r="BK87" s="253"/>
      <c r="BL87" s="253"/>
      <c r="BM87" s="253"/>
      <c r="BN87" s="253"/>
      <c r="BO87" s="253"/>
      <c r="BP87" s="253"/>
      <c r="BQ87" s="253"/>
      <c r="BR87" s="253"/>
      <c r="BS87" s="253"/>
      <c r="BT87" s="253"/>
      <c r="BU87" s="253"/>
      <c r="BV87" s="253"/>
      <c r="BW87" s="253"/>
      <c r="BX87" s="253"/>
      <c r="BY87" s="253"/>
      <c r="BZ87" s="253"/>
      <c r="CA87" s="253"/>
      <c r="CB87" s="253"/>
      <c r="CC87" s="253"/>
      <c r="CD87" s="253"/>
      <c r="CE87" s="253"/>
      <c r="CF87" s="253"/>
      <c r="CG87" s="253"/>
      <c r="CH87" s="253"/>
      <c r="CI87" s="253"/>
      <c r="CJ87" s="253"/>
      <c r="CK87" s="253"/>
      <c r="CL87" s="253"/>
      <c r="CM87" s="253"/>
      <c r="CN87" s="253"/>
      <c r="CO87" s="253"/>
      <c r="CP87" s="253"/>
      <c r="CQ87" s="253"/>
      <c r="CR87" s="253"/>
      <c r="CS87" s="253"/>
      <c r="CT87" s="253"/>
      <c r="CU87" s="253"/>
      <c r="CV87" s="253"/>
      <c r="CW87" s="253"/>
      <c r="CX87" s="253"/>
      <c r="CY87" s="253"/>
      <c r="CZ87" s="253"/>
      <c r="DA87" s="253"/>
      <c r="DB87" s="253"/>
      <c r="DC87" s="253"/>
      <c r="DD87" s="253"/>
      <c r="DE87" s="253"/>
      <c r="DF87" s="253"/>
      <c r="DG87" s="253"/>
      <c r="DH87" s="253"/>
      <c r="DI87" s="253"/>
      <c r="DJ87" s="253"/>
      <c r="DK87" s="253"/>
      <c r="DL87" s="253"/>
      <c r="DM87" s="253"/>
      <c r="DN87" s="253"/>
      <c r="DO87" s="253"/>
      <c r="DP87" s="253"/>
      <c r="DQ87" s="253"/>
      <c r="DR87" s="253"/>
      <c r="DS87" s="253"/>
      <c r="DT87" s="253"/>
      <c r="DU87" s="253"/>
      <c r="DV87" s="253"/>
      <c r="DW87" s="253"/>
      <c r="DX87" s="253"/>
      <c r="DY87" s="253"/>
      <c r="DZ87" s="253"/>
      <c r="EA87" s="253"/>
      <c r="EB87" s="253"/>
      <c r="EC87" s="253"/>
      <c r="ED87" s="253"/>
      <c r="EE87" s="253"/>
      <c r="EF87" s="253"/>
      <c r="EG87" s="253"/>
      <c r="EH87" s="253"/>
      <c r="EI87" s="253"/>
      <c r="EJ87" s="253"/>
      <c r="EK87" s="253"/>
      <c r="EL87" s="253"/>
      <c r="EM87" s="253"/>
      <c r="EN87" s="253"/>
      <c r="EO87" s="253"/>
      <c r="EP87" s="253"/>
      <c r="EQ87" s="253"/>
      <c r="ER87" s="253"/>
      <c r="ES87" s="253"/>
      <c r="ET87" s="253"/>
      <c r="EU87" s="253"/>
      <c r="EV87" s="253"/>
      <c r="EW87" s="253"/>
      <c r="EX87" s="253"/>
      <c r="EY87" s="253"/>
      <c r="EZ87" s="253"/>
      <c r="FA87" s="253"/>
      <c r="FB87" s="253"/>
      <c r="FC87" s="253"/>
      <c r="FD87" s="253"/>
      <c r="FE87" s="253"/>
      <c r="FF87" s="253"/>
      <c r="FG87" s="253"/>
      <c r="FH87" s="253"/>
      <c r="FI87" s="253"/>
      <c r="FJ87" s="253"/>
      <c r="FK87" s="256"/>
      <c r="FL87" s="257" t="s">
        <v>817</v>
      </c>
      <c r="FM87" s="258" t="s">
        <v>389</v>
      </c>
      <c r="FN87" s="258" t="s">
        <v>855</v>
      </c>
      <c r="FO87" s="258" t="s">
        <v>439</v>
      </c>
      <c r="FP87" s="259">
        <f t="shared" si="6"/>
        <v>0</v>
      </c>
      <c r="FQ87" s="260" t="s">
        <v>421</v>
      </c>
      <c r="FR87" s="260"/>
    </row>
    <row r="88" spans="1:174">
      <c r="A88" s="251" t="s">
        <v>385</v>
      </c>
      <c r="B88" s="251" t="s">
        <v>392</v>
      </c>
      <c r="C88" s="251" t="s">
        <v>411</v>
      </c>
      <c r="D88" s="251" t="s">
        <v>1</v>
      </c>
      <c r="E88" s="252" t="s">
        <v>851</v>
      </c>
      <c r="F88" s="251" t="s">
        <v>388</v>
      </c>
      <c r="G88" s="251" t="s">
        <v>854</v>
      </c>
      <c r="H88" s="253"/>
      <c r="I88" s="253"/>
      <c r="J88" s="253"/>
      <c r="K88" s="253"/>
      <c r="L88" s="253"/>
      <c r="M88" s="253"/>
      <c r="N88" s="254">
        <f>0+20</f>
        <v>20</v>
      </c>
      <c r="O88" s="255">
        <f>150-150</f>
        <v>0</v>
      </c>
      <c r="P88" s="253"/>
      <c r="Q88" s="253"/>
      <c r="R88" s="253"/>
      <c r="S88" s="253"/>
      <c r="T88" s="253"/>
      <c r="U88" s="255">
        <f>100-100</f>
        <v>0</v>
      </c>
      <c r="V88" s="253"/>
      <c r="W88" s="253"/>
      <c r="X88" s="253"/>
      <c r="Y88" s="255">
        <f>100-100</f>
        <v>0</v>
      </c>
      <c r="Z88" s="255">
        <f>100-100</f>
        <v>0</v>
      </c>
      <c r="AA88" s="253"/>
      <c r="AB88" s="255">
        <f>400-400</f>
        <v>0</v>
      </c>
      <c r="AC88" s="253"/>
      <c r="AD88" s="253"/>
      <c r="AE88" s="255">
        <f>100-100</f>
        <v>0</v>
      </c>
      <c r="AF88" s="255">
        <f>150-150</f>
        <v>0</v>
      </c>
      <c r="AG88" s="253"/>
      <c r="AH88" s="253"/>
      <c r="AI88" s="253"/>
      <c r="AJ88" s="253"/>
      <c r="AK88" s="253"/>
      <c r="AL88" s="253"/>
      <c r="AM88" s="253"/>
      <c r="AN88" s="253"/>
      <c r="AO88" s="253"/>
      <c r="AP88" s="253"/>
      <c r="AQ88" s="253"/>
      <c r="AR88" s="253"/>
      <c r="AS88" s="253"/>
      <c r="AT88" s="253"/>
      <c r="AU88" s="255">
        <f>400-400</f>
        <v>0</v>
      </c>
      <c r="AV88" s="253"/>
      <c r="AW88" s="253"/>
      <c r="AX88" s="253"/>
      <c r="AY88" s="253"/>
      <c r="AZ88" s="253"/>
      <c r="BA88" s="253"/>
      <c r="BB88" s="253"/>
      <c r="BC88" s="253"/>
      <c r="BD88" s="253"/>
      <c r="BE88" s="253"/>
      <c r="BF88" s="253"/>
      <c r="BG88" s="253"/>
      <c r="BH88" s="253"/>
      <c r="BI88" s="253"/>
      <c r="BJ88" s="253"/>
      <c r="BK88" s="253"/>
      <c r="BL88" s="253"/>
      <c r="BM88" s="253"/>
      <c r="BN88" s="253"/>
      <c r="BO88" s="253"/>
      <c r="BP88" s="253"/>
      <c r="BQ88" s="253"/>
      <c r="BR88" s="253"/>
      <c r="BS88" s="253"/>
      <c r="BT88" s="253"/>
      <c r="BU88" s="253"/>
      <c r="BV88" s="253"/>
      <c r="BW88" s="253"/>
      <c r="BX88" s="253"/>
      <c r="BY88" s="253"/>
      <c r="BZ88" s="253"/>
      <c r="CA88" s="253"/>
      <c r="CB88" s="253"/>
      <c r="CC88" s="253"/>
      <c r="CD88" s="253"/>
      <c r="CE88" s="253"/>
      <c r="CF88" s="253"/>
      <c r="CG88" s="253"/>
      <c r="CH88" s="253"/>
      <c r="CI88" s="253"/>
      <c r="CJ88" s="253"/>
      <c r="CK88" s="253"/>
      <c r="CL88" s="253"/>
      <c r="CM88" s="253"/>
      <c r="CN88" s="253"/>
      <c r="CO88" s="253"/>
      <c r="CP88" s="253"/>
      <c r="CQ88" s="253"/>
      <c r="CR88" s="253"/>
      <c r="CS88" s="253"/>
      <c r="CT88" s="253"/>
      <c r="CU88" s="253"/>
      <c r="CV88" s="253"/>
      <c r="CW88" s="253"/>
      <c r="CX88" s="253"/>
      <c r="CY88" s="253"/>
      <c r="CZ88" s="253"/>
      <c r="DA88" s="253"/>
      <c r="DB88" s="253"/>
      <c r="DC88" s="253"/>
      <c r="DD88" s="253"/>
      <c r="DE88" s="253"/>
      <c r="DF88" s="253"/>
      <c r="DG88" s="253"/>
      <c r="DH88" s="253"/>
      <c r="DI88" s="253"/>
      <c r="DJ88" s="253"/>
      <c r="DK88" s="253"/>
      <c r="DL88" s="253"/>
      <c r="DM88" s="253"/>
      <c r="DN88" s="253"/>
      <c r="DO88" s="253"/>
      <c r="DP88" s="253"/>
      <c r="DQ88" s="253"/>
      <c r="DR88" s="253"/>
      <c r="DS88" s="253"/>
      <c r="DT88" s="253"/>
      <c r="DU88" s="253"/>
      <c r="DV88" s="253"/>
      <c r="DW88" s="253"/>
      <c r="DX88" s="255">
        <f>120-120</f>
        <v>0</v>
      </c>
      <c r="DY88" s="253"/>
      <c r="DZ88" s="253"/>
      <c r="EA88" s="253"/>
      <c r="EB88" s="253"/>
      <c r="EC88" s="253"/>
      <c r="ED88" s="253"/>
      <c r="EE88" s="253"/>
      <c r="EF88" s="253"/>
      <c r="EG88" s="253"/>
      <c r="EH88" s="253"/>
      <c r="EI88" s="253"/>
      <c r="EJ88" s="253"/>
      <c r="EK88" s="253"/>
      <c r="EL88" s="253"/>
      <c r="EM88" s="255">
        <f>150-150</f>
        <v>0</v>
      </c>
      <c r="EN88" s="253"/>
      <c r="EO88" s="255">
        <f>100-100</f>
        <v>0</v>
      </c>
      <c r="EP88" s="253"/>
      <c r="EQ88" s="253"/>
      <c r="ER88" s="253"/>
      <c r="ES88" s="253"/>
      <c r="ET88" s="253"/>
      <c r="EU88" s="255">
        <f>100-100</f>
        <v>0</v>
      </c>
      <c r="EV88" s="255">
        <f>100-100</f>
        <v>0</v>
      </c>
      <c r="EW88" s="253"/>
      <c r="EX88" s="255">
        <f>80-80</f>
        <v>0</v>
      </c>
      <c r="EY88" s="253"/>
      <c r="EZ88" s="255">
        <f>50-50</f>
        <v>0</v>
      </c>
      <c r="FA88" s="253"/>
      <c r="FB88" s="255">
        <f>80-80</f>
        <v>0</v>
      </c>
      <c r="FC88" s="255">
        <f>10-10</f>
        <v>0</v>
      </c>
      <c r="FD88" s="253"/>
      <c r="FE88" s="253"/>
      <c r="FF88" s="255">
        <f>30-30</f>
        <v>0</v>
      </c>
      <c r="FG88" s="253"/>
      <c r="FH88" s="253"/>
      <c r="FI88" s="253"/>
      <c r="FJ88" s="253"/>
      <c r="FK88" s="256"/>
      <c r="FL88" s="257" t="s">
        <v>817</v>
      </c>
      <c r="FM88" s="258" t="s">
        <v>389</v>
      </c>
      <c r="FN88" s="258" t="s">
        <v>855</v>
      </c>
      <c r="FO88" s="258" t="s">
        <v>439</v>
      </c>
      <c r="FP88" s="259">
        <f t="shared" si="6"/>
        <v>20</v>
      </c>
      <c r="FQ88" s="260" t="s">
        <v>421</v>
      </c>
      <c r="FR88" s="260"/>
    </row>
    <row r="89" spans="1:174">
      <c r="A89" s="251" t="s">
        <v>417</v>
      </c>
      <c r="B89" s="251" t="s">
        <v>385</v>
      </c>
      <c r="C89" s="251" t="s">
        <v>411</v>
      </c>
      <c r="D89" s="251" t="s">
        <v>291</v>
      </c>
      <c r="E89" s="252" t="s">
        <v>856</v>
      </c>
      <c r="F89" s="251" t="s">
        <v>388</v>
      </c>
      <c r="G89" s="251" t="s">
        <v>857</v>
      </c>
      <c r="H89" s="253"/>
      <c r="I89" s="253"/>
      <c r="J89" s="253"/>
      <c r="K89" s="253"/>
      <c r="L89" s="253"/>
      <c r="M89" s="253"/>
      <c r="N89" s="253"/>
      <c r="O89" s="253"/>
      <c r="P89" s="253"/>
      <c r="Q89" s="253"/>
      <c r="R89" s="253"/>
      <c r="S89" s="253"/>
      <c r="T89" s="253"/>
      <c r="U89" s="253"/>
      <c r="V89" s="253"/>
      <c r="W89" s="253"/>
      <c r="X89" s="253"/>
      <c r="Y89" s="253"/>
      <c r="Z89" s="253"/>
      <c r="AA89" s="253"/>
      <c r="AB89" s="253"/>
      <c r="AC89" s="253"/>
      <c r="AD89" s="253"/>
      <c r="AE89" s="253"/>
      <c r="AF89" s="253"/>
      <c r="AG89" s="253"/>
      <c r="AH89" s="255">
        <f>250-250</f>
        <v>0</v>
      </c>
      <c r="AI89" s="253"/>
      <c r="AJ89" s="253"/>
      <c r="AK89" s="253"/>
      <c r="AL89" s="253"/>
      <c r="AM89" s="253"/>
      <c r="AN89" s="253"/>
      <c r="AO89" s="253"/>
      <c r="AP89" s="253"/>
      <c r="AQ89" s="253"/>
      <c r="AR89" s="253"/>
      <c r="AS89" s="253"/>
      <c r="AT89" s="253"/>
      <c r="AU89" s="253"/>
      <c r="AV89" s="253"/>
      <c r="AW89" s="253"/>
      <c r="AX89" s="253"/>
      <c r="AY89" s="253"/>
      <c r="AZ89" s="253"/>
      <c r="BA89" s="253"/>
      <c r="BB89" s="253"/>
      <c r="BC89" s="253"/>
      <c r="BD89" s="253"/>
      <c r="BE89" s="253"/>
      <c r="BF89" s="255">
        <f>50-50</f>
        <v>0</v>
      </c>
      <c r="BG89" s="253"/>
      <c r="BH89" s="253"/>
      <c r="BI89" s="253"/>
      <c r="BJ89" s="253"/>
      <c r="BK89" s="253"/>
      <c r="BL89" s="253"/>
      <c r="BM89" s="253"/>
      <c r="BN89" s="253"/>
      <c r="BO89" s="253"/>
      <c r="BP89" s="253"/>
      <c r="BQ89" s="253"/>
      <c r="BR89" s="253"/>
      <c r="BS89" s="253"/>
      <c r="BT89" s="253"/>
      <c r="BU89" s="253"/>
      <c r="BV89" s="253"/>
      <c r="BW89" s="253"/>
      <c r="BX89" s="253"/>
      <c r="BY89" s="253"/>
      <c r="BZ89" s="253"/>
      <c r="CA89" s="253"/>
      <c r="CB89" s="253"/>
      <c r="CC89" s="253"/>
      <c r="CD89" s="253"/>
      <c r="CE89" s="253"/>
      <c r="CF89" s="253"/>
      <c r="CG89" s="253"/>
      <c r="CH89" s="253"/>
      <c r="CI89" s="253"/>
      <c r="CJ89" s="253"/>
      <c r="CK89" s="253"/>
      <c r="CL89" s="253"/>
      <c r="CM89" s="253"/>
      <c r="CN89" s="253"/>
      <c r="CO89" s="253"/>
      <c r="CP89" s="253"/>
      <c r="CQ89" s="253"/>
      <c r="CR89" s="253"/>
      <c r="CS89" s="253"/>
      <c r="CT89" s="253"/>
      <c r="CU89" s="253"/>
      <c r="CV89" s="253"/>
      <c r="CW89" s="253"/>
      <c r="CX89" s="253"/>
      <c r="CY89" s="253"/>
      <c r="CZ89" s="253"/>
      <c r="DA89" s="253"/>
      <c r="DB89" s="253"/>
      <c r="DC89" s="253"/>
      <c r="DD89" s="253"/>
      <c r="DE89" s="253"/>
      <c r="DF89" s="253"/>
      <c r="DG89" s="253"/>
      <c r="DH89" s="253"/>
      <c r="DI89" s="253"/>
      <c r="DJ89" s="253"/>
      <c r="DK89" s="253"/>
      <c r="DL89" s="253"/>
      <c r="DM89" s="253"/>
      <c r="DN89" s="253"/>
      <c r="DO89" s="253"/>
      <c r="DP89" s="253"/>
      <c r="DQ89" s="253"/>
      <c r="DR89" s="253"/>
      <c r="DS89" s="253"/>
      <c r="DT89" s="253"/>
      <c r="DU89" s="253"/>
      <c r="DV89" s="253"/>
      <c r="DW89" s="253"/>
      <c r="DX89" s="253"/>
      <c r="DY89" s="253"/>
      <c r="DZ89" s="253"/>
      <c r="EA89" s="253"/>
      <c r="EB89" s="253"/>
      <c r="EC89" s="253"/>
      <c r="ED89" s="253"/>
      <c r="EE89" s="253"/>
      <c r="EF89" s="253"/>
      <c r="EG89" s="253"/>
      <c r="EH89" s="253"/>
      <c r="EI89" s="253"/>
      <c r="EJ89" s="253"/>
      <c r="EK89" s="253"/>
      <c r="EL89" s="253"/>
      <c r="EM89" s="253"/>
      <c r="EN89" s="253"/>
      <c r="EO89" s="253"/>
      <c r="EP89" s="253"/>
      <c r="EQ89" s="253"/>
      <c r="ER89" s="253"/>
      <c r="ES89" s="253"/>
      <c r="ET89" s="253"/>
      <c r="EU89" s="253"/>
      <c r="EV89" s="253"/>
      <c r="EW89" s="253"/>
      <c r="EX89" s="253"/>
      <c r="EY89" s="253"/>
      <c r="EZ89" s="253"/>
      <c r="FA89" s="253"/>
      <c r="FB89" s="253"/>
      <c r="FC89" s="253"/>
      <c r="FD89" s="253"/>
      <c r="FE89" s="253"/>
      <c r="FF89" s="253"/>
      <c r="FG89" s="253"/>
      <c r="FH89" s="253"/>
      <c r="FI89" s="253"/>
      <c r="FJ89" s="253"/>
      <c r="FK89" s="262"/>
      <c r="FL89" s="257" t="s">
        <v>817</v>
      </c>
      <c r="FM89" s="258" t="s">
        <v>389</v>
      </c>
      <c r="FN89" s="258" t="s">
        <v>858</v>
      </c>
      <c r="FO89" s="258" t="s">
        <v>420</v>
      </c>
      <c r="FP89" s="259">
        <f t="shared" si="6"/>
        <v>0</v>
      </c>
      <c r="FQ89" s="260" t="s">
        <v>433</v>
      </c>
      <c r="FR89" s="260"/>
    </row>
    <row r="90" spans="1:174">
      <c r="A90" s="251" t="s">
        <v>417</v>
      </c>
      <c r="B90" s="251" t="s">
        <v>385</v>
      </c>
      <c r="C90" s="251" t="s">
        <v>411</v>
      </c>
      <c r="D90" s="251" t="s">
        <v>1</v>
      </c>
      <c r="E90" s="252" t="s">
        <v>856</v>
      </c>
      <c r="F90" s="251" t="s">
        <v>388</v>
      </c>
      <c r="G90" s="251" t="s">
        <v>857</v>
      </c>
      <c r="H90" s="253"/>
      <c r="I90" s="253"/>
      <c r="J90" s="253"/>
      <c r="K90" s="253"/>
      <c r="L90" s="253"/>
      <c r="M90" s="253"/>
      <c r="N90" s="253"/>
      <c r="O90" s="253"/>
      <c r="P90" s="253"/>
      <c r="Q90" s="253"/>
      <c r="R90" s="253"/>
      <c r="S90" s="253"/>
      <c r="T90" s="253"/>
      <c r="U90" s="253"/>
      <c r="V90" s="253"/>
      <c r="W90" s="253"/>
      <c r="X90" s="253"/>
      <c r="Y90" s="253"/>
      <c r="Z90" s="253"/>
      <c r="AA90" s="253"/>
      <c r="AB90" s="255">
        <f>200-200</f>
        <v>0</v>
      </c>
      <c r="AC90" s="253"/>
      <c r="AD90" s="253"/>
      <c r="AE90" s="253"/>
      <c r="AF90" s="253"/>
      <c r="AG90" s="253"/>
      <c r="AH90" s="253"/>
      <c r="AI90" s="253"/>
      <c r="AJ90" s="253"/>
      <c r="AK90" s="253"/>
      <c r="AL90" s="253"/>
      <c r="AM90" s="253"/>
      <c r="AN90" s="253"/>
      <c r="AO90" s="253"/>
      <c r="AP90" s="253"/>
      <c r="AQ90" s="253"/>
      <c r="AR90" s="253"/>
      <c r="AS90" s="253"/>
      <c r="AT90" s="253"/>
      <c r="AU90" s="255">
        <f>200-200</f>
        <v>0</v>
      </c>
      <c r="AV90" s="253"/>
      <c r="AW90" s="253"/>
      <c r="AX90" s="253"/>
      <c r="AY90" s="253"/>
      <c r="AZ90" s="253"/>
      <c r="BA90" s="253"/>
      <c r="BB90" s="253"/>
      <c r="BC90" s="253"/>
      <c r="BD90" s="253"/>
      <c r="BE90" s="253"/>
      <c r="BF90" s="253"/>
      <c r="BG90" s="253"/>
      <c r="BH90" s="253"/>
      <c r="BI90" s="253"/>
      <c r="BJ90" s="253"/>
      <c r="BK90" s="253"/>
      <c r="BL90" s="253"/>
      <c r="BM90" s="253"/>
      <c r="BN90" s="253"/>
      <c r="BO90" s="253"/>
      <c r="BP90" s="253"/>
      <c r="BQ90" s="253"/>
      <c r="BR90" s="253"/>
      <c r="BS90" s="253"/>
      <c r="BT90" s="253"/>
      <c r="BU90" s="253"/>
      <c r="BV90" s="253"/>
      <c r="BW90" s="253"/>
      <c r="BX90" s="253"/>
      <c r="BY90" s="253"/>
      <c r="BZ90" s="253"/>
      <c r="CA90" s="253"/>
      <c r="CB90" s="253"/>
      <c r="CC90" s="253"/>
      <c r="CD90" s="253"/>
      <c r="CE90" s="253"/>
      <c r="CF90" s="253"/>
      <c r="CG90" s="253"/>
      <c r="CH90" s="253"/>
      <c r="CI90" s="253"/>
      <c r="CJ90" s="253"/>
      <c r="CK90" s="253"/>
      <c r="CL90" s="253"/>
      <c r="CM90" s="253"/>
      <c r="CN90" s="253"/>
      <c r="CO90" s="253"/>
      <c r="CP90" s="253"/>
      <c r="CQ90" s="253"/>
      <c r="CR90" s="253"/>
      <c r="CS90" s="253"/>
      <c r="CT90" s="253"/>
      <c r="CU90" s="253"/>
      <c r="CV90" s="253"/>
      <c r="CW90" s="253"/>
      <c r="CX90" s="253"/>
      <c r="CY90" s="253"/>
      <c r="CZ90" s="253"/>
      <c r="DA90" s="253"/>
      <c r="DB90" s="253"/>
      <c r="DC90" s="253"/>
      <c r="DD90" s="253"/>
      <c r="DE90" s="253"/>
      <c r="DF90" s="253"/>
      <c r="DG90" s="253"/>
      <c r="DH90" s="253"/>
      <c r="DI90" s="253"/>
      <c r="DJ90" s="253"/>
      <c r="DK90" s="253"/>
      <c r="DL90" s="253"/>
      <c r="DM90" s="253"/>
      <c r="DN90" s="253"/>
      <c r="DO90" s="253"/>
      <c r="DP90" s="253"/>
      <c r="DQ90" s="253"/>
      <c r="DR90" s="253"/>
      <c r="DS90" s="253"/>
      <c r="DT90" s="253"/>
      <c r="DU90" s="253"/>
      <c r="DV90" s="253"/>
      <c r="DW90" s="253"/>
      <c r="DX90" s="253"/>
      <c r="DY90" s="253"/>
      <c r="DZ90" s="253"/>
      <c r="EA90" s="253"/>
      <c r="EB90" s="253"/>
      <c r="EC90" s="253"/>
      <c r="ED90" s="253"/>
      <c r="EE90" s="253"/>
      <c r="EF90" s="253"/>
      <c r="EG90" s="253"/>
      <c r="EH90" s="253"/>
      <c r="EI90" s="253"/>
      <c r="EJ90" s="253"/>
      <c r="EK90" s="253"/>
      <c r="EL90" s="253"/>
      <c r="EM90" s="253"/>
      <c r="EN90" s="253"/>
      <c r="EO90" s="253"/>
      <c r="EP90" s="253"/>
      <c r="EQ90" s="253"/>
      <c r="ER90" s="253"/>
      <c r="ES90" s="253"/>
      <c r="ET90" s="253"/>
      <c r="EU90" s="253"/>
      <c r="EV90" s="253"/>
      <c r="EW90" s="253"/>
      <c r="EX90" s="253"/>
      <c r="EY90" s="253"/>
      <c r="EZ90" s="253"/>
      <c r="FA90" s="253"/>
      <c r="FB90" s="253"/>
      <c r="FC90" s="253"/>
      <c r="FD90" s="253"/>
      <c r="FE90" s="253"/>
      <c r="FF90" s="253"/>
      <c r="FG90" s="253"/>
      <c r="FH90" s="253"/>
      <c r="FI90" s="253"/>
      <c r="FJ90" s="253"/>
      <c r="FK90" s="262"/>
      <c r="FL90" s="257" t="s">
        <v>817</v>
      </c>
      <c r="FM90" s="258" t="s">
        <v>389</v>
      </c>
      <c r="FN90" s="258" t="s">
        <v>858</v>
      </c>
      <c r="FO90" s="258" t="s">
        <v>420</v>
      </c>
      <c r="FP90" s="259">
        <f t="shared" si="6"/>
        <v>0</v>
      </c>
      <c r="FQ90" s="260" t="s">
        <v>433</v>
      </c>
      <c r="FR90" s="260"/>
    </row>
    <row r="91" spans="1:174">
      <c r="A91" s="251" t="s">
        <v>393</v>
      </c>
      <c r="B91" s="251" t="s">
        <v>385</v>
      </c>
      <c r="C91" s="251" t="s">
        <v>411</v>
      </c>
      <c r="D91" s="251" t="s">
        <v>291</v>
      </c>
      <c r="E91" s="252" t="s">
        <v>859</v>
      </c>
      <c r="F91" s="251" t="s">
        <v>388</v>
      </c>
      <c r="G91" s="251"/>
      <c r="H91" s="253"/>
      <c r="I91" s="253"/>
      <c r="J91" s="253"/>
      <c r="K91" s="253"/>
      <c r="L91" s="253"/>
      <c r="M91" s="253"/>
      <c r="N91" s="253"/>
      <c r="O91" s="253"/>
      <c r="P91" s="253"/>
      <c r="Q91" s="253"/>
      <c r="R91" s="253"/>
      <c r="S91" s="253"/>
      <c r="T91" s="253"/>
      <c r="U91" s="253"/>
      <c r="V91" s="253"/>
      <c r="W91" s="253"/>
      <c r="X91" s="253"/>
      <c r="Y91" s="253"/>
      <c r="Z91" s="253"/>
      <c r="AA91" s="253"/>
      <c r="AB91" s="253"/>
      <c r="AC91" s="253"/>
      <c r="AD91" s="254">
        <f>0+20</f>
        <v>20</v>
      </c>
      <c r="AE91" s="253"/>
      <c r="AF91" s="253"/>
      <c r="AG91" s="255">
        <f>100-100</f>
        <v>0</v>
      </c>
      <c r="AH91" s="255">
        <f>40-40</f>
        <v>0</v>
      </c>
      <c r="AI91" s="253"/>
      <c r="AJ91" s="253"/>
      <c r="AK91" s="253"/>
      <c r="AL91" s="253"/>
      <c r="AM91" s="253"/>
      <c r="AN91" s="253"/>
      <c r="AO91" s="253"/>
      <c r="AP91" s="253"/>
      <c r="AQ91" s="255">
        <f>80-80</f>
        <v>0</v>
      </c>
      <c r="AR91" s="255">
        <f>50-50</f>
        <v>0</v>
      </c>
      <c r="AS91" s="253"/>
      <c r="AT91" s="253"/>
      <c r="AU91" s="253"/>
      <c r="AV91" s="253"/>
      <c r="AW91" s="253"/>
      <c r="AX91" s="253"/>
      <c r="AY91" s="253"/>
      <c r="AZ91" s="253"/>
      <c r="BA91" s="253"/>
      <c r="BB91" s="253"/>
      <c r="BC91" s="253"/>
      <c r="BD91" s="253"/>
      <c r="BE91" s="253"/>
      <c r="BF91" s="253"/>
      <c r="BG91" s="253"/>
      <c r="BH91" s="253"/>
      <c r="BI91" s="253"/>
      <c r="BJ91" s="253"/>
      <c r="BK91" s="253"/>
      <c r="BL91" s="253"/>
      <c r="BM91" s="253"/>
      <c r="BN91" s="253"/>
      <c r="BO91" s="253"/>
      <c r="BP91" s="253"/>
      <c r="BQ91" s="253"/>
      <c r="BR91" s="253"/>
      <c r="BS91" s="253"/>
      <c r="BT91" s="253"/>
      <c r="BU91" s="253"/>
      <c r="BV91" s="253"/>
      <c r="BW91" s="253"/>
      <c r="BX91" s="253"/>
      <c r="BY91" s="253"/>
      <c r="BZ91" s="253"/>
      <c r="CA91" s="253"/>
      <c r="CB91" s="253"/>
      <c r="CC91" s="253"/>
      <c r="CD91" s="253"/>
      <c r="CE91" s="253"/>
      <c r="CF91" s="253"/>
      <c r="CG91" s="253"/>
      <c r="CH91" s="253"/>
      <c r="CI91" s="253"/>
      <c r="CJ91" s="253"/>
      <c r="CK91" s="253"/>
      <c r="CL91" s="253"/>
      <c r="CM91" s="253"/>
      <c r="CN91" s="253"/>
      <c r="CO91" s="253"/>
      <c r="CP91" s="253"/>
      <c r="CQ91" s="253"/>
      <c r="CR91" s="253"/>
      <c r="CS91" s="253"/>
      <c r="CT91" s="253"/>
      <c r="CU91" s="253"/>
      <c r="CV91" s="253"/>
      <c r="CW91" s="253"/>
      <c r="CX91" s="253"/>
      <c r="CY91" s="253"/>
      <c r="CZ91" s="253"/>
      <c r="DA91" s="253"/>
      <c r="DB91" s="253"/>
      <c r="DC91" s="253"/>
      <c r="DD91" s="253"/>
      <c r="DE91" s="253"/>
      <c r="DF91" s="253"/>
      <c r="DG91" s="253"/>
      <c r="DH91" s="253"/>
      <c r="DI91" s="253"/>
      <c r="DJ91" s="253"/>
      <c r="DK91" s="253"/>
      <c r="DL91" s="253"/>
      <c r="DM91" s="253"/>
      <c r="DN91" s="253"/>
      <c r="DO91" s="253"/>
      <c r="DP91" s="253"/>
      <c r="DQ91" s="253"/>
      <c r="DR91" s="253"/>
      <c r="DS91" s="253"/>
      <c r="DT91" s="253"/>
      <c r="DU91" s="253"/>
      <c r="DV91" s="253"/>
      <c r="DW91" s="253"/>
      <c r="DX91" s="253"/>
      <c r="DY91" s="253"/>
      <c r="DZ91" s="253"/>
      <c r="EA91" s="253"/>
      <c r="EB91" s="253"/>
      <c r="EC91" s="253"/>
      <c r="ED91" s="253"/>
      <c r="EE91" s="253"/>
      <c r="EF91" s="253"/>
      <c r="EG91" s="253"/>
      <c r="EH91" s="253"/>
      <c r="EI91" s="253"/>
      <c r="EJ91" s="253"/>
      <c r="EK91" s="253"/>
      <c r="EL91" s="253"/>
      <c r="EM91" s="253"/>
      <c r="EN91" s="253"/>
      <c r="EO91" s="253"/>
      <c r="EP91" s="253"/>
      <c r="EQ91" s="253"/>
      <c r="ER91" s="253"/>
      <c r="ES91" s="253"/>
      <c r="ET91" s="253"/>
      <c r="EU91" s="253"/>
      <c r="EV91" s="253"/>
      <c r="EW91" s="253"/>
      <c r="EX91" s="253"/>
      <c r="EY91" s="253"/>
      <c r="EZ91" s="253"/>
      <c r="FA91" s="253"/>
      <c r="FB91" s="253"/>
      <c r="FC91" s="253"/>
      <c r="FD91" s="253"/>
      <c r="FE91" s="253"/>
      <c r="FF91" s="253"/>
      <c r="FG91" s="253"/>
      <c r="FH91" s="253"/>
      <c r="FI91" s="253"/>
      <c r="FJ91" s="253"/>
      <c r="FK91" s="256"/>
      <c r="FL91" s="257" t="s">
        <v>817</v>
      </c>
      <c r="FM91" s="258" t="s">
        <v>389</v>
      </c>
      <c r="FN91" s="258"/>
      <c r="FO91" s="258" t="s">
        <v>416</v>
      </c>
      <c r="FP91" s="259">
        <f t="shared" si="6"/>
        <v>20</v>
      </c>
      <c r="FQ91" s="260" t="s">
        <v>414</v>
      </c>
      <c r="FR91" s="260"/>
    </row>
    <row r="92" spans="1:174">
      <c r="A92" s="251" t="s">
        <v>393</v>
      </c>
      <c r="B92" s="251" t="s">
        <v>385</v>
      </c>
      <c r="C92" s="251" t="s">
        <v>411</v>
      </c>
      <c r="D92" s="251" t="s">
        <v>1</v>
      </c>
      <c r="E92" s="252" t="s">
        <v>859</v>
      </c>
      <c r="F92" s="251" t="s">
        <v>388</v>
      </c>
      <c r="G92" s="251"/>
      <c r="H92" s="253"/>
      <c r="I92" s="253"/>
      <c r="J92" s="253"/>
      <c r="K92" s="253"/>
      <c r="L92" s="253"/>
      <c r="M92" s="253"/>
      <c r="N92" s="253"/>
      <c r="O92" s="255">
        <f>40-40</f>
        <v>0</v>
      </c>
      <c r="P92" s="253"/>
      <c r="Q92" s="253"/>
      <c r="R92" s="253"/>
      <c r="S92" s="253"/>
      <c r="T92" s="253"/>
      <c r="U92" s="253"/>
      <c r="V92" s="253"/>
      <c r="W92" s="253"/>
      <c r="X92" s="253"/>
      <c r="Y92" s="253"/>
      <c r="Z92" s="253"/>
      <c r="AA92" s="253"/>
      <c r="AB92" s="253"/>
      <c r="AC92" s="253"/>
      <c r="AD92" s="255">
        <f>100-100</f>
        <v>0</v>
      </c>
      <c r="AE92" s="253"/>
      <c r="AF92" s="255">
        <f>100-100</f>
        <v>0</v>
      </c>
      <c r="AG92" s="253"/>
      <c r="AH92" s="253"/>
      <c r="AI92" s="253"/>
      <c r="AJ92" s="253"/>
      <c r="AK92" s="253"/>
      <c r="AL92" s="253"/>
      <c r="AM92" s="253"/>
      <c r="AN92" s="253"/>
      <c r="AO92" s="253"/>
      <c r="AP92" s="253"/>
      <c r="AQ92" s="253"/>
      <c r="AR92" s="253"/>
      <c r="AS92" s="253"/>
      <c r="AT92" s="253"/>
      <c r="AU92" s="255">
        <f>100-100</f>
        <v>0</v>
      </c>
      <c r="AV92" s="253"/>
      <c r="AW92" s="253"/>
      <c r="AX92" s="253"/>
      <c r="AY92" s="253"/>
      <c r="AZ92" s="253"/>
      <c r="BA92" s="253"/>
      <c r="BB92" s="253"/>
      <c r="BC92" s="253"/>
      <c r="BD92" s="253"/>
      <c r="BE92" s="253"/>
      <c r="BF92" s="253"/>
      <c r="BG92" s="253"/>
      <c r="BH92" s="253"/>
      <c r="BI92" s="253"/>
      <c r="BJ92" s="253"/>
      <c r="BK92" s="253"/>
      <c r="BL92" s="253"/>
      <c r="BM92" s="253"/>
      <c r="BN92" s="253"/>
      <c r="BO92" s="253"/>
      <c r="BP92" s="253"/>
      <c r="BQ92" s="253"/>
      <c r="BR92" s="253"/>
      <c r="BS92" s="253"/>
      <c r="BT92" s="253"/>
      <c r="BU92" s="253"/>
      <c r="BV92" s="253"/>
      <c r="BW92" s="253"/>
      <c r="BX92" s="253"/>
      <c r="BY92" s="253"/>
      <c r="BZ92" s="253"/>
      <c r="CA92" s="253"/>
      <c r="CB92" s="253"/>
      <c r="CC92" s="253"/>
      <c r="CD92" s="253"/>
      <c r="CE92" s="253"/>
      <c r="CF92" s="253"/>
      <c r="CG92" s="253"/>
      <c r="CH92" s="253"/>
      <c r="CI92" s="253"/>
      <c r="CJ92" s="253"/>
      <c r="CK92" s="253"/>
      <c r="CL92" s="253"/>
      <c r="CM92" s="253"/>
      <c r="CN92" s="253"/>
      <c r="CO92" s="253"/>
      <c r="CP92" s="253"/>
      <c r="CQ92" s="253"/>
      <c r="CR92" s="253"/>
      <c r="CS92" s="253"/>
      <c r="CT92" s="253"/>
      <c r="CU92" s="253"/>
      <c r="CV92" s="253"/>
      <c r="CW92" s="253"/>
      <c r="CX92" s="253"/>
      <c r="CY92" s="253"/>
      <c r="CZ92" s="253"/>
      <c r="DA92" s="253"/>
      <c r="DB92" s="253"/>
      <c r="DC92" s="253"/>
      <c r="DD92" s="253"/>
      <c r="DE92" s="253"/>
      <c r="DF92" s="253"/>
      <c r="DG92" s="253"/>
      <c r="DH92" s="253"/>
      <c r="DI92" s="253"/>
      <c r="DJ92" s="253"/>
      <c r="DK92" s="253"/>
      <c r="DL92" s="253"/>
      <c r="DM92" s="253"/>
      <c r="DN92" s="253"/>
      <c r="DO92" s="253"/>
      <c r="DP92" s="253"/>
      <c r="DQ92" s="253"/>
      <c r="DR92" s="253"/>
      <c r="DS92" s="253"/>
      <c r="DT92" s="253"/>
      <c r="DU92" s="253"/>
      <c r="DV92" s="253"/>
      <c r="DW92" s="253"/>
      <c r="DX92" s="253"/>
      <c r="DY92" s="253"/>
      <c r="DZ92" s="253"/>
      <c r="EA92" s="253"/>
      <c r="EB92" s="255">
        <f>20-20</f>
        <v>0</v>
      </c>
      <c r="EC92" s="255">
        <f>20-20</f>
        <v>0</v>
      </c>
      <c r="ED92" s="253"/>
      <c r="EE92" s="253"/>
      <c r="EF92" s="255">
        <f>20-20</f>
        <v>0</v>
      </c>
      <c r="EG92" s="255">
        <f>20-20</f>
        <v>0</v>
      </c>
      <c r="EH92" s="255">
        <f>20-20</f>
        <v>0</v>
      </c>
      <c r="EI92" s="255">
        <f>20-20</f>
        <v>0</v>
      </c>
      <c r="EJ92" s="255">
        <f>20-20</f>
        <v>0</v>
      </c>
      <c r="EK92" s="253"/>
      <c r="EL92" s="255">
        <f>20-20</f>
        <v>0</v>
      </c>
      <c r="EM92" s="253"/>
      <c r="EN92" s="255">
        <f>20-20</f>
        <v>0</v>
      </c>
      <c r="EO92" s="255">
        <f>20-20</f>
        <v>0</v>
      </c>
      <c r="EP92" s="253"/>
      <c r="EQ92" s="253"/>
      <c r="ER92" s="253"/>
      <c r="ES92" s="253"/>
      <c r="ET92" s="253"/>
      <c r="EU92" s="253"/>
      <c r="EV92" s="253"/>
      <c r="EW92" s="253"/>
      <c r="EX92" s="253"/>
      <c r="EY92" s="253"/>
      <c r="EZ92" s="253"/>
      <c r="FA92" s="253"/>
      <c r="FB92" s="253"/>
      <c r="FC92" s="253"/>
      <c r="FD92" s="253"/>
      <c r="FE92" s="253"/>
      <c r="FF92" s="253"/>
      <c r="FG92" s="253"/>
      <c r="FH92" s="253"/>
      <c r="FI92" s="253"/>
      <c r="FJ92" s="253"/>
      <c r="FK92" s="256"/>
      <c r="FL92" s="257" t="s">
        <v>817</v>
      </c>
      <c r="FM92" s="258" t="s">
        <v>389</v>
      </c>
      <c r="FN92" s="258"/>
      <c r="FO92" s="258" t="s">
        <v>416</v>
      </c>
      <c r="FP92" s="259">
        <f t="shared" si="6"/>
        <v>0</v>
      </c>
      <c r="FQ92" s="260" t="s">
        <v>414</v>
      </c>
      <c r="FR92" s="260"/>
    </row>
    <row r="93" spans="1:174">
      <c r="A93" s="251" t="s">
        <v>393</v>
      </c>
      <c r="B93" s="251" t="s">
        <v>385</v>
      </c>
      <c r="C93" s="251" t="s">
        <v>411</v>
      </c>
      <c r="D93" s="251" t="s">
        <v>291</v>
      </c>
      <c r="E93" s="252" t="s">
        <v>860</v>
      </c>
      <c r="F93" s="251" t="s">
        <v>388</v>
      </c>
      <c r="G93" s="251"/>
      <c r="H93" s="253"/>
      <c r="I93" s="253"/>
      <c r="J93" s="253"/>
      <c r="K93" s="253"/>
      <c r="L93" s="253"/>
      <c r="M93" s="253"/>
      <c r="N93" s="253"/>
      <c r="O93" s="253"/>
      <c r="P93" s="253"/>
      <c r="Q93" s="253"/>
      <c r="R93" s="253"/>
      <c r="S93" s="253"/>
      <c r="T93" s="253"/>
      <c r="U93" s="253"/>
      <c r="V93" s="253"/>
      <c r="W93" s="253"/>
      <c r="X93" s="253"/>
      <c r="Y93" s="253"/>
      <c r="Z93" s="253"/>
      <c r="AA93" s="253"/>
      <c r="AB93" s="253"/>
      <c r="AC93" s="253"/>
      <c r="AD93" s="253"/>
      <c r="AE93" s="253"/>
      <c r="AF93" s="253"/>
      <c r="AG93" s="253"/>
      <c r="AH93" s="253"/>
      <c r="AI93" s="253"/>
      <c r="AJ93" s="253"/>
      <c r="AK93" s="253"/>
      <c r="AL93" s="253"/>
      <c r="AM93" s="253"/>
      <c r="AN93" s="253"/>
      <c r="AO93" s="253"/>
      <c r="AP93" s="253"/>
      <c r="AQ93" s="255">
        <f>500-500</f>
        <v>0</v>
      </c>
      <c r="AR93" s="255">
        <f>500-500</f>
        <v>0</v>
      </c>
      <c r="AS93" s="253"/>
      <c r="AT93" s="253"/>
      <c r="AU93" s="253"/>
      <c r="AV93" s="253"/>
      <c r="AW93" s="253"/>
      <c r="AX93" s="253"/>
      <c r="AY93" s="253"/>
      <c r="AZ93" s="253"/>
      <c r="BA93" s="253"/>
      <c r="BB93" s="253"/>
      <c r="BC93" s="253"/>
      <c r="BD93" s="253"/>
      <c r="BE93" s="253"/>
      <c r="BF93" s="255">
        <f>200-200</f>
        <v>0</v>
      </c>
      <c r="BG93" s="253"/>
      <c r="BH93" s="253"/>
      <c r="BI93" s="253"/>
      <c r="BJ93" s="253"/>
      <c r="BK93" s="253"/>
      <c r="BL93" s="253"/>
      <c r="BM93" s="253"/>
      <c r="BN93" s="253"/>
      <c r="BO93" s="253"/>
      <c r="BP93" s="253"/>
      <c r="BQ93" s="253"/>
      <c r="BR93" s="253"/>
      <c r="BS93" s="253"/>
      <c r="BT93" s="253"/>
      <c r="BU93" s="253"/>
      <c r="BV93" s="253"/>
      <c r="BW93" s="253"/>
      <c r="BX93" s="253"/>
      <c r="BY93" s="253"/>
      <c r="BZ93" s="253"/>
      <c r="CA93" s="253"/>
      <c r="CB93" s="253"/>
      <c r="CC93" s="253"/>
      <c r="CD93" s="253"/>
      <c r="CE93" s="253"/>
      <c r="CF93" s="253"/>
      <c r="CG93" s="253"/>
      <c r="CH93" s="253"/>
      <c r="CI93" s="253"/>
      <c r="CJ93" s="253"/>
      <c r="CK93" s="253"/>
      <c r="CL93" s="253"/>
      <c r="CM93" s="253"/>
      <c r="CN93" s="253"/>
      <c r="CO93" s="253"/>
      <c r="CP93" s="253"/>
      <c r="CQ93" s="253"/>
      <c r="CR93" s="253"/>
      <c r="CS93" s="253"/>
      <c r="CT93" s="253"/>
      <c r="CU93" s="253"/>
      <c r="CV93" s="253"/>
      <c r="CW93" s="253"/>
      <c r="CX93" s="253"/>
      <c r="CY93" s="253"/>
      <c r="CZ93" s="253"/>
      <c r="DA93" s="253"/>
      <c r="DB93" s="253"/>
      <c r="DC93" s="253"/>
      <c r="DD93" s="253"/>
      <c r="DE93" s="253"/>
      <c r="DF93" s="253"/>
      <c r="DG93" s="253"/>
      <c r="DH93" s="253"/>
      <c r="DI93" s="253"/>
      <c r="DJ93" s="253"/>
      <c r="DK93" s="253"/>
      <c r="DL93" s="253"/>
      <c r="DM93" s="253"/>
      <c r="DN93" s="253"/>
      <c r="DO93" s="253"/>
      <c r="DP93" s="253"/>
      <c r="DQ93" s="253"/>
      <c r="DR93" s="253"/>
      <c r="DS93" s="253"/>
      <c r="DT93" s="253"/>
      <c r="DU93" s="253"/>
      <c r="DV93" s="253"/>
      <c r="DW93" s="253"/>
      <c r="DX93" s="253"/>
      <c r="DY93" s="253"/>
      <c r="DZ93" s="253"/>
      <c r="EA93" s="253"/>
      <c r="EB93" s="253"/>
      <c r="EC93" s="253"/>
      <c r="ED93" s="253"/>
      <c r="EE93" s="253"/>
      <c r="EF93" s="253"/>
      <c r="EG93" s="253"/>
      <c r="EH93" s="253"/>
      <c r="EI93" s="253"/>
      <c r="EJ93" s="253"/>
      <c r="EK93" s="253"/>
      <c r="EL93" s="253"/>
      <c r="EM93" s="253"/>
      <c r="EN93" s="253"/>
      <c r="EO93" s="253"/>
      <c r="EP93" s="253"/>
      <c r="EQ93" s="253"/>
      <c r="ER93" s="253"/>
      <c r="ES93" s="253"/>
      <c r="ET93" s="253"/>
      <c r="EU93" s="253"/>
      <c r="EV93" s="253"/>
      <c r="EW93" s="253"/>
      <c r="EX93" s="253"/>
      <c r="EY93" s="253"/>
      <c r="EZ93" s="253"/>
      <c r="FA93" s="253"/>
      <c r="FB93" s="253"/>
      <c r="FC93" s="253"/>
      <c r="FD93" s="253"/>
      <c r="FE93" s="253"/>
      <c r="FF93" s="253"/>
      <c r="FG93" s="253"/>
      <c r="FH93" s="253"/>
      <c r="FI93" s="253"/>
      <c r="FJ93" s="253"/>
      <c r="FK93" s="256"/>
      <c r="FL93" s="257" t="s">
        <v>817</v>
      </c>
      <c r="FM93" s="258" t="s">
        <v>389</v>
      </c>
      <c r="FN93" s="258"/>
      <c r="FO93" s="258" t="s">
        <v>429</v>
      </c>
      <c r="FP93" s="259">
        <f t="shared" si="6"/>
        <v>0</v>
      </c>
      <c r="FQ93" s="260" t="s">
        <v>414</v>
      </c>
      <c r="FR93" s="260"/>
    </row>
    <row r="94" spans="1:174">
      <c r="A94" s="251" t="s">
        <v>393</v>
      </c>
      <c r="B94" s="251" t="s">
        <v>385</v>
      </c>
      <c r="C94" s="251" t="s">
        <v>411</v>
      </c>
      <c r="D94" s="251" t="s">
        <v>1</v>
      </c>
      <c r="E94" s="252" t="s">
        <v>860</v>
      </c>
      <c r="F94" s="251" t="s">
        <v>388</v>
      </c>
      <c r="G94" s="251"/>
      <c r="H94" s="253"/>
      <c r="I94" s="253"/>
      <c r="J94" s="253"/>
      <c r="K94" s="253"/>
      <c r="L94" s="253"/>
      <c r="M94" s="253"/>
      <c r="N94" s="253"/>
      <c r="O94" s="253"/>
      <c r="P94" s="253"/>
      <c r="Q94" s="253"/>
      <c r="R94" s="253"/>
      <c r="S94" s="253"/>
      <c r="T94" s="253"/>
      <c r="U94" s="253"/>
      <c r="V94" s="253"/>
      <c r="W94" s="253"/>
      <c r="X94" s="253"/>
      <c r="Y94" s="253"/>
      <c r="Z94" s="253"/>
      <c r="AA94" s="253"/>
      <c r="AB94" s="253"/>
      <c r="AC94" s="253"/>
      <c r="AD94" s="253"/>
      <c r="AE94" s="253"/>
      <c r="AF94" s="253"/>
      <c r="AG94" s="253"/>
      <c r="AH94" s="253"/>
      <c r="AI94" s="253"/>
      <c r="AJ94" s="253"/>
      <c r="AK94" s="253"/>
      <c r="AL94" s="253"/>
      <c r="AM94" s="253"/>
      <c r="AN94" s="255">
        <f>500-500</f>
        <v>0</v>
      </c>
      <c r="AO94" s="253"/>
      <c r="AP94" s="253"/>
      <c r="AQ94" s="253"/>
      <c r="AR94" s="253"/>
      <c r="AS94" s="253"/>
      <c r="AT94" s="253"/>
      <c r="AU94" s="255">
        <f>500-500</f>
        <v>0</v>
      </c>
      <c r="AV94" s="253"/>
      <c r="AW94" s="253"/>
      <c r="AX94" s="253"/>
      <c r="AY94" s="253"/>
      <c r="AZ94" s="253"/>
      <c r="BA94" s="253"/>
      <c r="BB94" s="253"/>
      <c r="BC94" s="253"/>
      <c r="BD94" s="253"/>
      <c r="BE94" s="253"/>
      <c r="BF94" s="253"/>
      <c r="BG94" s="253"/>
      <c r="BH94" s="253"/>
      <c r="BI94" s="253"/>
      <c r="BJ94" s="253"/>
      <c r="BK94" s="253"/>
      <c r="BL94" s="253"/>
      <c r="BM94" s="253"/>
      <c r="BN94" s="253"/>
      <c r="BO94" s="253"/>
      <c r="BP94" s="253"/>
      <c r="BQ94" s="253"/>
      <c r="BR94" s="253"/>
      <c r="BS94" s="253"/>
      <c r="BT94" s="253"/>
      <c r="BU94" s="253"/>
      <c r="BV94" s="253"/>
      <c r="BW94" s="253"/>
      <c r="BX94" s="253"/>
      <c r="BY94" s="253"/>
      <c r="BZ94" s="253"/>
      <c r="CA94" s="253"/>
      <c r="CB94" s="253"/>
      <c r="CC94" s="253"/>
      <c r="CD94" s="253"/>
      <c r="CE94" s="253"/>
      <c r="CF94" s="253"/>
      <c r="CG94" s="253"/>
      <c r="CH94" s="253"/>
      <c r="CI94" s="253"/>
      <c r="CJ94" s="253"/>
      <c r="CK94" s="253"/>
      <c r="CL94" s="253"/>
      <c r="CM94" s="253"/>
      <c r="CN94" s="253"/>
      <c r="CO94" s="253"/>
      <c r="CP94" s="253"/>
      <c r="CQ94" s="253"/>
      <c r="CR94" s="253"/>
      <c r="CS94" s="253"/>
      <c r="CT94" s="253"/>
      <c r="CU94" s="253"/>
      <c r="CV94" s="253"/>
      <c r="CW94" s="253"/>
      <c r="CX94" s="253"/>
      <c r="CY94" s="253"/>
      <c r="CZ94" s="253"/>
      <c r="DA94" s="253"/>
      <c r="DB94" s="253"/>
      <c r="DC94" s="253"/>
      <c r="DD94" s="253"/>
      <c r="DE94" s="253"/>
      <c r="DF94" s="253"/>
      <c r="DG94" s="253"/>
      <c r="DH94" s="253"/>
      <c r="DI94" s="253"/>
      <c r="DJ94" s="253"/>
      <c r="DK94" s="253"/>
      <c r="DL94" s="253"/>
      <c r="DM94" s="253"/>
      <c r="DN94" s="253"/>
      <c r="DO94" s="253"/>
      <c r="DP94" s="253"/>
      <c r="DQ94" s="253"/>
      <c r="DR94" s="253"/>
      <c r="DS94" s="253"/>
      <c r="DT94" s="253"/>
      <c r="DU94" s="253"/>
      <c r="DV94" s="253"/>
      <c r="DW94" s="253"/>
      <c r="DX94" s="253"/>
      <c r="DY94" s="253"/>
      <c r="DZ94" s="253"/>
      <c r="EA94" s="253"/>
      <c r="EB94" s="253"/>
      <c r="EC94" s="253"/>
      <c r="ED94" s="253"/>
      <c r="EE94" s="253"/>
      <c r="EF94" s="253"/>
      <c r="EG94" s="253"/>
      <c r="EH94" s="253"/>
      <c r="EI94" s="253"/>
      <c r="EJ94" s="253"/>
      <c r="EK94" s="253"/>
      <c r="EL94" s="255">
        <f>300-300</f>
        <v>0</v>
      </c>
      <c r="EM94" s="255">
        <f>300-300</f>
        <v>0</v>
      </c>
      <c r="EN94" s="253"/>
      <c r="EO94" s="255">
        <f>300-300</f>
        <v>0</v>
      </c>
      <c r="EP94" s="253"/>
      <c r="EQ94" s="253"/>
      <c r="ER94" s="253"/>
      <c r="ES94" s="253"/>
      <c r="ET94" s="253"/>
      <c r="EU94" s="253"/>
      <c r="EV94" s="253"/>
      <c r="EW94" s="253"/>
      <c r="EX94" s="253"/>
      <c r="EY94" s="253"/>
      <c r="EZ94" s="253"/>
      <c r="FA94" s="253"/>
      <c r="FB94" s="253"/>
      <c r="FC94" s="253"/>
      <c r="FD94" s="253"/>
      <c r="FE94" s="253"/>
      <c r="FF94" s="253"/>
      <c r="FG94" s="255">
        <f>200-200</f>
        <v>0</v>
      </c>
      <c r="FH94" s="255">
        <f>500-500</f>
        <v>0</v>
      </c>
      <c r="FI94" s="253"/>
      <c r="FJ94" s="253"/>
      <c r="FK94" s="256"/>
      <c r="FL94" s="257" t="s">
        <v>817</v>
      </c>
      <c r="FM94" s="258" t="s">
        <v>389</v>
      </c>
      <c r="FN94" s="258"/>
      <c r="FO94" s="258" t="s">
        <v>429</v>
      </c>
      <c r="FP94" s="259">
        <f t="shared" si="6"/>
        <v>0</v>
      </c>
      <c r="FQ94" s="260" t="s">
        <v>414</v>
      </c>
      <c r="FR94" s="260"/>
    </row>
    <row r="95" spans="1:174">
      <c r="A95" s="251" t="s">
        <v>393</v>
      </c>
      <c r="B95" s="251" t="s">
        <v>385</v>
      </c>
      <c r="C95" s="251" t="s">
        <v>411</v>
      </c>
      <c r="D95" s="251" t="s">
        <v>291</v>
      </c>
      <c r="E95" s="252" t="s">
        <v>446</v>
      </c>
      <c r="F95" s="251" t="s">
        <v>388</v>
      </c>
      <c r="G95" s="251" t="s">
        <v>861</v>
      </c>
      <c r="H95" s="253"/>
      <c r="I95" s="255">
        <f>300-300</f>
        <v>0</v>
      </c>
      <c r="J95" s="253"/>
      <c r="K95" s="255">
        <f>300-300</f>
        <v>0</v>
      </c>
      <c r="L95" s="253"/>
      <c r="M95" s="253"/>
      <c r="N95" s="255">
        <f>480-480</f>
        <v>0</v>
      </c>
      <c r="O95" s="253"/>
      <c r="P95" s="253"/>
      <c r="Q95" s="253"/>
      <c r="R95" s="253"/>
      <c r="S95" s="253"/>
      <c r="T95" s="253"/>
      <c r="U95" s="253"/>
      <c r="V95" s="253"/>
      <c r="W95" s="253"/>
      <c r="X95" s="253"/>
      <c r="Y95" s="253"/>
      <c r="Z95" s="253"/>
      <c r="AA95" s="253"/>
      <c r="AB95" s="253"/>
      <c r="AC95" s="253"/>
      <c r="AD95" s="253"/>
      <c r="AE95" s="253"/>
      <c r="AF95" s="253"/>
      <c r="AG95" s="255">
        <f>1000-1000</f>
        <v>0</v>
      </c>
      <c r="AH95" s="255">
        <f>920-920</f>
        <v>0</v>
      </c>
      <c r="AI95" s="253"/>
      <c r="AJ95" s="253"/>
      <c r="AK95" s="253"/>
      <c r="AL95" s="253"/>
      <c r="AM95" s="253"/>
      <c r="AN95" s="253"/>
      <c r="AO95" s="254">
        <f>480-480+9</f>
        <v>9</v>
      </c>
      <c r="AP95" s="253"/>
      <c r="AQ95" s="255">
        <f>500-500</f>
        <v>0</v>
      </c>
      <c r="AR95" s="253"/>
      <c r="AS95" s="253"/>
      <c r="AT95" s="253"/>
      <c r="AU95" s="253"/>
      <c r="AV95" s="253"/>
      <c r="AW95" s="253"/>
      <c r="AX95" s="253"/>
      <c r="AY95" s="255">
        <f>500-500</f>
        <v>0</v>
      </c>
      <c r="AZ95" s="253"/>
      <c r="BA95" s="253"/>
      <c r="BB95" s="253"/>
      <c r="BC95" s="253"/>
      <c r="BD95" s="253"/>
      <c r="BE95" s="253"/>
      <c r="BF95" s="255">
        <f>380-380</f>
        <v>0</v>
      </c>
      <c r="BG95" s="253"/>
      <c r="BH95" s="253"/>
      <c r="BI95" s="253"/>
      <c r="BJ95" s="253"/>
      <c r="BK95" s="253"/>
      <c r="BL95" s="253"/>
      <c r="BM95" s="253"/>
      <c r="BN95" s="253"/>
      <c r="BO95" s="253"/>
      <c r="BP95" s="253"/>
      <c r="BQ95" s="253"/>
      <c r="BR95" s="253"/>
      <c r="BS95" s="253"/>
      <c r="BT95" s="253"/>
      <c r="BU95" s="253"/>
      <c r="BV95" s="253"/>
      <c r="BW95" s="253"/>
      <c r="BX95" s="253"/>
      <c r="BY95" s="253"/>
      <c r="BZ95" s="253"/>
      <c r="CA95" s="253"/>
      <c r="CB95" s="253"/>
      <c r="CC95" s="253"/>
      <c r="CD95" s="253"/>
      <c r="CE95" s="253"/>
      <c r="CF95" s="253"/>
      <c r="CG95" s="253"/>
      <c r="CH95" s="253"/>
      <c r="CI95" s="253"/>
      <c r="CJ95" s="253"/>
      <c r="CK95" s="253"/>
      <c r="CL95" s="253"/>
      <c r="CM95" s="253"/>
      <c r="CN95" s="253"/>
      <c r="CO95" s="253"/>
      <c r="CP95" s="253"/>
      <c r="CQ95" s="253"/>
      <c r="CR95" s="253"/>
      <c r="CS95" s="253"/>
      <c r="CT95" s="253"/>
      <c r="CU95" s="253"/>
      <c r="CV95" s="253"/>
      <c r="CW95" s="253"/>
      <c r="CX95" s="253"/>
      <c r="CY95" s="253"/>
      <c r="CZ95" s="253"/>
      <c r="DA95" s="253"/>
      <c r="DB95" s="253"/>
      <c r="DC95" s="253"/>
      <c r="DD95" s="253"/>
      <c r="DE95" s="253"/>
      <c r="DF95" s="253"/>
      <c r="DG95" s="253"/>
      <c r="DH95" s="253"/>
      <c r="DI95" s="253"/>
      <c r="DJ95" s="253"/>
      <c r="DK95" s="253"/>
      <c r="DL95" s="253"/>
      <c r="DM95" s="253"/>
      <c r="DN95" s="253"/>
      <c r="DO95" s="253"/>
      <c r="DP95" s="253"/>
      <c r="DQ95" s="253"/>
      <c r="DR95" s="253"/>
      <c r="DS95" s="253"/>
      <c r="DT95" s="253"/>
      <c r="DU95" s="253"/>
      <c r="DV95" s="253"/>
      <c r="DW95" s="253"/>
      <c r="DX95" s="253"/>
      <c r="DY95" s="253"/>
      <c r="DZ95" s="253"/>
      <c r="EA95" s="253"/>
      <c r="EB95" s="253"/>
      <c r="EC95" s="253"/>
      <c r="ED95" s="253"/>
      <c r="EE95" s="253"/>
      <c r="EF95" s="253"/>
      <c r="EG95" s="253"/>
      <c r="EH95" s="253"/>
      <c r="EI95" s="253"/>
      <c r="EJ95" s="253"/>
      <c r="EK95" s="253"/>
      <c r="EL95" s="253"/>
      <c r="EM95" s="253"/>
      <c r="EN95" s="253"/>
      <c r="EO95" s="253"/>
      <c r="EP95" s="253"/>
      <c r="EQ95" s="253"/>
      <c r="ER95" s="253"/>
      <c r="ES95" s="253"/>
      <c r="ET95" s="253"/>
      <c r="EU95" s="253"/>
      <c r="EV95" s="253"/>
      <c r="EW95" s="253"/>
      <c r="EX95" s="253"/>
      <c r="EY95" s="253"/>
      <c r="EZ95" s="253"/>
      <c r="FA95" s="253"/>
      <c r="FB95" s="253"/>
      <c r="FC95" s="253"/>
      <c r="FD95" s="253"/>
      <c r="FE95" s="253"/>
      <c r="FF95" s="253"/>
      <c r="FG95" s="253"/>
      <c r="FH95" s="253"/>
      <c r="FI95" s="253"/>
      <c r="FJ95" s="253"/>
      <c r="FK95" s="256"/>
      <c r="FL95" s="257" t="s">
        <v>817</v>
      </c>
      <c r="FM95" s="258" t="s">
        <v>389</v>
      </c>
      <c r="FN95" s="258"/>
      <c r="FO95" s="258" t="s">
        <v>423</v>
      </c>
      <c r="FP95" s="259">
        <f t="shared" si="6"/>
        <v>9</v>
      </c>
      <c r="FQ95" s="260" t="s">
        <v>835</v>
      </c>
      <c r="FR95" s="260"/>
    </row>
    <row r="96" spans="1:174">
      <c r="A96" s="251" t="s">
        <v>393</v>
      </c>
      <c r="B96" s="251" t="s">
        <v>385</v>
      </c>
      <c r="C96" s="251" t="s">
        <v>411</v>
      </c>
      <c r="D96" s="251" t="s">
        <v>1</v>
      </c>
      <c r="E96" s="252" t="s">
        <v>446</v>
      </c>
      <c r="F96" s="251" t="s">
        <v>388</v>
      </c>
      <c r="G96" s="251" t="s">
        <v>861</v>
      </c>
      <c r="H96" s="253"/>
      <c r="I96" s="253"/>
      <c r="J96" s="253"/>
      <c r="K96" s="253"/>
      <c r="L96" s="253"/>
      <c r="M96" s="253"/>
      <c r="N96" s="254">
        <f>0+20</f>
        <v>20</v>
      </c>
      <c r="O96" s="255">
        <f>500-500</f>
        <v>0</v>
      </c>
      <c r="P96" s="255">
        <f>500-500</f>
        <v>0</v>
      </c>
      <c r="Q96" s="253"/>
      <c r="R96" s="253"/>
      <c r="S96" s="255">
        <f>300-300</f>
        <v>0</v>
      </c>
      <c r="T96" s="253"/>
      <c r="U96" s="253"/>
      <c r="V96" s="253"/>
      <c r="W96" s="253"/>
      <c r="X96" s="253"/>
      <c r="Y96" s="253"/>
      <c r="Z96" s="253"/>
      <c r="AA96" s="253"/>
      <c r="AB96" s="253"/>
      <c r="AC96" s="255">
        <f>300-300</f>
        <v>0</v>
      </c>
      <c r="AD96" s="253"/>
      <c r="AE96" s="255">
        <f>500-500</f>
        <v>0</v>
      </c>
      <c r="AF96" s="253"/>
      <c r="AG96" s="253"/>
      <c r="AH96" s="253"/>
      <c r="AI96" s="253"/>
      <c r="AJ96" s="253"/>
      <c r="AK96" s="253"/>
      <c r="AL96" s="253"/>
      <c r="AM96" s="253"/>
      <c r="AN96" s="253"/>
      <c r="AO96" s="253"/>
      <c r="AP96" s="253"/>
      <c r="AQ96" s="253"/>
      <c r="AR96" s="253"/>
      <c r="AS96" s="255">
        <f>300-300</f>
        <v>0</v>
      </c>
      <c r="AT96" s="255">
        <f>280-280</f>
        <v>0</v>
      </c>
      <c r="AU96" s="255">
        <f>780-780</f>
        <v>0</v>
      </c>
      <c r="AV96" s="255">
        <f>500-500</f>
        <v>0</v>
      </c>
      <c r="AW96" s="255">
        <f>500-500</f>
        <v>0</v>
      </c>
      <c r="AX96" s="253"/>
      <c r="AY96" s="253"/>
      <c r="AZ96" s="253"/>
      <c r="BA96" s="253"/>
      <c r="BB96" s="253"/>
      <c r="BC96" s="253"/>
      <c r="BD96" s="253"/>
      <c r="BE96" s="253"/>
      <c r="BF96" s="253"/>
      <c r="BG96" s="253"/>
      <c r="BH96" s="253"/>
      <c r="BI96" s="253"/>
      <c r="BJ96" s="253"/>
      <c r="BK96" s="253"/>
      <c r="BL96" s="253"/>
      <c r="BM96" s="253"/>
      <c r="BN96" s="253"/>
      <c r="BO96" s="255">
        <f>288-288</f>
        <v>0</v>
      </c>
      <c r="BP96" s="253"/>
      <c r="BQ96" s="253"/>
      <c r="BR96" s="253"/>
      <c r="BS96" s="253"/>
      <c r="BT96" s="253"/>
      <c r="BU96" s="253"/>
      <c r="BV96" s="253"/>
      <c r="BW96" s="253"/>
      <c r="BX96" s="253"/>
      <c r="BY96" s="253"/>
      <c r="BZ96" s="253"/>
      <c r="CA96" s="253"/>
      <c r="CB96" s="253"/>
      <c r="CC96" s="253"/>
      <c r="CD96" s="253"/>
      <c r="CE96" s="253"/>
      <c r="CF96" s="253"/>
      <c r="CG96" s="253"/>
      <c r="CH96" s="253"/>
      <c r="CI96" s="253"/>
      <c r="CJ96" s="253"/>
      <c r="CK96" s="253"/>
      <c r="CL96" s="253"/>
      <c r="CM96" s="253"/>
      <c r="CN96" s="253"/>
      <c r="CO96" s="253"/>
      <c r="CP96" s="253"/>
      <c r="CQ96" s="253"/>
      <c r="CR96" s="253"/>
      <c r="CS96" s="253"/>
      <c r="CT96" s="253"/>
      <c r="CU96" s="253"/>
      <c r="CV96" s="253"/>
      <c r="CW96" s="253"/>
      <c r="CX96" s="253"/>
      <c r="CY96" s="253"/>
      <c r="CZ96" s="253"/>
      <c r="DA96" s="253"/>
      <c r="DB96" s="253"/>
      <c r="DC96" s="253"/>
      <c r="DD96" s="253"/>
      <c r="DE96" s="253"/>
      <c r="DF96" s="253"/>
      <c r="DG96" s="253"/>
      <c r="DH96" s="253"/>
      <c r="DI96" s="253"/>
      <c r="DJ96" s="253"/>
      <c r="DK96" s="253"/>
      <c r="DL96" s="253"/>
      <c r="DM96" s="253"/>
      <c r="DN96" s="253"/>
      <c r="DO96" s="253"/>
      <c r="DP96" s="253"/>
      <c r="DQ96" s="253"/>
      <c r="DR96" s="253"/>
      <c r="DS96" s="253"/>
      <c r="DT96" s="253"/>
      <c r="DU96" s="253"/>
      <c r="DV96" s="253"/>
      <c r="DW96" s="253"/>
      <c r="DX96" s="253"/>
      <c r="DY96" s="253"/>
      <c r="DZ96" s="253"/>
      <c r="EA96" s="253"/>
      <c r="EB96" s="253"/>
      <c r="EC96" s="253"/>
      <c r="ED96" s="253"/>
      <c r="EE96" s="255">
        <f>500-500</f>
        <v>0</v>
      </c>
      <c r="EF96" s="255">
        <f>990-990</f>
        <v>0</v>
      </c>
      <c r="EG96" s="255">
        <f>500-500</f>
        <v>0</v>
      </c>
      <c r="EH96" s="255">
        <f>1000-1000</f>
        <v>0</v>
      </c>
      <c r="EI96" s="253"/>
      <c r="EJ96" s="255">
        <f>1000-1000</f>
        <v>0</v>
      </c>
      <c r="EK96" s="255">
        <f>1000-1000</f>
        <v>0</v>
      </c>
      <c r="EL96" s="255">
        <f>1000-1000</f>
        <v>0</v>
      </c>
      <c r="EM96" s="255">
        <f>1000-1000</f>
        <v>0</v>
      </c>
      <c r="EN96" s="253"/>
      <c r="EO96" s="255">
        <f>1000-1000</f>
        <v>0</v>
      </c>
      <c r="EP96" s="253"/>
      <c r="EQ96" s="253"/>
      <c r="ER96" s="253"/>
      <c r="ES96" s="253"/>
      <c r="ET96" s="253"/>
      <c r="EU96" s="253"/>
      <c r="EV96" s="253"/>
      <c r="EW96" s="253"/>
      <c r="EX96" s="253"/>
      <c r="EY96" s="253"/>
      <c r="EZ96" s="253"/>
      <c r="FA96" s="253"/>
      <c r="FB96" s="253"/>
      <c r="FC96" s="253"/>
      <c r="FD96" s="253"/>
      <c r="FE96" s="253"/>
      <c r="FF96" s="253"/>
      <c r="FG96" s="255">
        <f>1000-1000</f>
        <v>0</v>
      </c>
      <c r="FH96" s="255">
        <f>990-990</f>
        <v>0</v>
      </c>
      <c r="FI96" s="253"/>
      <c r="FJ96" s="253"/>
      <c r="FK96" s="256"/>
      <c r="FL96" s="257" t="s">
        <v>817</v>
      </c>
      <c r="FM96" s="258" t="s">
        <v>389</v>
      </c>
      <c r="FN96" s="258"/>
      <c r="FO96" s="258" t="s">
        <v>423</v>
      </c>
      <c r="FP96" s="259">
        <f t="shared" si="6"/>
        <v>20</v>
      </c>
      <c r="FQ96" s="260" t="s">
        <v>835</v>
      </c>
      <c r="FR96" s="260"/>
    </row>
    <row r="97" spans="1:174">
      <c r="A97" s="251" t="s">
        <v>393</v>
      </c>
      <c r="B97" s="251" t="s">
        <v>385</v>
      </c>
      <c r="C97" s="251" t="s">
        <v>411</v>
      </c>
      <c r="D97" s="251" t="s">
        <v>293</v>
      </c>
      <c r="E97" s="252" t="s">
        <v>446</v>
      </c>
      <c r="F97" s="251" t="s">
        <v>388</v>
      </c>
      <c r="G97" s="251" t="s">
        <v>842</v>
      </c>
      <c r="H97" s="253"/>
      <c r="I97" s="253"/>
      <c r="J97" s="255">
        <f>200-200</f>
        <v>0</v>
      </c>
      <c r="K97" s="253"/>
      <c r="L97" s="253"/>
      <c r="M97" s="253"/>
      <c r="N97" s="253"/>
      <c r="O97" s="253"/>
      <c r="P97" s="253"/>
      <c r="Q97" s="253"/>
      <c r="R97" s="253"/>
      <c r="S97" s="253"/>
      <c r="T97" s="253"/>
      <c r="U97" s="253"/>
      <c r="V97" s="253"/>
      <c r="W97" s="253"/>
      <c r="X97" s="253"/>
      <c r="Y97" s="253"/>
      <c r="Z97" s="253"/>
      <c r="AA97" s="253"/>
      <c r="AB97" s="253"/>
      <c r="AC97" s="253"/>
      <c r="AD97" s="253"/>
      <c r="AE97" s="253"/>
      <c r="AF97" s="253"/>
      <c r="AG97" s="253"/>
      <c r="AH97" s="253"/>
      <c r="AI97" s="253"/>
      <c r="AJ97" s="253"/>
      <c r="AK97" s="253"/>
      <c r="AL97" s="253"/>
      <c r="AM97" s="253"/>
      <c r="AN97" s="253"/>
      <c r="AO97" s="253"/>
      <c r="AP97" s="253"/>
      <c r="AQ97" s="253"/>
      <c r="AR97" s="253"/>
      <c r="AS97" s="253"/>
      <c r="AT97" s="253"/>
      <c r="AU97" s="253"/>
      <c r="AV97" s="253"/>
      <c r="AW97" s="253"/>
      <c r="AX97" s="253"/>
      <c r="AY97" s="253"/>
      <c r="AZ97" s="253"/>
      <c r="BA97" s="253"/>
      <c r="BB97" s="253"/>
      <c r="BC97" s="253"/>
      <c r="BD97" s="253"/>
      <c r="BE97" s="253"/>
      <c r="BF97" s="253"/>
      <c r="BG97" s="253"/>
      <c r="BH97" s="253"/>
      <c r="BI97" s="253"/>
      <c r="BJ97" s="253"/>
      <c r="BK97" s="253"/>
      <c r="BL97" s="253"/>
      <c r="BM97" s="253"/>
      <c r="BN97" s="253"/>
      <c r="BO97" s="253"/>
      <c r="BP97" s="253"/>
      <c r="BQ97" s="253"/>
      <c r="BR97" s="253"/>
      <c r="BS97" s="253"/>
      <c r="BT97" s="253"/>
      <c r="BU97" s="253"/>
      <c r="BV97" s="253"/>
      <c r="BW97" s="253"/>
      <c r="BX97" s="253"/>
      <c r="BY97" s="253"/>
      <c r="BZ97" s="253"/>
      <c r="CA97" s="253"/>
      <c r="CB97" s="253"/>
      <c r="CC97" s="253"/>
      <c r="CD97" s="253"/>
      <c r="CE97" s="253"/>
      <c r="CF97" s="253"/>
      <c r="CG97" s="253"/>
      <c r="CH97" s="253"/>
      <c r="CI97" s="253"/>
      <c r="CJ97" s="253"/>
      <c r="CK97" s="253"/>
      <c r="CL97" s="253"/>
      <c r="CM97" s="253"/>
      <c r="CN97" s="253"/>
      <c r="CO97" s="253"/>
      <c r="CP97" s="253"/>
      <c r="CQ97" s="253"/>
      <c r="CR97" s="253"/>
      <c r="CS97" s="253"/>
      <c r="CT97" s="253"/>
      <c r="CU97" s="253"/>
      <c r="CV97" s="253"/>
      <c r="CW97" s="253"/>
      <c r="CX97" s="253"/>
      <c r="CY97" s="253"/>
      <c r="CZ97" s="253"/>
      <c r="DA97" s="253"/>
      <c r="DB97" s="253"/>
      <c r="DC97" s="253"/>
      <c r="DD97" s="253"/>
      <c r="DE97" s="253"/>
      <c r="DF97" s="253"/>
      <c r="DG97" s="253"/>
      <c r="DH97" s="253"/>
      <c r="DI97" s="253"/>
      <c r="DJ97" s="253"/>
      <c r="DK97" s="253"/>
      <c r="DL97" s="253"/>
      <c r="DM97" s="253"/>
      <c r="DN97" s="253"/>
      <c r="DO97" s="253"/>
      <c r="DP97" s="253"/>
      <c r="DQ97" s="253"/>
      <c r="DR97" s="253"/>
      <c r="DS97" s="253"/>
      <c r="DT97" s="253"/>
      <c r="DU97" s="253"/>
      <c r="DV97" s="253"/>
      <c r="DW97" s="253"/>
      <c r="DX97" s="253"/>
      <c r="DY97" s="253"/>
      <c r="DZ97" s="253"/>
      <c r="EA97" s="253"/>
      <c r="EB97" s="253"/>
      <c r="EC97" s="253"/>
      <c r="ED97" s="253"/>
      <c r="EE97" s="253"/>
      <c r="EF97" s="253"/>
      <c r="EG97" s="253"/>
      <c r="EH97" s="253"/>
      <c r="EI97" s="253"/>
      <c r="EJ97" s="253"/>
      <c r="EK97" s="253"/>
      <c r="EL97" s="253"/>
      <c r="EM97" s="253"/>
      <c r="EN97" s="253"/>
      <c r="EO97" s="253"/>
      <c r="EP97" s="253"/>
      <c r="EQ97" s="253"/>
      <c r="ER97" s="253"/>
      <c r="ES97" s="253"/>
      <c r="ET97" s="253"/>
      <c r="EU97" s="253"/>
      <c r="EV97" s="253"/>
      <c r="EW97" s="253"/>
      <c r="EX97" s="253"/>
      <c r="EY97" s="253"/>
      <c r="EZ97" s="253"/>
      <c r="FA97" s="253"/>
      <c r="FB97" s="253"/>
      <c r="FC97" s="253"/>
      <c r="FD97" s="253"/>
      <c r="FE97" s="253"/>
      <c r="FF97" s="253"/>
      <c r="FG97" s="253"/>
      <c r="FH97" s="253"/>
      <c r="FI97" s="253"/>
      <c r="FJ97" s="253"/>
      <c r="FK97" s="256"/>
      <c r="FL97" s="257" t="s">
        <v>817</v>
      </c>
      <c r="FM97" s="258" t="s">
        <v>389</v>
      </c>
      <c r="FN97" s="258"/>
      <c r="FO97" s="258" t="s">
        <v>423</v>
      </c>
      <c r="FP97" s="259">
        <f t="shared" si="6"/>
        <v>0</v>
      </c>
      <c r="FQ97" s="260" t="s">
        <v>835</v>
      </c>
      <c r="FR97" s="260"/>
    </row>
    <row r="98" spans="1:174">
      <c r="A98" s="251" t="s">
        <v>385</v>
      </c>
      <c r="B98" s="251" t="s">
        <v>385</v>
      </c>
      <c r="C98" s="251" t="s">
        <v>411</v>
      </c>
      <c r="D98" s="251" t="s">
        <v>291</v>
      </c>
      <c r="E98" s="252" t="s">
        <v>862</v>
      </c>
      <c r="F98" s="251" t="s">
        <v>388</v>
      </c>
      <c r="G98" s="251" t="s">
        <v>863</v>
      </c>
      <c r="H98" s="253"/>
      <c r="I98" s="255">
        <f>100-100</f>
        <v>0</v>
      </c>
      <c r="J98" s="253"/>
      <c r="K98" s="255">
        <f>100-100</f>
        <v>0</v>
      </c>
      <c r="L98" s="253"/>
      <c r="M98" s="253"/>
      <c r="N98" s="253"/>
      <c r="O98" s="253"/>
      <c r="P98" s="253"/>
      <c r="Q98" s="253"/>
      <c r="R98" s="253"/>
      <c r="S98" s="253"/>
      <c r="T98" s="253"/>
      <c r="U98" s="253"/>
      <c r="V98" s="253"/>
      <c r="W98" s="253"/>
      <c r="X98" s="253"/>
      <c r="Y98" s="253"/>
      <c r="Z98" s="253"/>
      <c r="AA98" s="253"/>
      <c r="AB98" s="253"/>
      <c r="AC98" s="253"/>
      <c r="AD98" s="253"/>
      <c r="AE98" s="253"/>
      <c r="AF98" s="253"/>
      <c r="AG98" s="255">
        <f>20-20</f>
        <v>0</v>
      </c>
      <c r="AH98" s="253"/>
      <c r="AI98" s="253"/>
      <c r="AJ98" s="253"/>
      <c r="AK98" s="253"/>
      <c r="AL98" s="253"/>
      <c r="AM98" s="253"/>
      <c r="AN98" s="253"/>
      <c r="AO98" s="253"/>
      <c r="AP98" s="253"/>
      <c r="AQ98" s="253"/>
      <c r="AR98" s="253"/>
      <c r="AS98" s="253"/>
      <c r="AT98" s="253"/>
      <c r="AU98" s="253"/>
      <c r="AV98" s="253"/>
      <c r="AW98" s="253"/>
      <c r="AX98" s="253"/>
      <c r="AY98" s="253"/>
      <c r="AZ98" s="253"/>
      <c r="BA98" s="253"/>
      <c r="BB98" s="253"/>
      <c r="BC98" s="253"/>
      <c r="BD98" s="253"/>
      <c r="BE98" s="253"/>
      <c r="BF98" s="255">
        <f>50-50</f>
        <v>0</v>
      </c>
      <c r="BG98" s="253"/>
      <c r="BH98" s="253"/>
      <c r="BI98" s="253"/>
      <c r="BJ98" s="253"/>
      <c r="BK98" s="253"/>
      <c r="BL98" s="253"/>
      <c r="BM98" s="253"/>
      <c r="BN98" s="253"/>
      <c r="BO98" s="253"/>
      <c r="BP98" s="253"/>
      <c r="BQ98" s="253"/>
      <c r="BR98" s="253"/>
      <c r="BS98" s="253"/>
      <c r="BT98" s="253"/>
      <c r="BU98" s="253"/>
      <c r="BV98" s="253"/>
      <c r="BW98" s="253"/>
      <c r="BX98" s="253"/>
      <c r="BY98" s="253"/>
      <c r="BZ98" s="253"/>
      <c r="CA98" s="253"/>
      <c r="CB98" s="253"/>
      <c r="CC98" s="253"/>
      <c r="CD98" s="253"/>
      <c r="CE98" s="253"/>
      <c r="CF98" s="253"/>
      <c r="CG98" s="253"/>
      <c r="CH98" s="253"/>
      <c r="CI98" s="253"/>
      <c r="CJ98" s="253"/>
      <c r="CK98" s="253"/>
      <c r="CL98" s="253"/>
      <c r="CM98" s="253"/>
      <c r="CN98" s="253"/>
      <c r="CO98" s="253"/>
      <c r="CP98" s="253"/>
      <c r="CQ98" s="253"/>
      <c r="CR98" s="253"/>
      <c r="CS98" s="253"/>
      <c r="CT98" s="253"/>
      <c r="CU98" s="253"/>
      <c r="CV98" s="253"/>
      <c r="CW98" s="253"/>
      <c r="CX98" s="253"/>
      <c r="CY98" s="253"/>
      <c r="CZ98" s="253"/>
      <c r="DA98" s="253"/>
      <c r="DB98" s="253"/>
      <c r="DC98" s="253"/>
      <c r="DD98" s="253"/>
      <c r="DE98" s="253"/>
      <c r="DF98" s="253"/>
      <c r="DG98" s="253"/>
      <c r="DH98" s="253"/>
      <c r="DI98" s="253"/>
      <c r="DJ98" s="253"/>
      <c r="DK98" s="253"/>
      <c r="DL98" s="253"/>
      <c r="DM98" s="253"/>
      <c r="DN98" s="253"/>
      <c r="DO98" s="253"/>
      <c r="DP98" s="253"/>
      <c r="DQ98" s="253"/>
      <c r="DR98" s="253"/>
      <c r="DS98" s="253"/>
      <c r="DT98" s="253"/>
      <c r="DU98" s="253"/>
      <c r="DV98" s="253"/>
      <c r="DW98" s="253"/>
      <c r="DX98" s="253"/>
      <c r="DY98" s="253"/>
      <c r="DZ98" s="253"/>
      <c r="EA98" s="253"/>
      <c r="EB98" s="253"/>
      <c r="EC98" s="253"/>
      <c r="ED98" s="253"/>
      <c r="EE98" s="253"/>
      <c r="EF98" s="253"/>
      <c r="EG98" s="253"/>
      <c r="EH98" s="253"/>
      <c r="EI98" s="253"/>
      <c r="EJ98" s="253"/>
      <c r="EK98" s="253"/>
      <c r="EL98" s="253"/>
      <c r="EM98" s="253"/>
      <c r="EN98" s="253"/>
      <c r="EO98" s="253"/>
      <c r="EP98" s="253"/>
      <c r="EQ98" s="253"/>
      <c r="ER98" s="253"/>
      <c r="ES98" s="253"/>
      <c r="ET98" s="253"/>
      <c r="EU98" s="253"/>
      <c r="EV98" s="253"/>
      <c r="EW98" s="253"/>
      <c r="EX98" s="253"/>
      <c r="EY98" s="253"/>
      <c r="EZ98" s="253"/>
      <c r="FA98" s="253"/>
      <c r="FB98" s="253"/>
      <c r="FC98" s="253"/>
      <c r="FD98" s="253"/>
      <c r="FE98" s="253"/>
      <c r="FF98" s="253"/>
      <c r="FG98" s="253"/>
      <c r="FH98" s="253"/>
      <c r="FI98" s="253"/>
      <c r="FJ98" s="253"/>
      <c r="FK98" s="262"/>
      <c r="FL98" s="257" t="s">
        <v>817</v>
      </c>
      <c r="FM98" s="258" t="s">
        <v>389</v>
      </c>
      <c r="FN98" s="258" t="s">
        <v>864</v>
      </c>
      <c r="FO98" s="258" t="s">
        <v>432</v>
      </c>
      <c r="FP98" s="259">
        <f t="shared" si="6"/>
        <v>0</v>
      </c>
      <c r="FQ98" s="260" t="s">
        <v>433</v>
      </c>
      <c r="FR98" s="260"/>
    </row>
    <row r="99" spans="1:174">
      <c r="A99" s="251" t="s">
        <v>385</v>
      </c>
      <c r="B99" s="251" t="s">
        <v>385</v>
      </c>
      <c r="C99" s="251" t="s">
        <v>411</v>
      </c>
      <c r="D99" s="251" t="s">
        <v>1</v>
      </c>
      <c r="E99" s="252" t="s">
        <v>862</v>
      </c>
      <c r="F99" s="251" t="s">
        <v>388</v>
      </c>
      <c r="G99" s="251" t="s">
        <v>863</v>
      </c>
      <c r="H99" s="253"/>
      <c r="I99" s="253"/>
      <c r="J99" s="253"/>
      <c r="K99" s="253"/>
      <c r="L99" s="253"/>
      <c r="M99" s="253"/>
      <c r="N99" s="253"/>
      <c r="O99" s="253"/>
      <c r="P99" s="253"/>
      <c r="Q99" s="253"/>
      <c r="R99" s="253"/>
      <c r="S99" s="255">
        <f>50-50</f>
        <v>0</v>
      </c>
      <c r="T99" s="253"/>
      <c r="U99" s="253"/>
      <c r="V99" s="253"/>
      <c r="W99" s="253"/>
      <c r="X99" s="253"/>
      <c r="Y99" s="253"/>
      <c r="Z99" s="253"/>
      <c r="AA99" s="253"/>
      <c r="AB99" s="253"/>
      <c r="AC99" s="253"/>
      <c r="AD99" s="253"/>
      <c r="AE99" s="253"/>
      <c r="AF99" s="253"/>
      <c r="AG99" s="253"/>
      <c r="AH99" s="253"/>
      <c r="AI99" s="253"/>
      <c r="AJ99" s="253"/>
      <c r="AK99" s="253"/>
      <c r="AL99" s="253"/>
      <c r="AM99" s="253"/>
      <c r="AN99" s="253"/>
      <c r="AO99" s="253"/>
      <c r="AP99" s="253"/>
      <c r="AQ99" s="253"/>
      <c r="AR99" s="253"/>
      <c r="AS99" s="253"/>
      <c r="AT99" s="253"/>
      <c r="AU99" s="255">
        <f>20-20</f>
        <v>0</v>
      </c>
      <c r="AV99" s="253"/>
      <c r="AW99" s="253"/>
      <c r="AX99" s="253"/>
      <c r="AY99" s="253"/>
      <c r="AZ99" s="253"/>
      <c r="BA99" s="253"/>
      <c r="BB99" s="253"/>
      <c r="BC99" s="253"/>
      <c r="BD99" s="253"/>
      <c r="BE99" s="253"/>
      <c r="BF99" s="253"/>
      <c r="BG99" s="253"/>
      <c r="BH99" s="253"/>
      <c r="BI99" s="253"/>
      <c r="BJ99" s="253"/>
      <c r="BK99" s="253"/>
      <c r="BL99" s="253"/>
      <c r="BM99" s="253"/>
      <c r="BN99" s="253"/>
      <c r="BO99" s="253"/>
      <c r="BP99" s="253"/>
      <c r="BQ99" s="253"/>
      <c r="BR99" s="253"/>
      <c r="BS99" s="253"/>
      <c r="BT99" s="253"/>
      <c r="BU99" s="253"/>
      <c r="BV99" s="253"/>
      <c r="BW99" s="253"/>
      <c r="BX99" s="253"/>
      <c r="BY99" s="253"/>
      <c r="BZ99" s="253"/>
      <c r="CA99" s="253"/>
      <c r="CB99" s="253"/>
      <c r="CC99" s="253"/>
      <c r="CD99" s="253"/>
      <c r="CE99" s="253"/>
      <c r="CF99" s="253"/>
      <c r="CG99" s="253"/>
      <c r="CH99" s="253"/>
      <c r="CI99" s="253"/>
      <c r="CJ99" s="253"/>
      <c r="CK99" s="253"/>
      <c r="CL99" s="253"/>
      <c r="CM99" s="253"/>
      <c r="CN99" s="253"/>
      <c r="CO99" s="253"/>
      <c r="CP99" s="253"/>
      <c r="CQ99" s="253"/>
      <c r="CR99" s="253"/>
      <c r="CS99" s="253"/>
      <c r="CT99" s="253"/>
      <c r="CU99" s="253"/>
      <c r="CV99" s="253"/>
      <c r="CW99" s="253"/>
      <c r="CX99" s="253"/>
      <c r="CY99" s="253"/>
      <c r="CZ99" s="253"/>
      <c r="DA99" s="253"/>
      <c r="DB99" s="253"/>
      <c r="DC99" s="253"/>
      <c r="DD99" s="253"/>
      <c r="DE99" s="253"/>
      <c r="DF99" s="253"/>
      <c r="DG99" s="253"/>
      <c r="DH99" s="253"/>
      <c r="DI99" s="253"/>
      <c r="DJ99" s="253"/>
      <c r="DK99" s="253"/>
      <c r="DL99" s="253"/>
      <c r="DM99" s="253"/>
      <c r="DN99" s="253"/>
      <c r="DO99" s="253"/>
      <c r="DP99" s="253"/>
      <c r="DQ99" s="253"/>
      <c r="DR99" s="253"/>
      <c r="DS99" s="253"/>
      <c r="DT99" s="253"/>
      <c r="DU99" s="253"/>
      <c r="DV99" s="253"/>
      <c r="DW99" s="253"/>
      <c r="DX99" s="253"/>
      <c r="DY99" s="253"/>
      <c r="DZ99" s="253"/>
      <c r="EA99" s="253"/>
      <c r="EB99" s="253"/>
      <c r="EC99" s="253"/>
      <c r="ED99" s="253"/>
      <c r="EE99" s="253"/>
      <c r="EF99" s="255">
        <f>20-20</f>
        <v>0</v>
      </c>
      <c r="EG99" s="255">
        <f>20-20</f>
        <v>0</v>
      </c>
      <c r="EH99" s="253"/>
      <c r="EI99" s="253"/>
      <c r="EJ99" s="255">
        <f>5-5</f>
        <v>0</v>
      </c>
      <c r="EK99" s="253"/>
      <c r="EL99" s="255">
        <f>5-5</f>
        <v>0</v>
      </c>
      <c r="EM99" s="255">
        <f>5-5</f>
        <v>0</v>
      </c>
      <c r="EN99" s="253"/>
      <c r="EO99" s="255">
        <f>5-5</f>
        <v>0</v>
      </c>
      <c r="EP99" s="253"/>
      <c r="EQ99" s="253"/>
      <c r="ER99" s="253"/>
      <c r="ES99" s="253"/>
      <c r="ET99" s="253"/>
      <c r="EU99" s="253"/>
      <c r="EV99" s="253"/>
      <c r="EW99" s="253"/>
      <c r="EX99" s="253"/>
      <c r="EY99" s="253"/>
      <c r="EZ99" s="253"/>
      <c r="FA99" s="253"/>
      <c r="FB99" s="253"/>
      <c r="FC99" s="253"/>
      <c r="FD99" s="253"/>
      <c r="FE99" s="253"/>
      <c r="FF99" s="253"/>
      <c r="FG99" s="253"/>
      <c r="FH99" s="253"/>
      <c r="FI99" s="253"/>
      <c r="FJ99" s="253"/>
      <c r="FK99" s="262"/>
      <c r="FL99" s="257" t="s">
        <v>817</v>
      </c>
      <c r="FM99" s="258" t="s">
        <v>389</v>
      </c>
      <c r="FN99" s="258" t="s">
        <v>864</v>
      </c>
      <c r="FO99" s="258" t="s">
        <v>432</v>
      </c>
      <c r="FP99" s="259">
        <f t="shared" si="6"/>
        <v>0</v>
      </c>
      <c r="FQ99" s="260" t="s">
        <v>433</v>
      </c>
      <c r="FR99" s="260"/>
    </row>
    <row r="100" spans="1:174">
      <c r="A100" s="251" t="s">
        <v>393</v>
      </c>
      <c r="B100" s="251" t="s">
        <v>392</v>
      </c>
      <c r="C100" s="251" t="s">
        <v>411</v>
      </c>
      <c r="D100" s="251" t="s">
        <v>291</v>
      </c>
      <c r="E100" s="252" t="s">
        <v>865</v>
      </c>
      <c r="F100" s="251" t="s">
        <v>388</v>
      </c>
      <c r="G100" s="251" t="s">
        <v>866</v>
      </c>
      <c r="H100" s="253"/>
      <c r="I100" s="253"/>
      <c r="J100" s="253"/>
      <c r="K100" s="253"/>
      <c r="L100" s="253"/>
      <c r="M100" s="253"/>
      <c r="N100" s="253"/>
      <c r="O100" s="253"/>
      <c r="P100" s="253"/>
      <c r="Q100" s="253"/>
      <c r="R100" s="253"/>
      <c r="S100" s="253"/>
      <c r="T100" s="253"/>
      <c r="U100" s="253"/>
      <c r="V100" s="253"/>
      <c r="W100" s="253"/>
      <c r="X100" s="253"/>
      <c r="Y100" s="253"/>
      <c r="Z100" s="253"/>
      <c r="AA100" s="253"/>
      <c r="AB100" s="253"/>
      <c r="AC100" s="253"/>
      <c r="AD100" s="253"/>
      <c r="AE100" s="253"/>
      <c r="AF100" s="253"/>
      <c r="AG100" s="255">
        <f>100-100</f>
        <v>0</v>
      </c>
      <c r="AH100" s="255">
        <f>30-30</f>
        <v>0</v>
      </c>
      <c r="AI100" s="253"/>
      <c r="AJ100" s="253"/>
      <c r="AK100" s="253"/>
      <c r="AL100" s="253"/>
      <c r="AM100" s="253"/>
      <c r="AN100" s="253"/>
      <c r="AO100" s="253"/>
      <c r="AP100" s="253"/>
      <c r="AQ100" s="254">
        <f>40-40+10</f>
        <v>10</v>
      </c>
      <c r="AR100" s="255">
        <f>130-130</f>
        <v>0</v>
      </c>
      <c r="AS100" s="253"/>
      <c r="AT100" s="253"/>
      <c r="AU100" s="253"/>
      <c r="AV100" s="253"/>
      <c r="AW100" s="253"/>
      <c r="AX100" s="253"/>
      <c r="AY100" s="253"/>
      <c r="AZ100" s="253"/>
      <c r="BA100" s="253"/>
      <c r="BB100" s="253"/>
      <c r="BC100" s="253"/>
      <c r="BD100" s="253"/>
      <c r="BE100" s="253"/>
      <c r="BF100" s="255">
        <f>100-100</f>
        <v>0</v>
      </c>
      <c r="BG100" s="253"/>
      <c r="BH100" s="253"/>
      <c r="BI100" s="253"/>
      <c r="BJ100" s="253"/>
      <c r="BK100" s="253"/>
      <c r="BL100" s="253"/>
      <c r="BM100" s="253"/>
      <c r="BN100" s="253"/>
      <c r="BO100" s="253"/>
      <c r="BP100" s="253"/>
      <c r="BQ100" s="253"/>
      <c r="BR100" s="253"/>
      <c r="BS100" s="253"/>
      <c r="BT100" s="253"/>
      <c r="BU100" s="253"/>
      <c r="BV100" s="253"/>
      <c r="BW100" s="253"/>
      <c r="BX100" s="253"/>
      <c r="BY100" s="253"/>
      <c r="BZ100" s="253"/>
      <c r="CA100" s="253"/>
      <c r="CB100" s="253"/>
      <c r="CC100" s="253"/>
      <c r="CD100" s="253"/>
      <c r="CE100" s="253"/>
      <c r="CF100" s="253"/>
      <c r="CG100" s="253"/>
      <c r="CH100" s="253"/>
      <c r="CI100" s="253"/>
      <c r="CJ100" s="253"/>
      <c r="CK100" s="253"/>
      <c r="CL100" s="253"/>
      <c r="CM100" s="253"/>
      <c r="CN100" s="253"/>
      <c r="CO100" s="253"/>
      <c r="CP100" s="253"/>
      <c r="CQ100" s="253"/>
      <c r="CR100" s="253"/>
      <c r="CS100" s="253"/>
      <c r="CT100" s="253"/>
      <c r="CU100" s="253"/>
      <c r="CV100" s="253"/>
      <c r="CW100" s="253"/>
      <c r="CX100" s="253"/>
      <c r="CY100" s="253"/>
      <c r="CZ100" s="253"/>
      <c r="DA100" s="253"/>
      <c r="DB100" s="253"/>
      <c r="DC100" s="253"/>
      <c r="DD100" s="253"/>
      <c r="DE100" s="253"/>
      <c r="DF100" s="253"/>
      <c r="DG100" s="253"/>
      <c r="DH100" s="253"/>
      <c r="DI100" s="253"/>
      <c r="DJ100" s="253"/>
      <c r="DK100" s="253"/>
      <c r="DL100" s="253"/>
      <c r="DM100" s="253"/>
      <c r="DN100" s="253"/>
      <c r="DO100" s="253"/>
      <c r="DP100" s="253"/>
      <c r="DQ100" s="253"/>
      <c r="DR100" s="253"/>
      <c r="DS100" s="253"/>
      <c r="DT100" s="253"/>
      <c r="DU100" s="253"/>
      <c r="DV100" s="253"/>
      <c r="DW100" s="253"/>
      <c r="DX100" s="253"/>
      <c r="DY100" s="253"/>
      <c r="DZ100" s="253"/>
      <c r="EA100" s="253"/>
      <c r="EB100" s="253"/>
      <c r="EC100" s="253"/>
      <c r="ED100" s="253"/>
      <c r="EE100" s="253"/>
      <c r="EF100" s="253"/>
      <c r="EG100" s="253"/>
      <c r="EH100" s="253"/>
      <c r="EI100" s="253"/>
      <c r="EJ100" s="253"/>
      <c r="EK100" s="253"/>
      <c r="EL100" s="253"/>
      <c r="EM100" s="253"/>
      <c r="EN100" s="253"/>
      <c r="EO100" s="253"/>
      <c r="EP100" s="253"/>
      <c r="EQ100" s="253"/>
      <c r="ER100" s="253"/>
      <c r="ES100" s="253"/>
      <c r="ET100" s="253"/>
      <c r="EU100" s="253"/>
      <c r="EV100" s="253"/>
      <c r="EW100" s="253"/>
      <c r="EX100" s="253"/>
      <c r="EY100" s="253"/>
      <c r="EZ100" s="253"/>
      <c r="FA100" s="253"/>
      <c r="FB100" s="253"/>
      <c r="FC100" s="253"/>
      <c r="FD100" s="253"/>
      <c r="FE100" s="253"/>
      <c r="FF100" s="253"/>
      <c r="FG100" s="253"/>
      <c r="FH100" s="253"/>
      <c r="FI100" s="253"/>
      <c r="FJ100" s="253"/>
      <c r="FK100" s="256"/>
      <c r="FL100" s="257" t="s">
        <v>817</v>
      </c>
      <c r="FM100" s="258" t="s">
        <v>389</v>
      </c>
      <c r="FN100" s="258" t="s">
        <v>867</v>
      </c>
      <c r="FO100" s="258" t="s">
        <v>420</v>
      </c>
      <c r="FP100" s="259">
        <f t="shared" si="6"/>
        <v>10</v>
      </c>
      <c r="FQ100" s="260" t="s">
        <v>421</v>
      </c>
      <c r="FR100" s="260"/>
    </row>
    <row r="101" spans="1:174">
      <c r="A101" s="251" t="s">
        <v>393</v>
      </c>
      <c r="B101" s="251" t="s">
        <v>392</v>
      </c>
      <c r="C101" s="251" t="s">
        <v>411</v>
      </c>
      <c r="D101" s="251" t="s">
        <v>1</v>
      </c>
      <c r="E101" s="252" t="s">
        <v>865</v>
      </c>
      <c r="F101" s="251" t="s">
        <v>388</v>
      </c>
      <c r="G101" s="251" t="s">
        <v>866</v>
      </c>
      <c r="H101" s="253"/>
      <c r="I101" s="253"/>
      <c r="J101" s="253"/>
      <c r="K101" s="253"/>
      <c r="L101" s="253"/>
      <c r="M101" s="253"/>
      <c r="N101" s="253"/>
      <c r="O101" s="253"/>
      <c r="P101" s="253"/>
      <c r="Q101" s="253"/>
      <c r="R101" s="253"/>
      <c r="S101" s="253"/>
      <c r="T101" s="253"/>
      <c r="U101" s="253"/>
      <c r="V101" s="253"/>
      <c r="W101" s="253"/>
      <c r="X101" s="253"/>
      <c r="Y101" s="253"/>
      <c r="Z101" s="253"/>
      <c r="AA101" s="253"/>
      <c r="AB101" s="253"/>
      <c r="AC101" s="253"/>
      <c r="AD101" s="253"/>
      <c r="AE101" s="253"/>
      <c r="AF101" s="253"/>
      <c r="AG101" s="253"/>
      <c r="AH101" s="253"/>
      <c r="AI101" s="253"/>
      <c r="AJ101" s="253"/>
      <c r="AK101" s="253"/>
      <c r="AL101" s="253"/>
      <c r="AM101" s="253"/>
      <c r="AN101" s="253"/>
      <c r="AO101" s="253"/>
      <c r="AP101" s="253"/>
      <c r="AQ101" s="253"/>
      <c r="AR101" s="253"/>
      <c r="AS101" s="253"/>
      <c r="AT101" s="253"/>
      <c r="AU101" s="255">
        <f>100-100</f>
        <v>0</v>
      </c>
      <c r="AV101" s="253"/>
      <c r="AW101" s="253"/>
      <c r="AX101" s="253"/>
      <c r="AY101" s="253"/>
      <c r="AZ101" s="253"/>
      <c r="BA101" s="253"/>
      <c r="BB101" s="253"/>
      <c r="BC101" s="253"/>
      <c r="BD101" s="253"/>
      <c r="BE101" s="253"/>
      <c r="BF101" s="253"/>
      <c r="BG101" s="253"/>
      <c r="BH101" s="253"/>
      <c r="BI101" s="253"/>
      <c r="BJ101" s="253"/>
      <c r="BK101" s="253"/>
      <c r="BL101" s="253"/>
      <c r="BM101" s="253"/>
      <c r="BN101" s="253"/>
      <c r="BO101" s="253"/>
      <c r="BP101" s="253"/>
      <c r="BQ101" s="253"/>
      <c r="BR101" s="253"/>
      <c r="BS101" s="253"/>
      <c r="BT101" s="253"/>
      <c r="BU101" s="253"/>
      <c r="BV101" s="253"/>
      <c r="BW101" s="253"/>
      <c r="BX101" s="255">
        <f>10-10</f>
        <v>0</v>
      </c>
      <c r="BY101" s="253"/>
      <c r="BZ101" s="253"/>
      <c r="CA101" s="255">
        <f>10-10</f>
        <v>0</v>
      </c>
      <c r="CB101" s="255">
        <f>40-40</f>
        <v>0</v>
      </c>
      <c r="CC101" s="255">
        <f>10-10</f>
        <v>0</v>
      </c>
      <c r="CD101" s="253"/>
      <c r="CE101" s="255">
        <f>10-10</f>
        <v>0</v>
      </c>
      <c r="CF101" s="253"/>
      <c r="CG101" s="253"/>
      <c r="CH101" s="253"/>
      <c r="CI101" s="255">
        <f>10-10</f>
        <v>0</v>
      </c>
      <c r="CJ101" s="253"/>
      <c r="CK101" s="255">
        <f>45-45</f>
        <v>0</v>
      </c>
      <c r="CL101" s="255">
        <f>30-30</f>
        <v>0</v>
      </c>
      <c r="CM101" s="255">
        <f>5-5</f>
        <v>0</v>
      </c>
      <c r="CN101" s="255">
        <f>10-10</f>
        <v>0</v>
      </c>
      <c r="CO101" s="253"/>
      <c r="CP101" s="253"/>
      <c r="CQ101" s="255">
        <f>5-5</f>
        <v>0</v>
      </c>
      <c r="CR101" s="253"/>
      <c r="CS101" s="255">
        <f>15-15</f>
        <v>0</v>
      </c>
      <c r="CT101" s="255">
        <f>15-15</f>
        <v>0</v>
      </c>
      <c r="CU101" s="253"/>
      <c r="CV101" s="253"/>
      <c r="CW101" s="253"/>
      <c r="CX101" s="253"/>
      <c r="CY101" s="253"/>
      <c r="CZ101" s="253"/>
      <c r="DA101" s="253"/>
      <c r="DB101" s="253"/>
      <c r="DC101" s="253"/>
      <c r="DD101" s="253"/>
      <c r="DE101" s="253"/>
      <c r="DF101" s="253"/>
      <c r="DG101" s="253"/>
      <c r="DH101" s="255">
        <f>15-15</f>
        <v>0</v>
      </c>
      <c r="DI101" s="255">
        <f>10-10</f>
        <v>0</v>
      </c>
      <c r="DJ101" s="253"/>
      <c r="DK101" s="255">
        <f>2-2</f>
        <v>0</v>
      </c>
      <c r="DL101" s="253"/>
      <c r="DM101" s="253"/>
      <c r="DN101" s="253"/>
      <c r="DO101" s="253"/>
      <c r="DP101" s="253"/>
      <c r="DQ101" s="253"/>
      <c r="DR101" s="253"/>
      <c r="DS101" s="253"/>
      <c r="DT101" s="253"/>
      <c r="DU101" s="253"/>
      <c r="DV101" s="253"/>
      <c r="DW101" s="253"/>
      <c r="DX101" s="255">
        <f>20-20</f>
        <v>0</v>
      </c>
      <c r="DY101" s="253"/>
      <c r="DZ101" s="253"/>
      <c r="EA101" s="253"/>
      <c r="EB101" s="253"/>
      <c r="EC101" s="253"/>
      <c r="ED101" s="253"/>
      <c r="EE101" s="253"/>
      <c r="EF101" s="255">
        <f>30-30</f>
        <v>0</v>
      </c>
      <c r="EG101" s="253"/>
      <c r="EH101" s="253"/>
      <c r="EI101" s="253"/>
      <c r="EJ101" s="253"/>
      <c r="EK101" s="253"/>
      <c r="EL101" s="253"/>
      <c r="EM101" s="255">
        <f>10-10</f>
        <v>0</v>
      </c>
      <c r="EN101" s="253"/>
      <c r="EO101" s="255">
        <f>30-30</f>
        <v>0</v>
      </c>
      <c r="EP101" s="253"/>
      <c r="EQ101" s="253"/>
      <c r="ER101" s="253"/>
      <c r="ES101" s="253"/>
      <c r="ET101" s="253"/>
      <c r="EU101" s="253"/>
      <c r="EV101" s="253"/>
      <c r="EW101" s="253"/>
      <c r="EX101" s="253"/>
      <c r="EY101" s="253"/>
      <c r="EZ101" s="253"/>
      <c r="FA101" s="253"/>
      <c r="FB101" s="253"/>
      <c r="FC101" s="253"/>
      <c r="FD101" s="253"/>
      <c r="FE101" s="253"/>
      <c r="FF101" s="253"/>
      <c r="FG101" s="255">
        <f>20-20</f>
        <v>0</v>
      </c>
      <c r="FH101" s="255">
        <f>30-30</f>
        <v>0</v>
      </c>
      <c r="FI101" s="253"/>
      <c r="FJ101" s="253"/>
      <c r="FK101" s="256"/>
      <c r="FL101" s="257" t="s">
        <v>817</v>
      </c>
      <c r="FM101" s="258" t="s">
        <v>389</v>
      </c>
      <c r="FN101" s="258" t="s">
        <v>867</v>
      </c>
      <c r="FO101" s="258" t="s">
        <v>420</v>
      </c>
      <c r="FP101" s="259">
        <f t="shared" si="6"/>
        <v>0</v>
      </c>
      <c r="FQ101" s="260" t="s">
        <v>421</v>
      </c>
      <c r="FR101" s="260"/>
    </row>
    <row r="102" spans="1:174">
      <c r="A102" s="251" t="s">
        <v>393</v>
      </c>
      <c r="B102" s="251" t="s">
        <v>385</v>
      </c>
      <c r="C102" s="251" t="s">
        <v>411</v>
      </c>
      <c r="D102" s="251" t="s">
        <v>291</v>
      </c>
      <c r="E102" s="252" t="s">
        <v>868</v>
      </c>
      <c r="F102" s="251" t="s">
        <v>388</v>
      </c>
      <c r="G102" s="251"/>
      <c r="H102" s="253"/>
      <c r="I102" s="253"/>
      <c r="J102" s="253"/>
      <c r="K102" s="253"/>
      <c r="L102" s="253"/>
      <c r="M102" s="253"/>
      <c r="N102" s="255">
        <f>100-100</f>
        <v>0</v>
      </c>
      <c r="O102" s="253"/>
      <c r="P102" s="253"/>
      <c r="Q102" s="255">
        <f>200-200</f>
        <v>0</v>
      </c>
      <c r="R102" s="253"/>
      <c r="S102" s="253"/>
      <c r="T102" s="253"/>
      <c r="U102" s="253"/>
      <c r="V102" s="253"/>
      <c r="W102" s="253"/>
      <c r="X102" s="253"/>
      <c r="Y102" s="253"/>
      <c r="Z102" s="253"/>
      <c r="AA102" s="253"/>
      <c r="AB102" s="253"/>
      <c r="AC102" s="253"/>
      <c r="AD102" s="253"/>
      <c r="AE102" s="253"/>
      <c r="AF102" s="253"/>
      <c r="AG102" s="255">
        <f>100-100</f>
        <v>0</v>
      </c>
      <c r="AH102" s="255">
        <f>100-100</f>
        <v>0</v>
      </c>
      <c r="AI102" s="253"/>
      <c r="AJ102" s="253"/>
      <c r="AK102" s="253"/>
      <c r="AL102" s="253"/>
      <c r="AM102" s="253"/>
      <c r="AN102" s="253"/>
      <c r="AO102" s="253"/>
      <c r="AP102" s="253"/>
      <c r="AQ102" s="255">
        <f>100-100</f>
        <v>0</v>
      </c>
      <c r="AR102" s="255">
        <f>100-100</f>
        <v>0</v>
      </c>
      <c r="AS102" s="253"/>
      <c r="AT102" s="253"/>
      <c r="AU102" s="253"/>
      <c r="AV102" s="253"/>
      <c r="AW102" s="253"/>
      <c r="AX102" s="253"/>
      <c r="AY102" s="253"/>
      <c r="AZ102" s="253"/>
      <c r="BA102" s="253"/>
      <c r="BB102" s="253"/>
      <c r="BC102" s="253"/>
      <c r="BD102" s="253"/>
      <c r="BE102" s="253"/>
      <c r="BF102" s="253"/>
      <c r="BG102" s="253"/>
      <c r="BH102" s="253"/>
      <c r="BI102" s="253"/>
      <c r="BJ102" s="253"/>
      <c r="BK102" s="253"/>
      <c r="BL102" s="253"/>
      <c r="BM102" s="253"/>
      <c r="BN102" s="253"/>
      <c r="BO102" s="253"/>
      <c r="BP102" s="253"/>
      <c r="BQ102" s="253"/>
      <c r="BR102" s="253"/>
      <c r="BS102" s="253"/>
      <c r="BT102" s="253"/>
      <c r="BU102" s="253"/>
      <c r="BV102" s="253"/>
      <c r="BW102" s="253"/>
      <c r="BX102" s="253"/>
      <c r="BY102" s="253"/>
      <c r="BZ102" s="253"/>
      <c r="CA102" s="253"/>
      <c r="CB102" s="253"/>
      <c r="CC102" s="253"/>
      <c r="CD102" s="253"/>
      <c r="CE102" s="253"/>
      <c r="CF102" s="253"/>
      <c r="CG102" s="253"/>
      <c r="CH102" s="253"/>
      <c r="CI102" s="253"/>
      <c r="CJ102" s="253"/>
      <c r="CK102" s="253"/>
      <c r="CL102" s="253"/>
      <c r="CM102" s="253"/>
      <c r="CN102" s="253"/>
      <c r="CO102" s="253"/>
      <c r="CP102" s="253"/>
      <c r="CQ102" s="253"/>
      <c r="CR102" s="253"/>
      <c r="CS102" s="253"/>
      <c r="CT102" s="253"/>
      <c r="CU102" s="253"/>
      <c r="CV102" s="253"/>
      <c r="CW102" s="253"/>
      <c r="CX102" s="253"/>
      <c r="CY102" s="253"/>
      <c r="CZ102" s="253"/>
      <c r="DA102" s="253"/>
      <c r="DB102" s="253"/>
      <c r="DC102" s="253"/>
      <c r="DD102" s="253"/>
      <c r="DE102" s="253"/>
      <c r="DF102" s="253"/>
      <c r="DG102" s="253"/>
      <c r="DH102" s="253"/>
      <c r="DI102" s="253"/>
      <c r="DJ102" s="253"/>
      <c r="DK102" s="253"/>
      <c r="DL102" s="253"/>
      <c r="DM102" s="253"/>
      <c r="DN102" s="253"/>
      <c r="DO102" s="253"/>
      <c r="DP102" s="253"/>
      <c r="DQ102" s="253"/>
      <c r="DR102" s="253"/>
      <c r="DS102" s="253"/>
      <c r="DT102" s="253"/>
      <c r="DU102" s="253"/>
      <c r="DV102" s="253"/>
      <c r="DW102" s="253"/>
      <c r="DX102" s="253"/>
      <c r="DY102" s="253"/>
      <c r="DZ102" s="253"/>
      <c r="EA102" s="253"/>
      <c r="EB102" s="253"/>
      <c r="EC102" s="253"/>
      <c r="ED102" s="253"/>
      <c r="EE102" s="253"/>
      <c r="EF102" s="253"/>
      <c r="EG102" s="253"/>
      <c r="EH102" s="253"/>
      <c r="EI102" s="253"/>
      <c r="EJ102" s="253"/>
      <c r="EK102" s="253"/>
      <c r="EL102" s="253"/>
      <c r="EM102" s="253"/>
      <c r="EN102" s="253"/>
      <c r="EO102" s="253"/>
      <c r="EP102" s="253"/>
      <c r="EQ102" s="253"/>
      <c r="ER102" s="253"/>
      <c r="ES102" s="253"/>
      <c r="ET102" s="253"/>
      <c r="EU102" s="253"/>
      <c r="EV102" s="253"/>
      <c r="EW102" s="253"/>
      <c r="EX102" s="253"/>
      <c r="EY102" s="253"/>
      <c r="EZ102" s="253"/>
      <c r="FA102" s="253"/>
      <c r="FB102" s="253"/>
      <c r="FC102" s="253"/>
      <c r="FD102" s="253"/>
      <c r="FE102" s="253"/>
      <c r="FF102" s="253"/>
      <c r="FG102" s="253"/>
      <c r="FH102" s="253"/>
      <c r="FI102" s="253"/>
      <c r="FJ102" s="253"/>
      <c r="FK102" s="256"/>
      <c r="FL102" s="257" t="s">
        <v>817</v>
      </c>
      <c r="FM102" s="258" t="s">
        <v>389</v>
      </c>
      <c r="FN102" s="258"/>
      <c r="FO102" s="258" t="s">
        <v>416</v>
      </c>
      <c r="FP102" s="259">
        <f t="shared" si="6"/>
        <v>0</v>
      </c>
      <c r="FQ102" s="260" t="s">
        <v>414</v>
      </c>
      <c r="FR102" s="260"/>
    </row>
    <row r="103" spans="1:174">
      <c r="A103" s="251" t="s">
        <v>393</v>
      </c>
      <c r="B103" s="251" t="s">
        <v>385</v>
      </c>
      <c r="C103" s="251" t="s">
        <v>411</v>
      </c>
      <c r="D103" s="251" t="s">
        <v>1</v>
      </c>
      <c r="E103" s="252" t="s">
        <v>868</v>
      </c>
      <c r="F103" s="251" t="s">
        <v>388</v>
      </c>
      <c r="G103" s="251"/>
      <c r="H103" s="253"/>
      <c r="I103" s="253"/>
      <c r="J103" s="253"/>
      <c r="K103" s="253"/>
      <c r="L103" s="253"/>
      <c r="M103" s="253"/>
      <c r="N103" s="254">
        <f>0+20</f>
        <v>20</v>
      </c>
      <c r="O103" s="253"/>
      <c r="P103" s="255">
        <f>100-100</f>
        <v>0</v>
      </c>
      <c r="Q103" s="253"/>
      <c r="R103" s="253"/>
      <c r="S103" s="255">
        <f>540-540</f>
        <v>0</v>
      </c>
      <c r="T103" s="253"/>
      <c r="U103" s="255">
        <f>100-100</f>
        <v>0</v>
      </c>
      <c r="V103" s="255">
        <f>200-200</f>
        <v>0</v>
      </c>
      <c r="W103" s="253"/>
      <c r="X103" s="253"/>
      <c r="Y103" s="255">
        <f>100-100</f>
        <v>0</v>
      </c>
      <c r="Z103" s="255">
        <f>100-100</f>
        <v>0</v>
      </c>
      <c r="AA103" s="253"/>
      <c r="AB103" s="255">
        <f>100-100</f>
        <v>0</v>
      </c>
      <c r="AC103" s="255">
        <f>100-100</f>
        <v>0</v>
      </c>
      <c r="AD103" s="255">
        <f>100-100</f>
        <v>0</v>
      </c>
      <c r="AE103" s="254">
        <f>100-100+10</f>
        <v>10</v>
      </c>
      <c r="AF103" s="255">
        <f>100-100</f>
        <v>0</v>
      </c>
      <c r="AG103" s="253"/>
      <c r="AH103" s="253"/>
      <c r="AI103" s="253"/>
      <c r="AJ103" s="253"/>
      <c r="AK103" s="253"/>
      <c r="AL103" s="253"/>
      <c r="AM103" s="253"/>
      <c r="AN103" s="255">
        <f>100-100</f>
        <v>0</v>
      </c>
      <c r="AO103" s="253"/>
      <c r="AP103" s="253"/>
      <c r="AQ103" s="253"/>
      <c r="AR103" s="253"/>
      <c r="AS103" s="253"/>
      <c r="AT103" s="253"/>
      <c r="AU103" s="255">
        <f>100-100</f>
        <v>0</v>
      </c>
      <c r="AV103" s="253"/>
      <c r="AW103" s="253"/>
      <c r="AX103" s="253"/>
      <c r="AY103" s="253"/>
      <c r="AZ103" s="253"/>
      <c r="BA103" s="253"/>
      <c r="BB103" s="253"/>
      <c r="BC103" s="253"/>
      <c r="BD103" s="253"/>
      <c r="BE103" s="253"/>
      <c r="BF103" s="253"/>
      <c r="BG103" s="253"/>
      <c r="BH103" s="253"/>
      <c r="BI103" s="253"/>
      <c r="BJ103" s="253"/>
      <c r="BK103" s="253"/>
      <c r="BL103" s="253"/>
      <c r="BM103" s="253"/>
      <c r="BN103" s="253"/>
      <c r="BO103" s="253"/>
      <c r="BP103" s="253"/>
      <c r="BQ103" s="253"/>
      <c r="BR103" s="253"/>
      <c r="BS103" s="253"/>
      <c r="BT103" s="253"/>
      <c r="BU103" s="253"/>
      <c r="BV103" s="253"/>
      <c r="BW103" s="253"/>
      <c r="BX103" s="253"/>
      <c r="BY103" s="253"/>
      <c r="BZ103" s="253"/>
      <c r="CA103" s="253"/>
      <c r="CB103" s="253"/>
      <c r="CC103" s="253"/>
      <c r="CD103" s="253"/>
      <c r="CE103" s="253"/>
      <c r="CF103" s="253"/>
      <c r="CG103" s="253"/>
      <c r="CH103" s="253"/>
      <c r="CI103" s="253"/>
      <c r="CJ103" s="253"/>
      <c r="CK103" s="253"/>
      <c r="CL103" s="253"/>
      <c r="CM103" s="253"/>
      <c r="CN103" s="253"/>
      <c r="CO103" s="253"/>
      <c r="CP103" s="253"/>
      <c r="CQ103" s="253"/>
      <c r="CR103" s="253"/>
      <c r="CS103" s="253"/>
      <c r="CT103" s="253"/>
      <c r="CU103" s="253"/>
      <c r="CV103" s="253"/>
      <c r="CW103" s="253"/>
      <c r="CX103" s="253"/>
      <c r="CY103" s="253"/>
      <c r="CZ103" s="253"/>
      <c r="DA103" s="253"/>
      <c r="DB103" s="253"/>
      <c r="DC103" s="253"/>
      <c r="DD103" s="253"/>
      <c r="DE103" s="253"/>
      <c r="DF103" s="253"/>
      <c r="DG103" s="253"/>
      <c r="DH103" s="253"/>
      <c r="DI103" s="253"/>
      <c r="DJ103" s="253"/>
      <c r="DK103" s="253"/>
      <c r="DL103" s="253"/>
      <c r="DM103" s="253"/>
      <c r="DN103" s="253"/>
      <c r="DO103" s="253"/>
      <c r="DP103" s="253"/>
      <c r="DQ103" s="253"/>
      <c r="DR103" s="253"/>
      <c r="DS103" s="253"/>
      <c r="DT103" s="253"/>
      <c r="DU103" s="253"/>
      <c r="DV103" s="253"/>
      <c r="DW103" s="253"/>
      <c r="DX103" s="253"/>
      <c r="DY103" s="253"/>
      <c r="DZ103" s="253"/>
      <c r="EA103" s="253"/>
      <c r="EB103" s="253"/>
      <c r="EC103" s="253"/>
      <c r="ED103" s="253"/>
      <c r="EE103" s="253"/>
      <c r="EF103" s="253"/>
      <c r="EG103" s="253"/>
      <c r="EH103" s="255">
        <f>50-50</f>
        <v>0</v>
      </c>
      <c r="EI103" s="255">
        <f>50-50</f>
        <v>0</v>
      </c>
      <c r="EJ103" s="255">
        <f>50-50</f>
        <v>0</v>
      </c>
      <c r="EK103" s="255">
        <f>200-200</f>
        <v>0</v>
      </c>
      <c r="EL103" s="255">
        <f>200-200</f>
        <v>0</v>
      </c>
      <c r="EM103" s="255">
        <f>200-200</f>
        <v>0</v>
      </c>
      <c r="EN103" s="255">
        <f>200-200</f>
        <v>0</v>
      </c>
      <c r="EO103" s="255">
        <f>200-200</f>
        <v>0</v>
      </c>
      <c r="EP103" s="253"/>
      <c r="EQ103" s="253"/>
      <c r="ER103" s="253"/>
      <c r="ES103" s="253"/>
      <c r="ET103" s="253"/>
      <c r="EU103" s="253"/>
      <c r="EV103" s="253"/>
      <c r="EW103" s="253"/>
      <c r="EX103" s="253"/>
      <c r="EY103" s="253"/>
      <c r="EZ103" s="253"/>
      <c r="FA103" s="253"/>
      <c r="FB103" s="253"/>
      <c r="FC103" s="253"/>
      <c r="FD103" s="253"/>
      <c r="FE103" s="253"/>
      <c r="FF103" s="253"/>
      <c r="FG103" s="253"/>
      <c r="FH103" s="253"/>
      <c r="FI103" s="253"/>
      <c r="FJ103" s="253"/>
      <c r="FK103" s="256"/>
      <c r="FL103" s="257" t="s">
        <v>817</v>
      </c>
      <c r="FM103" s="258" t="s">
        <v>389</v>
      </c>
      <c r="FN103" s="258"/>
      <c r="FO103" s="258" t="s">
        <v>416</v>
      </c>
      <c r="FP103" s="259">
        <f t="shared" ref="FP103:FP109" si="8">SUM(H103:FJ103)</f>
        <v>30</v>
      </c>
      <c r="FQ103" s="260" t="s">
        <v>414</v>
      </c>
      <c r="FR103" s="260"/>
    </row>
    <row r="104" spans="1:174">
      <c r="A104" s="251" t="s">
        <v>393</v>
      </c>
      <c r="B104" s="251" t="s">
        <v>385</v>
      </c>
      <c r="C104" s="251" t="s">
        <v>411</v>
      </c>
      <c r="D104" s="251" t="s">
        <v>291</v>
      </c>
      <c r="E104" s="252" t="s">
        <v>447</v>
      </c>
      <c r="F104" s="251" t="s">
        <v>388</v>
      </c>
      <c r="G104" s="251" t="s">
        <v>869</v>
      </c>
      <c r="H104" s="253"/>
      <c r="I104" s="253"/>
      <c r="J104" s="253"/>
      <c r="K104" s="253"/>
      <c r="L104" s="253"/>
      <c r="M104" s="253"/>
      <c r="N104" s="253"/>
      <c r="O104" s="253"/>
      <c r="P104" s="253"/>
      <c r="Q104" s="253"/>
      <c r="R104" s="253"/>
      <c r="S104" s="253"/>
      <c r="T104" s="253"/>
      <c r="U104" s="253"/>
      <c r="V104" s="253"/>
      <c r="W104" s="253"/>
      <c r="X104" s="253"/>
      <c r="Y104" s="253"/>
      <c r="Z104" s="253"/>
      <c r="AA104" s="253"/>
      <c r="AB104" s="253"/>
      <c r="AC104" s="253"/>
      <c r="AD104" s="253"/>
      <c r="AE104" s="253"/>
      <c r="AF104" s="253"/>
      <c r="AG104" s="253"/>
      <c r="AH104" s="255">
        <f>100-100</f>
        <v>0</v>
      </c>
      <c r="AI104" s="253"/>
      <c r="AJ104" s="253"/>
      <c r="AK104" s="253"/>
      <c r="AL104" s="253"/>
      <c r="AM104" s="253"/>
      <c r="AN104" s="253"/>
      <c r="AO104" s="253"/>
      <c r="AP104" s="253"/>
      <c r="AQ104" s="253"/>
      <c r="AR104" s="253"/>
      <c r="AS104" s="253"/>
      <c r="AT104" s="253"/>
      <c r="AU104" s="253"/>
      <c r="AV104" s="253"/>
      <c r="AW104" s="253"/>
      <c r="AX104" s="253"/>
      <c r="AY104" s="253"/>
      <c r="AZ104" s="253"/>
      <c r="BA104" s="253"/>
      <c r="BB104" s="253"/>
      <c r="BC104" s="253"/>
      <c r="BD104" s="253"/>
      <c r="BE104" s="253"/>
      <c r="BF104" s="255">
        <f>130-130</f>
        <v>0</v>
      </c>
      <c r="BG104" s="253"/>
      <c r="BH104" s="253"/>
      <c r="BI104" s="253"/>
      <c r="BJ104" s="253"/>
      <c r="BK104" s="253"/>
      <c r="BL104" s="253"/>
      <c r="BM104" s="253"/>
      <c r="BN104" s="253"/>
      <c r="BO104" s="253"/>
      <c r="BP104" s="253"/>
      <c r="BQ104" s="253"/>
      <c r="BR104" s="253"/>
      <c r="BS104" s="253"/>
      <c r="BT104" s="253"/>
      <c r="BU104" s="253"/>
      <c r="BV104" s="253"/>
      <c r="BW104" s="253"/>
      <c r="BX104" s="253"/>
      <c r="BY104" s="253"/>
      <c r="BZ104" s="253"/>
      <c r="CA104" s="253"/>
      <c r="CB104" s="253"/>
      <c r="CC104" s="253"/>
      <c r="CD104" s="253"/>
      <c r="CE104" s="253"/>
      <c r="CF104" s="253"/>
      <c r="CG104" s="253"/>
      <c r="CH104" s="253"/>
      <c r="CI104" s="253"/>
      <c r="CJ104" s="253"/>
      <c r="CK104" s="253"/>
      <c r="CL104" s="253"/>
      <c r="CM104" s="253"/>
      <c r="CN104" s="253"/>
      <c r="CO104" s="253"/>
      <c r="CP104" s="253"/>
      <c r="CQ104" s="253"/>
      <c r="CR104" s="253"/>
      <c r="CS104" s="253"/>
      <c r="CT104" s="253"/>
      <c r="CU104" s="253"/>
      <c r="CV104" s="253"/>
      <c r="CW104" s="253"/>
      <c r="CX104" s="253"/>
      <c r="CY104" s="253"/>
      <c r="CZ104" s="253"/>
      <c r="DA104" s="253"/>
      <c r="DB104" s="253"/>
      <c r="DC104" s="253"/>
      <c r="DD104" s="253"/>
      <c r="DE104" s="253"/>
      <c r="DF104" s="253"/>
      <c r="DG104" s="253"/>
      <c r="DH104" s="253"/>
      <c r="DI104" s="253"/>
      <c r="DJ104" s="253"/>
      <c r="DK104" s="253"/>
      <c r="DL104" s="253"/>
      <c r="DM104" s="253"/>
      <c r="DN104" s="253"/>
      <c r="DO104" s="253"/>
      <c r="DP104" s="253"/>
      <c r="DQ104" s="253"/>
      <c r="DR104" s="253"/>
      <c r="DS104" s="253"/>
      <c r="DT104" s="253"/>
      <c r="DU104" s="253"/>
      <c r="DV104" s="253"/>
      <c r="DW104" s="254">
        <f>300-300+300</f>
        <v>300</v>
      </c>
      <c r="DX104" s="253"/>
      <c r="DY104" s="253"/>
      <c r="DZ104" s="253"/>
      <c r="EA104" s="253"/>
      <c r="EB104" s="253"/>
      <c r="EC104" s="253"/>
      <c r="ED104" s="253"/>
      <c r="EE104" s="253"/>
      <c r="EF104" s="253"/>
      <c r="EG104" s="253"/>
      <c r="EH104" s="253"/>
      <c r="EI104" s="253"/>
      <c r="EJ104" s="253"/>
      <c r="EK104" s="253"/>
      <c r="EL104" s="253"/>
      <c r="EM104" s="253"/>
      <c r="EN104" s="253"/>
      <c r="EO104" s="253"/>
      <c r="EP104" s="253"/>
      <c r="EQ104" s="253"/>
      <c r="ER104" s="253"/>
      <c r="ES104" s="253"/>
      <c r="ET104" s="253"/>
      <c r="EU104" s="253"/>
      <c r="EV104" s="253"/>
      <c r="EW104" s="253"/>
      <c r="EX104" s="253"/>
      <c r="EY104" s="253"/>
      <c r="EZ104" s="253"/>
      <c r="FA104" s="253"/>
      <c r="FB104" s="253"/>
      <c r="FC104" s="253"/>
      <c r="FD104" s="253"/>
      <c r="FE104" s="253"/>
      <c r="FF104" s="253"/>
      <c r="FG104" s="253"/>
      <c r="FH104" s="253"/>
      <c r="FI104" s="253"/>
      <c r="FJ104" s="253"/>
      <c r="FK104" s="262"/>
      <c r="FL104" s="257" t="s">
        <v>817</v>
      </c>
      <c r="FM104" s="258" t="s">
        <v>389</v>
      </c>
      <c r="FN104" s="258" t="s">
        <v>448</v>
      </c>
      <c r="FO104" s="258" t="s">
        <v>449</v>
      </c>
      <c r="FP104" s="259">
        <f t="shared" si="8"/>
        <v>300</v>
      </c>
      <c r="FQ104" s="260" t="s">
        <v>433</v>
      </c>
      <c r="FR104" s="260"/>
    </row>
    <row r="105" spans="1:174">
      <c r="A105" s="251" t="s">
        <v>393</v>
      </c>
      <c r="B105" s="251" t="s">
        <v>385</v>
      </c>
      <c r="C105" s="251" t="s">
        <v>411</v>
      </c>
      <c r="D105" s="251" t="s">
        <v>1</v>
      </c>
      <c r="E105" s="252" t="s">
        <v>447</v>
      </c>
      <c r="F105" s="251" t="s">
        <v>388</v>
      </c>
      <c r="G105" s="251" t="s">
        <v>869</v>
      </c>
      <c r="H105" s="253"/>
      <c r="I105" s="253"/>
      <c r="J105" s="253"/>
      <c r="K105" s="253"/>
      <c r="L105" s="254">
        <f>100-100+100</f>
        <v>100</v>
      </c>
      <c r="M105" s="253"/>
      <c r="N105" s="253"/>
      <c r="O105" s="253"/>
      <c r="P105" s="253"/>
      <c r="Q105" s="253"/>
      <c r="R105" s="253"/>
      <c r="S105" s="253"/>
      <c r="T105" s="253"/>
      <c r="U105" s="253"/>
      <c r="V105" s="253"/>
      <c r="W105" s="253"/>
      <c r="X105" s="253"/>
      <c r="Y105" s="253"/>
      <c r="Z105" s="253"/>
      <c r="AA105" s="253"/>
      <c r="AB105" s="253"/>
      <c r="AC105" s="253"/>
      <c r="AD105" s="253"/>
      <c r="AE105" s="254">
        <f>50-50+10</f>
        <v>10</v>
      </c>
      <c r="AF105" s="253"/>
      <c r="AG105" s="253"/>
      <c r="AH105" s="253"/>
      <c r="AI105" s="253"/>
      <c r="AJ105" s="255">
        <f>50-50</f>
        <v>0</v>
      </c>
      <c r="AK105" s="253"/>
      <c r="AL105" s="253"/>
      <c r="AM105" s="253"/>
      <c r="AN105" s="253"/>
      <c r="AO105" s="253"/>
      <c r="AP105" s="253"/>
      <c r="AQ105" s="253"/>
      <c r="AR105" s="253"/>
      <c r="AS105" s="253"/>
      <c r="AT105" s="253"/>
      <c r="AU105" s="253"/>
      <c r="AV105" s="253"/>
      <c r="AW105" s="253"/>
      <c r="AX105" s="253"/>
      <c r="AY105" s="253"/>
      <c r="AZ105" s="253"/>
      <c r="BA105" s="253"/>
      <c r="BB105" s="255">
        <f>100-100</f>
        <v>0</v>
      </c>
      <c r="BC105" s="253"/>
      <c r="BD105" s="253"/>
      <c r="BE105" s="253"/>
      <c r="BF105" s="253"/>
      <c r="BG105" s="253"/>
      <c r="BH105" s="253"/>
      <c r="BI105" s="253"/>
      <c r="BJ105" s="253"/>
      <c r="BK105" s="253"/>
      <c r="BL105" s="253"/>
      <c r="BM105" s="253"/>
      <c r="BN105" s="253"/>
      <c r="BO105" s="253"/>
      <c r="BP105" s="253"/>
      <c r="BQ105" s="253"/>
      <c r="BR105" s="253"/>
      <c r="BS105" s="253"/>
      <c r="BT105" s="253"/>
      <c r="BU105" s="253"/>
      <c r="BV105" s="253"/>
      <c r="BW105" s="253"/>
      <c r="BX105" s="253"/>
      <c r="BY105" s="253"/>
      <c r="BZ105" s="253"/>
      <c r="CA105" s="253"/>
      <c r="CB105" s="253"/>
      <c r="CC105" s="253"/>
      <c r="CD105" s="253"/>
      <c r="CE105" s="253"/>
      <c r="CF105" s="253"/>
      <c r="CG105" s="253"/>
      <c r="CH105" s="253"/>
      <c r="CI105" s="253"/>
      <c r="CJ105" s="253"/>
      <c r="CK105" s="253"/>
      <c r="CL105" s="253"/>
      <c r="CM105" s="253"/>
      <c r="CN105" s="253"/>
      <c r="CO105" s="253"/>
      <c r="CP105" s="253"/>
      <c r="CQ105" s="253"/>
      <c r="CR105" s="253"/>
      <c r="CS105" s="253"/>
      <c r="CT105" s="253"/>
      <c r="CU105" s="253"/>
      <c r="CV105" s="253"/>
      <c r="CW105" s="253"/>
      <c r="CX105" s="253"/>
      <c r="CY105" s="253"/>
      <c r="CZ105" s="253"/>
      <c r="DA105" s="253"/>
      <c r="DB105" s="253"/>
      <c r="DC105" s="253"/>
      <c r="DD105" s="253"/>
      <c r="DE105" s="253"/>
      <c r="DF105" s="253"/>
      <c r="DG105" s="253"/>
      <c r="DH105" s="253"/>
      <c r="DI105" s="253"/>
      <c r="DJ105" s="253"/>
      <c r="DK105" s="253"/>
      <c r="DL105" s="253"/>
      <c r="DM105" s="253"/>
      <c r="DN105" s="253"/>
      <c r="DO105" s="253"/>
      <c r="DP105" s="253"/>
      <c r="DQ105" s="253"/>
      <c r="DR105" s="253"/>
      <c r="DS105" s="253"/>
      <c r="DT105" s="253"/>
      <c r="DU105" s="253"/>
      <c r="DV105" s="253"/>
      <c r="DW105" s="253"/>
      <c r="DX105" s="253"/>
      <c r="DY105" s="253"/>
      <c r="DZ105" s="253"/>
      <c r="EA105" s="253"/>
      <c r="EB105" s="253"/>
      <c r="EC105" s="253"/>
      <c r="ED105" s="253"/>
      <c r="EE105" s="253"/>
      <c r="EF105" s="253"/>
      <c r="EG105" s="255">
        <f>50-50</f>
        <v>0</v>
      </c>
      <c r="EH105" s="255">
        <f>50-50</f>
        <v>0</v>
      </c>
      <c r="EI105" s="253"/>
      <c r="EJ105" s="255">
        <f>50-50</f>
        <v>0</v>
      </c>
      <c r="EK105" s="253"/>
      <c r="EL105" s="255">
        <f>50-50</f>
        <v>0</v>
      </c>
      <c r="EM105" s="253"/>
      <c r="EN105" s="253"/>
      <c r="EO105" s="255">
        <f>20-20</f>
        <v>0</v>
      </c>
      <c r="EP105" s="253"/>
      <c r="EQ105" s="253"/>
      <c r="ER105" s="253"/>
      <c r="ES105" s="253"/>
      <c r="ET105" s="253"/>
      <c r="EU105" s="253"/>
      <c r="EV105" s="253"/>
      <c r="EW105" s="253"/>
      <c r="EX105" s="253"/>
      <c r="EY105" s="253"/>
      <c r="EZ105" s="253"/>
      <c r="FA105" s="253"/>
      <c r="FB105" s="253"/>
      <c r="FC105" s="253"/>
      <c r="FD105" s="253"/>
      <c r="FE105" s="253"/>
      <c r="FF105" s="253"/>
      <c r="FG105" s="253"/>
      <c r="FH105" s="255">
        <f>50-50</f>
        <v>0</v>
      </c>
      <c r="FI105" s="253"/>
      <c r="FJ105" s="253"/>
      <c r="FK105" s="262"/>
      <c r="FL105" s="257" t="s">
        <v>817</v>
      </c>
      <c r="FM105" s="258" t="s">
        <v>389</v>
      </c>
      <c r="FN105" s="258" t="s">
        <v>448</v>
      </c>
      <c r="FO105" s="258" t="s">
        <v>449</v>
      </c>
      <c r="FP105" s="259">
        <f t="shared" si="8"/>
        <v>110</v>
      </c>
      <c r="FQ105" s="260" t="s">
        <v>433</v>
      </c>
      <c r="FR105" s="260"/>
    </row>
    <row r="106" spans="1:174">
      <c r="A106" s="251"/>
      <c r="B106" s="251"/>
      <c r="C106" s="251"/>
      <c r="D106" s="251"/>
      <c r="E106" s="252"/>
      <c r="F106" s="251"/>
      <c r="G106" s="251"/>
      <c r="H106" s="253"/>
      <c r="I106" s="253"/>
      <c r="J106" s="253"/>
      <c r="K106" s="253"/>
      <c r="L106" s="253"/>
      <c r="M106" s="253"/>
      <c r="N106" s="253"/>
      <c r="O106" s="253"/>
      <c r="P106" s="253"/>
      <c r="Q106" s="253"/>
      <c r="R106" s="253"/>
      <c r="S106" s="253"/>
      <c r="T106" s="253"/>
      <c r="U106" s="253"/>
      <c r="V106" s="253"/>
      <c r="W106" s="253"/>
      <c r="X106" s="253"/>
      <c r="Y106" s="253"/>
      <c r="Z106" s="253"/>
      <c r="AA106" s="253"/>
      <c r="AB106" s="253"/>
      <c r="AC106" s="253"/>
      <c r="AD106" s="253"/>
      <c r="AE106" s="253"/>
      <c r="AF106" s="253"/>
      <c r="AG106" s="253"/>
      <c r="AH106" s="253"/>
      <c r="AI106" s="253"/>
      <c r="AJ106" s="253"/>
      <c r="AK106" s="253"/>
      <c r="AL106" s="253"/>
      <c r="AM106" s="253"/>
      <c r="AN106" s="253"/>
      <c r="AO106" s="253"/>
      <c r="AP106" s="253"/>
      <c r="AQ106" s="253"/>
      <c r="AR106" s="253"/>
      <c r="AS106" s="253"/>
      <c r="AT106" s="253"/>
      <c r="AU106" s="253"/>
      <c r="AV106" s="253"/>
      <c r="AW106" s="253"/>
      <c r="AX106" s="253"/>
      <c r="AY106" s="253"/>
      <c r="AZ106" s="253"/>
      <c r="BA106" s="253"/>
      <c r="BB106" s="253"/>
      <c r="BC106" s="253"/>
      <c r="BD106" s="253"/>
      <c r="BE106" s="253"/>
      <c r="BF106" s="253"/>
      <c r="BG106" s="253"/>
      <c r="BH106" s="253"/>
      <c r="BI106" s="253"/>
      <c r="BJ106" s="253"/>
      <c r="BK106" s="253"/>
      <c r="BL106" s="253"/>
      <c r="BM106" s="253"/>
      <c r="BN106" s="253"/>
      <c r="BO106" s="253"/>
      <c r="BP106" s="253"/>
      <c r="BQ106" s="253"/>
      <c r="BR106" s="253"/>
      <c r="BS106" s="253"/>
      <c r="BT106" s="253"/>
      <c r="BU106" s="253"/>
      <c r="BV106" s="253"/>
      <c r="BW106" s="253"/>
      <c r="BX106" s="253"/>
      <c r="BY106" s="253"/>
      <c r="BZ106" s="253"/>
      <c r="CA106" s="253"/>
      <c r="CB106" s="253"/>
      <c r="CC106" s="253"/>
      <c r="CD106" s="253"/>
      <c r="CE106" s="253"/>
      <c r="CF106" s="253"/>
      <c r="CG106" s="253"/>
      <c r="CH106" s="253"/>
      <c r="CI106" s="253"/>
      <c r="CJ106" s="253"/>
      <c r="CK106" s="253"/>
      <c r="CL106" s="253"/>
      <c r="CM106" s="253"/>
      <c r="CN106" s="253"/>
      <c r="CO106" s="253"/>
      <c r="CP106" s="253"/>
      <c r="CQ106" s="253"/>
      <c r="CR106" s="253"/>
      <c r="CS106" s="253"/>
      <c r="CT106" s="253"/>
      <c r="CU106" s="253"/>
      <c r="CV106" s="253"/>
      <c r="CW106" s="253"/>
      <c r="CX106" s="253"/>
      <c r="CY106" s="253"/>
      <c r="CZ106" s="253"/>
      <c r="DA106" s="253"/>
      <c r="DB106" s="253"/>
      <c r="DC106" s="253"/>
      <c r="DD106" s="253"/>
      <c r="DE106" s="253"/>
      <c r="DF106" s="253"/>
      <c r="DG106" s="253"/>
      <c r="DH106" s="253"/>
      <c r="DI106" s="253"/>
      <c r="DJ106" s="253"/>
      <c r="DK106" s="253"/>
      <c r="DL106" s="253"/>
      <c r="DM106" s="253"/>
      <c r="DN106" s="253"/>
      <c r="DO106" s="253"/>
      <c r="DP106" s="253"/>
      <c r="DQ106" s="253"/>
      <c r="DR106" s="253"/>
      <c r="DS106" s="253"/>
      <c r="DT106" s="253"/>
      <c r="DU106" s="253"/>
      <c r="DV106" s="253"/>
      <c r="DW106" s="253"/>
      <c r="DX106" s="253"/>
      <c r="DY106" s="253"/>
      <c r="DZ106" s="253"/>
      <c r="EA106" s="253"/>
      <c r="EB106" s="253"/>
      <c r="EC106" s="253"/>
      <c r="ED106" s="253"/>
      <c r="EE106" s="253"/>
      <c r="EF106" s="253"/>
      <c r="EG106" s="253"/>
      <c r="EH106" s="253"/>
      <c r="EI106" s="253"/>
      <c r="EJ106" s="253"/>
      <c r="EK106" s="253"/>
      <c r="EL106" s="253"/>
      <c r="EM106" s="253"/>
      <c r="EN106" s="253"/>
      <c r="EO106" s="253"/>
      <c r="EP106" s="253"/>
      <c r="EQ106" s="253"/>
      <c r="ER106" s="253"/>
      <c r="ES106" s="253"/>
      <c r="ET106" s="253"/>
      <c r="EU106" s="253"/>
      <c r="EV106" s="253"/>
      <c r="EW106" s="253"/>
      <c r="EX106" s="253"/>
      <c r="EY106" s="253"/>
      <c r="EZ106" s="253"/>
      <c r="FA106" s="253"/>
      <c r="FB106" s="253"/>
      <c r="FC106" s="253"/>
      <c r="FD106" s="253"/>
      <c r="FE106" s="253"/>
      <c r="FF106" s="253"/>
      <c r="FG106" s="253"/>
      <c r="FH106" s="253"/>
      <c r="FI106" s="253"/>
      <c r="FJ106" s="253"/>
      <c r="FK106" s="256"/>
      <c r="FL106" s="257"/>
      <c r="FM106" s="258"/>
      <c r="FN106" s="258"/>
      <c r="FO106" s="258"/>
      <c r="FP106" s="259">
        <f t="shared" si="8"/>
        <v>0</v>
      </c>
      <c r="FQ106" s="260"/>
      <c r="FR106" s="260"/>
    </row>
    <row r="107" spans="1:174">
      <c r="A107" s="264"/>
      <c r="B107" s="264"/>
      <c r="C107" s="264" t="s">
        <v>411</v>
      </c>
      <c r="D107" s="264" t="s">
        <v>291</v>
      </c>
      <c r="E107" s="265"/>
      <c r="F107" s="264"/>
      <c r="G107" s="264"/>
      <c r="H107" s="266"/>
      <c r="I107" s="266"/>
      <c r="J107" s="266"/>
      <c r="K107" s="266"/>
      <c r="L107" s="266"/>
      <c r="M107" s="266"/>
      <c r="N107" s="266"/>
      <c r="O107" s="266"/>
      <c r="P107" s="266"/>
      <c r="Q107" s="266"/>
      <c r="R107" s="266"/>
      <c r="S107" s="266"/>
      <c r="T107" s="266"/>
      <c r="U107" s="266"/>
      <c r="V107" s="266"/>
      <c r="W107" s="266"/>
      <c r="X107" s="266"/>
      <c r="Y107" s="266"/>
      <c r="Z107" s="266"/>
      <c r="AA107" s="266"/>
      <c r="AB107" s="266"/>
      <c r="AC107" s="266"/>
      <c r="AD107" s="266"/>
      <c r="AE107" s="266"/>
      <c r="AF107" s="266"/>
      <c r="AG107" s="266"/>
      <c r="AH107" s="266"/>
      <c r="AI107" s="266"/>
      <c r="AJ107" s="266"/>
      <c r="AK107" s="266"/>
      <c r="AL107" s="266"/>
      <c r="AM107" s="266"/>
      <c r="AN107" s="266"/>
      <c r="AO107" s="266"/>
      <c r="AP107" s="266"/>
      <c r="AQ107" s="266"/>
      <c r="AR107" s="266"/>
      <c r="AS107" s="266"/>
      <c r="AT107" s="266"/>
      <c r="AU107" s="266"/>
      <c r="AV107" s="266"/>
      <c r="AW107" s="266"/>
      <c r="AX107" s="266"/>
      <c r="AY107" s="266"/>
      <c r="AZ107" s="266"/>
      <c r="BA107" s="266"/>
      <c r="BB107" s="266"/>
      <c r="BC107" s="266"/>
      <c r="BD107" s="266"/>
      <c r="BE107" s="266"/>
      <c r="BF107" s="266"/>
      <c r="BG107" s="266"/>
      <c r="BH107" s="266"/>
      <c r="BI107" s="266"/>
      <c r="BJ107" s="266"/>
      <c r="BK107" s="266"/>
      <c r="BL107" s="266"/>
      <c r="BM107" s="266"/>
      <c r="BN107" s="266"/>
      <c r="BO107" s="266"/>
      <c r="BP107" s="266"/>
      <c r="BQ107" s="266"/>
      <c r="BR107" s="266"/>
      <c r="BS107" s="266"/>
      <c r="BT107" s="266"/>
      <c r="BU107" s="266"/>
      <c r="BV107" s="266"/>
      <c r="BW107" s="266"/>
      <c r="BX107" s="266"/>
      <c r="BY107" s="266"/>
      <c r="BZ107" s="266"/>
      <c r="CA107" s="266"/>
      <c r="CB107" s="266"/>
      <c r="CC107" s="266"/>
      <c r="CD107" s="266"/>
      <c r="CE107" s="266"/>
      <c r="CF107" s="266"/>
      <c r="CG107" s="266"/>
      <c r="CH107" s="266"/>
      <c r="CI107" s="266"/>
      <c r="CJ107" s="266"/>
      <c r="CK107" s="266"/>
      <c r="CL107" s="266"/>
      <c r="CM107" s="266"/>
      <c r="CN107" s="266"/>
      <c r="CO107" s="266"/>
      <c r="CP107" s="266"/>
      <c r="CQ107" s="266"/>
      <c r="CR107" s="266"/>
      <c r="CS107" s="266"/>
      <c r="CT107" s="266"/>
      <c r="CU107" s="266"/>
      <c r="CV107" s="266"/>
      <c r="CW107" s="266"/>
      <c r="CX107" s="266"/>
      <c r="CY107" s="266"/>
      <c r="CZ107" s="266"/>
      <c r="DA107" s="266"/>
      <c r="DB107" s="266"/>
      <c r="DC107" s="266"/>
      <c r="DD107" s="266"/>
      <c r="DE107" s="266"/>
      <c r="DF107" s="266"/>
      <c r="DG107" s="266"/>
      <c r="DH107" s="266"/>
      <c r="DI107" s="266"/>
      <c r="DJ107" s="266"/>
      <c r="DK107" s="266"/>
      <c r="DL107" s="266"/>
      <c r="DM107" s="266"/>
      <c r="DN107" s="266"/>
      <c r="DO107" s="266"/>
      <c r="DP107" s="266"/>
      <c r="DQ107" s="266"/>
      <c r="DR107" s="266"/>
      <c r="DS107" s="266"/>
      <c r="DT107" s="266"/>
      <c r="DU107" s="266"/>
      <c r="DV107" s="266"/>
      <c r="DW107" s="266"/>
      <c r="DX107" s="266"/>
      <c r="DY107" s="266"/>
      <c r="DZ107" s="266"/>
      <c r="EA107" s="266"/>
      <c r="EB107" s="266"/>
      <c r="EC107" s="266"/>
      <c r="ED107" s="266"/>
      <c r="EE107" s="266"/>
      <c r="EF107" s="266"/>
      <c r="EG107" s="266"/>
      <c r="EH107" s="266"/>
      <c r="EI107" s="266"/>
      <c r="EJ107" s="266"/>
      <c r="EK107" s="266"/>
      <c r="EL107" s="266"/>
      <c r="EM107" s="266"/>
      <c r="EN107" s="266"/>
      <c r="EO107" s="266"/>
      <c r="EP107" s="266"/>
      <c r="EQ107" s="266"/>
      <c r="ER107" s="266"/>
      <c r="ES107" s="266"/>
      <c r="ET107" s="266"/>
      <c r="EU107" s="266"/>
      <c r="EV107" s="266"/>
      <c r="EW107" s="266"/>
      <c r="EX107" s="266"/>
      <c r="EY107" s="266"/>
      <c r="EZ107" s="266"/>
      <c r="FA107" s="266"/>
      <c r="FB107" s="266"/>
      <c r="FC107" s="266"/>
      <c r="FD107" s="266"/>
      <c r="FE107" s="266"/>
      <c r="FF107" s="266"/>
      <c r="FG107" s="266"/>
      <c r="FH107" s="266"/>
      <c r="FI107" s="266"/>
      <c r="FJ107" s="266"/>
      <c r="FK107" s="267"/>
      <c r="FL107" s="268"/>
      <c r="FM107" s="269"/>
      <c r="FN107" s="269"/>
      <c r="FO107" s="269"/>
      <c r="FP107" s="270">
        <f t="shared" si="8"/>
        <v>0</v>
      </c>
      <c r="FQ107" s="271"/>
      <c r="FR107" s="271"/>
    </row>
    <row r="108" spans="1:174">
      <c r="A108" s="264"/>
      <c r="B108" s="264"/>
      <c r="C108" s="264" t="s">
        <v>411</v>
      </c>
      <c r="D108" s="264" t="s">
        <v>1</v>
      </c>
      <c r="E108" s="265"/>
      <c r="F108" s="264"/>
      <c r="G108" s="264"/>
      <c r="H108" s="266"/>
      <c r="I108" s="266"/>
      <c r="J108" s="266"/>
      <c r="K108" s="266"/>
      <c r="L108" s="266"/>
      <c r="M108" s="266"/>
      <c r="N108" s="266"/>
      <c r="O108" s="266"/>
      <c r="P108" s="266"/>
      <c r="Q108" s="266"/>
      <c r="R108" s="266"/>
      <c r="S108" s="266"/>
      <c r="T108" s="266"/>
      <c r="U108" s="266"/>
      <c r="V108" s="266"/>
      <c r="W108" s="266"/>
      <c r="X108" s="266"/>
      <c r="Y108" s="266"/>
      <c r="Z108" s="266"/>
      <c r="AA108" s="266"/>
      <c r="AB108" s="266"/>
      <c r="AC108" s="266"/>
      <c r="AD108" s="266"/>
      <c r="AE108" s="266"/>
      <c r="AF108" s="266"/>
      <c r="AG108" s="266"/>
      <c r="AH108" s="266"/>
      <c r="AI108" s="266"/>
      <c r="AJ108" s="266"/>
      <c r="AK108" s="266"/>
      <c r="AL108" s="266"/>
      <c r="AM108" s="266">
        <v>400</v>
      </c>
      <c r="AN108" s="266"/>
      <c r="AO108" s="266"/>
      <c r="AP108" s="266"/>
      <c r="AQ108" s="266"/>
      <c r="AR108" s="266"/>
      <c r="AS108" s="266"/>
      <c r="AT108" s="266"/>
      <c r="AU108" s="266">
        <v>1530</v>
      </c>
      <c r="AV108" s="266"/>
      <c r="AW108" s="266"/>
      <c r="AX108" s="266"/>
      <c r="AY108" s="266"/>
      <c r="AZ108" s="266"/>
      <c r="BA108" s="266"/>
      <c r="BB108" s="266"/>
      <c r="BC108" s="266"/>
      <c r="BD108" s="266"/>
      <c r="BE108" s="266"/>
      <c r="BF108" s="266">
        <v>930</v>
      </c>
      <c r="BG108" s="266"/>
      <c r="BH108" s="266"/>
      <c r="BI108" s="266"/>
      <c r="BJ108" s="266"/>
      <c r="BK108" s="266"/>
      <c r="BL108" s="266"/>
      <c r="BM108" s="266"/>
      <c r="BN108" s="266"/>
      <c r="BO108" s="266"/>
      <c r="BP108" s="266"/>
      <c r="BQ108" s="266"/>
      <c r="BR108" s="266"/>
      <c r="BS108" s="266"/>
      <c r="BT108" s="266"/>
      <c r="BU108" s="266">
        <v>70</v>
      </c>
      <c r="BV108" s="266">
        <v>10</v>
      </c>
      <c r="BW108" s="266">
        <v>90</v>
      </c>
      <c r="BX108" s="266">
        <v>600</v>
      </c>
      <c r="BY108" s="266">
        <v>90</v>
      </c>
      <c r="BZ108" s="266"/>
      <c r="CA108" s="266"/>
      <c r="CB108" s="266"/>
      <c r="CC108" s="266">
        <v>15</v>
      </c>
      <c r="CD108" s="266">
        <v>10</v>
      </c>
      <c r="CE108" s="266">
        <v>100</v>
      </c>
      <c r="CF108" s="266"/>
      <c r="CG108" s="266">
        <v>20</v>
      </c>
      <c r="CH108" s="266"/>
      <c r="CI108" s="266">
        <v>210</v>
      </c>
      <c r="CJ108" s="266"/>
      <c r="CK108" s="266">
        <v>60</v>
      </c>
      <c r="CL108" s="266">
        <v>820</v>
      </c>
      <c r="CM108" s="266">
        <v>210</v>
      </c>
      <c r="CN108" s="266"/>
      <c r="CO108" s="266">
        <v>8</v>
      </c>
      <c r="CP108" s="266">
        <v>20</v>
      </c>
      <c r="CQ108" s="266">
        <v>5</v>
      </c>
      <c r="CR108" s="266">
        <v>6</v>
      </c>
      <c r="CS108" s="266"/>
      <c r="CT108" s="266">
        <v>360</v>
      </c>
      <c r="CU108" s="266"/>
      <c r="CV108" s="266">
        <v>15</v>
      </c>
      <c r="CW108" s="266"/>
      <c r="CX108" s="266"/>
      <c r="CY108" s="266"/>
      <c r="CZ108" s="266"/>
      <c r="DA108" s="266"/>
      <c r="DB108" s="266"/>
      <c r="DC108" s="266">
        <v>70</v>
      </c>
      <c r="DD108" s="266">
        <v>130</v>
      </c>
      <c r="DE108" s="266">
        <v>5</v>
      </c>
      <c r="DF108" s="266">
        <v>8</v>
      </c>
      <c r="DG108" s="266">
        <v>10</v>
      </c>
      <c r="DH108" s="266">
        <v>10</v>
      </c>
      <c r="DI108" s="266"/>
      <c r="DJ108" s="266">
        <v>2</v>
      </c>
      <c r="DK108" s="266">
        <v>80</v>
      </c>
      <c r="DL108" s="266">
        <v>6</v>
      </c>
      <c r="DM108" s="266"/>
      <c r="DN108" s="266"/>
      <c r="DO108" s="266"/>
      <c r="DP108" s="266"/>
      <c r="DQ108" s="266"/>
      <c r="DR108" s="266">
        <v>40</v>
      </c>
      <c r="DS108" s="266"/>
      <c r="DT108" s="266">
        <v>50</v>
      </c>
      <c r="DU108" s="266"/>
      <c r="DV108" s="266"/>
      <c r="DW108" s="266"/>
      <c r="DX108" s="266"/>
      <c r="DY108" s="266"/>
      <c r="DZ108" s="266"/>
      <c r="EA108" s="266"/>
      <c r="EB108" s="266"/>
      <c r="EC108" s="266"/>
      <c r="ED108" s="266"/>
      <c r="EE108" s="266"/>
      <c r="EF108" s="266"/>
      <c r="EG108" s="266"/>
      <c r="EH108" s="266"/>
      <c r="EI108" s="266"/>
      <c r="EJ108" s="266"/>
      <c r="EK108" s="266"/>
      <c r="EL108" s="266"/>
      <c r="EM108" s="266"/>
      <c r="EN108" s="266"/>
      <c r="EO108" s="266"/>
      <c r="EP108" s="266"/>
      <c r="EQ108" s="266"/>
      <c r="ER108" s="266"/>
      <c r="ES108" s="266"/>
      <c r="ET108" s="266">
        <v>20</v>
      </c>
      <c r="EU108" s="266">
        <v>230</v>
      </c>
      <c r="EV108" s="266">
        <v>15</v>
      </c>
      <c r="EW108" s="266"/>
      <c r="EX108" s="266">
        <v>10</v>
      </c>
      <c r="EY108" s="266"/>
      <c r="EZ108" s="266">
        <v>5</v>
      </c>
      <c r="FA108" s="266"/>
      <c r="FB108" s="266">
        <v>15</v>
      </c>
      <c r="FC108" s="266"/>
      <c r="FD108" s="266"/>
      <c r="FE108" s="266"/>
      <c r="FF108" s="266">
        <v>30</v>
      </c>
      <c r="FG108" s="266"/>
      <c r="FH108" s="266"/>
      <c r="FI108" s="266"/>
      <c r="FJ108" s="266"/>
      <c r="FK108" s="267"/>
      <c r="FL108" s="268"/>
      <c r="FM108" s="269"/>
      <c r="FN108" s="269"/>
      <c r="FO108" s="269"/>
      <c r="FP108" s="270">
        <f t="shared" si="8"/>
        <v>6315</v>
      </c>
      <c r="FQ108" s="271"/>
      <c r="FR108" s="271"/>
    </row>
    <row r="109" spans="1:174">
      <c r="A109" s="264"/>
      <c r="B109" s="264"/>
      <c r="C109" s="264" t="s">
        <v>411</v>
      </c>
      <c r="D109" s="264" t="s">
        <v>777</v>
      </c>
      <c r="E109" s="265"/>
      <c r="F109" s="264"/>
      <c r="G109" s="264"/>
      <c r="H109" s="266"/>
      <c r="I109" s="266"/>
      <c r="J109" s="266"/>
      <c r="K109" s="266"/>
      <c r="L109" s="266"/>
      <c r="M109" s="266"/>
      <c r="N109" s="266"/>
      <c r="O109" s="266"/>
      <c r="P109" s="266"/>
      <c r="Q109" s="266"/>
      <c r="R109" s="266"/>
      <c r="S109" s="266"/>
      <c r="T109" s="266"/>
      <c r="U109" s="266"/>
      <c r="V109" s="266"/>
      <c r="W109" s="266"/>
      <c r="X109" s="266"/>
      <c r="Y109" s="266"/>
      <c r="Z109" s="266"/>
      <c r="AA109" s="266"/>
      <c r="AB109" s="266"/>
      <c r="AC109" s="266"/>
      <c r="AD109" s="266"/>
      <c r="AE109" s="266"/>
      <c r="AF109" s="266"/>
      <c r="AG109" s="266"/>
      <c r="AH109" s="266"/>
      <c r="AI109" s="266"/>
      <c r="AJ109" s="266"/>
      <c r="AK109" s="266"/>
      <c r="AL109" s="266"/>
      <c r="AM109" s="266"/>
      <c r="AN109" s="266"/>
      <c r="AO109" s="266"/>
      <c r="AP109" s="266"/>
      <c r="AQ109" s="266"/>
      <c r="AR109" s="266"/>
      <c r="AS109" s="266"/>
      <c r="AT109" s="266"/>
      <c r="AU109" s="266"/>
      <c r="AV109" s="266"/>
      <c r="AW109" s="266"/>
      <c r="AX109" s="266"/>
      <c r="AY109" s="266"/>
      <c r="AZ109" s="266"/>
      <c r="BA109" s="266"/>
      <c r="BB109" s="266"/>
      <c r="BC109" s="266"/>
      <c r="BD109" s="266"/>
      <c r="BE109" s="266"/>
      <c r="BF109" s="266"/>
      <c r="BG109" s="266"/>
      <c r="BH109" s="266"/>
      <c r="BI109" s="266"/>
      <c r="BJ109" s="266"/>
      <c r="BK109" s="266"/>
      <c r="BL109" s="266"/>
      <c r="BM109" s="266"/>
      <c r="BN109" s="266"/>
      <c r="BO109" s="266"/>
      <c r="BP109" s="266"/>
      <c r="BQ109" s="266"/>
      <c r="BR109" s="266"/>
      <c r="BS109" s="266"/>
      <c r="BT109" s="266"/>
      <c r="BU109" s="266"/>
      <c r="BV109" s="266"/>
      <c r="BW109" s="266"/>
      <c r="BX109" s="266"/>
      <c r="BY109" s="266"/>
      <c r="BZ109" s="266"/>
      <c r="CA109" s="266"/>
      <c r="CB109" s="266"/>
      <c r="CC109" s="266"/>
      <c r="CD109" s="266"/>
      <c r="CE109" s="266"/>
      <c r="CF109" s="266"/>
      <c r="CG109" s="266"/>
      <c r="CH109" s="266"/>
      <c r="CI109" s="266"/>
      <c r="CJ109" s="266"/>
      <c r="CK109" s="266"/>
      <c r="CL109" s="266"/>
      <c r="CM109" s="266"/>
      <c r="CN109" s="272">
        <v>70</v>
      </c>
      <c r="CO109" s="266"/>
      <c r="CP109" s="266"/>
      <c r="CQ109" s="266"/>
      <c r="CR109" s="266"/>
      <c r="CS109" s="266"/>
      <c r="CT109" s="266"/>
      <c r="CU109" s="266"/>
      <c r="CV109" s="266"/>
      <c r="CW109" s="266"/>
      <c r="CX109" s="266"/>
      <c r="CY109" s="266"/>
      <c r="CZ109" s="266"/>
      <c r="DA109" s="266"/>
      <c r="DB109" s="266"/>
      <c r="DC109" s="266"/>
      <c r="DD109" s="266"/>
      <c r="DE109" s="266"/>
      <c r="DF109" s="266"/>
      <c r="DG109" s="266"/>
      <c r="DH109" s="266"/>
      <c r="DI109" s="266"/>
      <c r="DJ109" s="266"/>
      <c r="DK109" s="266"/>
      <c r="DL109" s="266"/>
      <c r="DM109" s="266"/>
      <c r="DN109" s="266"/>
      <c r="DO109" s="266"/>
      <c r="DP109" s="266"/>
      <c r="DQ109" s="266"/>
      <c r="DR109" s="266"/>
      <c r="DS109" s="266"/>
      <c r="DT109" s="266"/>
      <c r="DU109" s="266"/>
      <c r="DV109" s="266"/>
      <c r="DW109" s="266"/>
      <c r="DX109" s="266"/>
      <c r="DY109" s="266"/>
      <c r="DZ109" s="266"/>
      <c r="EA109" s="266"/>
      <c r="EB109" s="266"/>
      <c r="EC109" s="266"/>
      <c r="ED109" s="266"/>
      <c r="EE109" s="266"/>
      <c r="EF109" s="266"/>
      <c r="EG109" s="266"/>
      <c r="EH109" s="266"/>
      <c r="EI109" s="266"/>
      <c r="EJ109" s="266"/>
      <c r="EK109" s="266"/>
      <c r="EL109" s="266"/>
      <c r="EM109" s="266"/>
      <c r="EN109" s="266"/>
      <c r="EO109" s="266"/>
      <c r="EP109" s="266"/>
      <c r="EQ109" s="266"/>
      <c r="ER109" s="266"/>
      <c r="ES109" s="266"/>
      <c r="ET109" s="266"/>
      <c r="EU109" s="266"/>
      <c r="EV109" s="266"/>
      <c r="EW109" s="266"/>
      <c r="EX109" s="266"/>
      <c r="EY109" s="266"/>
      <c r="EZ109" s="266"/>
      <c r="FA109" s="266"/>
      <c r="FB109" s="266"/>
      <c r="FC109" s="266"/>
      <c r="FD109" s="266"/>
      <c r="FE109" s="266"/>
      <c r="FF109" s="266"/>
      <c r="FG109" s="266"/>
      <c r="FH109" s="266"/>
      <c r="FI109" s="266"/>
      <c r="FJ109" s="266"/>
      <c r="FK109" s="267"/>
      <c r="FL109" s="268"/>
      <c r="FM109" s="269"/>
      <c r="FN109" s="269"/>
      <c r="FO109" s="269"/>
      <c r="FP109" s="270">
        <f t="shared" si="8"/>
        <v>70</v>
      </c>
      <c r="FQ109" s="271"/>
      <c r="FR109" s="271"/>
    </row>
    <row r="111" spans="1:174">
      <c r="E111" s="9" t="s">
        <v>770</v>
      </c>
      <c r="AM111" s="273">
        <v>250</v>
      </c>
      <c r="AU111" s="273">
        <v>1030</v>
      </c>
      <c r="BF111" s="273">
        <v>650</v>
      </c>
      <c r="BU111" s="273">
        <v>40</v>
      </c>
      <c r="BW111" s="273">
        <v>55</v>
      </c>
      <c r="BX111" s="273">
        <v>400</v>
      </c>
      <c r="BY111" s="273">
        <v>50</v>
      </c>
      <c r="CD111" s="273">
        <v>10</v>
      </c>
      <c r="CE111" s="273">
        <v>50</v>
      </c>
      <c r="CG111" s="273">
        <v>10</v>
      </c>
      <c r="CI111" s="273">
        <v>140</v>
      </c>
      <c r="CK111" s="273">
        <v>20</v>
      </c>
      <c r="CL111" s="273">
        <v>550</v>
      </c>
      <c r="CM111" s="273">
        <v>140</v>
      </c>
      <c r="CN111" s="273">
        <v>30</v>
      </c>
      <c r="CO111" s="273">
        <v>8</v>
      </c>
      <c r="CP111" s="273">
        <v>20</v>
      </c>
      <c r="CQ111" s="273">
        <v>5</v>
      </c>
      <c r="CR111" s="273">
        <v>6</v>
      </c>
      <c r="CT111" s="273">
        <v>250</v>
      </c>
      <c r="CV111" s="273">
        <v>15</v>
      </c>
      <c r="DC111" s="273">
        <v>30</v>
      </c>
      <c r="DD111" s="273">
        <v>80</v>
      </c>
      <c r="DE111" s="273">
        <v>5</v>
      </c>
      <c r="DF111" s="273">
        <v>8</v>
      </c>
      <c r="DG111" s="273">
        <v>10</v>
      </c>
      <c r="DH111" s="273">
        <v>5</v>
      </c>
      <c r="DK111" s="273">
        <v>20</v>
      </c>
      <c r="DL111" s="273">
        <v>6</v>
      </c>
      <c r="DR111" s="273">
        <v>40</v>
      </c>
      <c r="DT111" s="273">
        <v>20</v>
      </c>
      <c r="ET111" s="273">
        <v>10</v>
      </c>
      <c r="EU111" s="273">
        <v>150</v>
      </c>
      <c r="EV111" s="273">
        <v>5</v>
      </c>
      <c r="EZ111" s="273">
        <v>5</v>
      </c>
      <c r="FB111" s="273">
        <v>5</v>
      </c>
      <c r="FF111" s="273">
        <v>10</v>
      </c>
    </row>
    <row r="112" spans="1:174">
      <c r="E112" s="9" t="s">
        <v>769</v>
      </c>
      <c r="AM112" s="273">
        <v>40</v>
      </c>
      <c r="AU112" s="273">
        <v>100</v>
      </c>
      <c r="BF112" s="273">
        <v>60</v>
      </c>
      <c r="BU112" s="273">
        <v>5</v>
      </c>
      <c r="BW112" s="273">
        <v>10</v>
      </c>
      <c r="BX112" s="273">
        <v>30</v>
      </c>
      <c r="BY112" s="273">
        <v>10</v>
      </c>
      <c r="CE112" s="273">
        <v>10</v>
      </c>
      <c r="CG112" s="273">
        <v>5</v>
      </c>
      <c r="CI112" s="273">
        <v>10</v>
      </c>
      <c r="CK112" s="273">
        <v>10</v>
      </c>
      <c r="CL112" s="273">
        <v>50</v>
      </c>
      <c r="CM112" s="273">
        <v>10</v>
      </c>
      <c r="CN112" s="273">
        <v>10</v>
      </c>
      <c r="CT112" s="273">
        <v>20</v>
      </c>
      <c r="DC112" s="273">
        <v>10</v>
      </c>
      <c r="DD112" s="273">
        <v>10</v>
      </c>
      <c r="DK112" s="273">
        <v>10</v>
      </c>
      <c r="DT112" s="273">
        <v>5</v>
      </c>
      <c r="ET112" s="273">
        <v>10</v>
      </c>
      <c r="EU112" s="273">
        <v>30</v>
      </c>
      <c r="EV112" s="273">
        <v>5</v>
      </c>
      <c r="FB112" s="273">
        <v>5</v>
      </c>
      <c r="FF112" s="273">
        <v>5</v>
      </c>
    </row>
    <row r="113" spans="1:173">
      <c r="E113" s="9" t="s">
        <v>768</v>
      </c>
      <c r="AM113" s="273">
        <v>40</v>
      </c>
      <c r="AU113" s="273">
        <v>100</v>
      </c>
      <c r="BF113" s="273">
        <v>60</v>
      </c>
      <c r="BU113" s="273">
        <v>10</v>
      </c>
      <c r="BW113" s="273">
        <v>10</v>
      </c>
      <c r="BX113" s="273">
        <v>40</v>
      </c>
      <c r="BY113" s="273">
        <v>10</v>
      </c>
      <c r="CC113" s="273">
        <v>5</v>
      </c>
      <c r="CE113" s="273">
        <v>10</v>
      </c>
      <c r="CG113" s="273">
        <v>5</v>
      </c>
      <c r="CI113" s="273">
        <v>15</v>
      </c>
      <c r="CK113" s="273">
        <v>10</v>
      </c>
      <c r="CL113" s="273">
        <v>70</v>
      </c>
      <c r="CM113" s="273">
        <v>15</v>
      </c>
      <c r="CN113" s="273">
        <v>10</v>
      </c>
      <c r="CT113" s="273">
        <v>30</v>
      </c>
      <c r="DC113" s="273">
        <v>10</v>
      </c>
      <c r="DD113" s="273">
        <v>20</v>
      </c>
      <c r="DH113" s="273">
        <v>5</v>
      </c>
      <c r="DK113" s="273">
        <v>20</v>
      </c>
      <c r="DT113" s="273">
        <v>10</v>
      </c>
      <c r="EU113" s="273">
        <v>20</v>
      </c>
      <c r="EV113" s="273">
        <v>5</v>
      </c>
      <c r="FB113" s="273">
        <v>5</v>
      </c>
      <c r="FF113" s="273">
        <v>5</v>
      </c>
    </row>
    <row r="114" spans="1:173">
      <c r="E114" s="9" t="s">
        <v>766</v>
      </c>
      <c r="AM114" s="273">
        <v>50</v>
      </c>
      <c r="AU114" s="273">
        <v>200</v>
      </c>
      <c r="BF114" s="273">
        <v>100</v>
      </c>
      <c r="BU114" s="273">
        <v>10</v>
      </c>
      <c r="BW114" s="273">
        <v>15</v>
      </c>
      <c r="BX114" s="273">
        <v>100</v>
      </c>
      <c r="BY114" s="273">
        <v>10</v>
      </c>
      <c r="CC114" s="273">
        <v>5</v>
      </c>
      <c r="CE114" s="273">
        <v>20</v>
      </c>
      <c r="CI114" s="273">
        <v>35</v>
      </c>
      <c r="CK114" s="273">
        <v>10</v>
      </c>
      <c r="CL114" s="273">
        <v>100</v>
      </c>
      <c r="CM114" s="273">
        <v>35</v>
      </c>
      <c r="CN114" s="273">
        <v>10</v>
      </c>
      <c r="CT114" s="273">
        <v>40</v>
      </c>
      <c r="DC114" s="273">
        <v>10</v>
      </c>
      <c r="DD114" s="273">
        <v>10</v>
      </c>
      <c r="DK114" s="273">
        <v>20</v>
      </c>
      <c r="DT114" s="273">
        <v>10</v>
      </c>
      <c r="EU114" s="273">
        <v>20</v>
      </c>
      <c r="EX114" s="273">
        <v>5</v>
      </c>
      <c r="FF114" s="273">
        <v>5</v>
      </c>
    </row>
    <row r="115" spans="1:173">
      <c r="A115" s="274"/>
      <c r="B115" s="274"/>
      <c r="C115" s="274"/>
      <c r="D115" s="274"/>
      <c r="E115" s="219" t="s">
        <v>767</v>
      </c>
      <c r="F115" s="274"/>
      <c r="G115" s="274"/>
      <c r="H115" s="274"/>
      <c r="I115" s="274"/>
      <c r="J115" s="274"/>
      <c r="K115" s="274"/>
      <c r="L115" s="274"/>
      <c r="M115" s="274"/>
      <c r="N115" s="274"/>
      <c r="O115" s="274"/>
      <c r="P115" s="274"/>
      <c r="Q115" s="274"/>
      <c r="R115" s="274"/>
      <c r="S115" s="274"/>
      <c r="T115" s="274"/>
      <c r="U115" s="274"/>
      <c r="V115" s="274"/>
      <c r="W115" s="274"/>
      <c r="X115" s="274"/>
      <c r="Y115" s="274"/>
      <c r="Z115" s="274"/>
      <c r="AA115" s="274"/>
      <c r="AB115" s="274"/>
      <c r="AC115" s="274"/>
      <c r="AD115" s="274"/>
      <c r="AE115" s="274"/>
      <c r="AF115" s="274"/>
      <c r="AG115" s="274"/>
      <c r="AH115" s="274"/>
      <c r="AI115" s="274"/>
      <c r="AJ115" s="274"/>
      <c r="AK115" s="274"/>
      <c r="AL115" s="274"/>
      <c r="AM115" s="274">
        <v>20</v>
      </c>
      <c r="AN115" s="274"/>
      <c r="AO115" s="274"/>
      <c r="AP115" s="274"/>
      <c r="AQ115" s="274"/>
      <c r="AR115" s="274"/>
      <c r="AS115" s="274"/>
      <c r="AT115" s="274"/>
      <c r="AU115" s="274">
        <v>100</v>
      </c>
      <c r="AV115" s="274"/>
      <c r="AW115" s="274"/>
      <c r="AX115" s="274"/>
      <c r="AY115" s="274"/>
      <c r="AZ115" s="274"/>
      <c r="BA115" s="274"/>
      <c r="BB115" s="274"/>
      <c r="BC115" s="274"/>
      <c r="BD115" s="274"/>
      <c r="BE115" s="274"/>
      <c r="BF115" s="274">
        <v>60</v>
      </c>
      <c r="BG115" s="274"/>
      <c r="BH115" s="274"/>
      <c r="BI115" s="274"/>
      <c r="BJ115" s="274"/>
      <c r="BK115" s="274"/>
      <c r="BL115" s="274"/>
      <c r="BM115" s="274"/>
      <c r="BN115" s="274"/>
      <c r="BO115" s="274"/>
      <c r="BP115" s="274"/>
      <c r="BQ115" s="274"/>
      <c r="BR115" s="274"/>
      <c r="BS115" s="274"/>
      <c r="BT115" s="274"/>
      <c r="BU115" s="274">
        <v>5</v>
      </c>
      <c r="BV115" s="274">
        <v>10</v>
      </c>
      <c r="BW115" s="274"/>
      <c r="BX115" s="274">
        <v>30</v>
      </c>
      <c r="BY115" s="274">
        <v>10</v>
      </c>
      <c r="BZ115" s="274"/>
      <c r="CA115" s="274"/>
      <c r="CB115" s="274"/>
      <c r="CC115" s="274">
        <v>5</v>
      </c>
      <c r="CD115" s="274"/>
      <c r="CE115" s="274">
        <v>10</v>
      </c>
      <c r="CF115" s="274"/>
      <c r="CG115" s="274"/>
      <c r="CH115" s="274"/>
      <c r="CI115" s="274">
        <v>10</v>
      </c>
      <c r="CJ115" s="274"/>
      <c r="CK115" s="274">
        <v>10</v>
      </c>
      <c r="CL115" s="274">
        <v>50</v>
      </c>
      <c r="CM115" s="274">
        <v>10</v>
      </c>
      <c r="CN115" s="274">
        <v>10</v>
      </c>
      <c r="CO115" s="274"/>
      <c r="CP115" s="274"/>
      <c r="CQ115" s="274"/>
      <c r="CR115" s="274"/>
      <c r="CS115" s="274"/>
      <c r="CT115" s="274">
        <v>20</v>
      </c>
      <c r="CU115" s="274"/>
      <c r="CV115" s="274"/>
      <c r="CW115" s="274"/>
      <c r="CX115" s="274"/>
      <c r="CY115" s="274"/>
      <c r="CZ115" s="274"/>
      <c r="DA115" s="274"/>
      <c r="DB115" s="274"/>
      <c r="DC115" s="274">
        <v>10</v>
      </c>
      <c r="DD115" s="274">
        <v>10</v>
      </c>
      <c r="DE115" s="274"/>
      <c r="DF115" s="274"/>
      <c r="DG115" s="274"/>
      <c r="DH115" s="274"/>
      <c r="DI115" s="274"/>
      <c r="DJ115" s="274">
        <v>2</v>
      </c>
      <c r="DK115" s="274">
        <v>10</v>
      </c>
      <c r="DL115" s="274"/>
      <c r="DM115" s="274"/>
      <c r="DN115" s="274"/>
      <c r="DO115" s="274"/>
      <c r="DP115" s="274"/>
      <c r="DQ115" s="274"/>
      <c r="DR115" s="274"/>
      <c r="DS115" s="274"/>
      <c r="DT115" s="274">
        <v>5</v>
      </c>
      <c r="DU115" s="274"/>
      <c r="DV115" s="274"/>
      <c r="DW115" s="274"/>
      <c r="DX115" s="274"/>
      <c r="DY115" s="274"/>
      <c r="DZ115" s="274"/>
      <c r="EA115" s="274"/>
      <c r="EB115" s="274"/>
      <c r="EC115" s="274"/>
      <c r="ED115" s="274"/>
      <c r="EE115" s="274"/>
      <c r="EF115" s="274"/>
      <c r="EG115" s="274"/>
      <c r="EH115" s="274"/>
      <c r="EI115" s="274"/>
      <c r="EJ115" s="274"/>
      <c r="EK115" s="274"/>
      <c r="EL115" s="274"/>
      <c r="EM115" s="274"/>
      <c r="EN115" s="274"/>
      <c r="EO115" s="274"/>
      <c r="EP115" s="274"/>
      <c r="EQ115" s="274"/>
      <c r="ER115" s="274"/>
      <c r="ES115" s="274"/>
      <c r="ET115" s="274"/>
      <c r="EU115" s="274">
        <v>10</v>
      </c>
      <c r="EV115" s="274"/>
      <c r="EW115" s="274"/>
      <c r="EX115" s="274">
        <v>5</v>
      </c>
      <c r="EY115" s="274"/>
      <c r="EZ115" s="274"/>
      <c r="FA115" s="274"/>
      <c r="FB115" s="274"/>
      <c r="FC115" s="274"/>
      <c r="FD115" s="274"/>
      <c r="FE115" s="274"/>
      <c r="FF115" s="274">
        <v>5</v>
      </c>
      <c r="FG115" s="274"/>
      <c r="FH115" s="274"/>
      <c r="FI115" s="274"/>
      <c r="FJ115" s="274"/>
      <c r="FK115" s="274"/>
      <c r="FL115" s="274"/>
      <c r="FM115" s="274"/>
      <c r="FN115" s="274"/>
      <c r="FO115" s="274"/>
      <c r="FP115" s="274"/>
      <c r="FQ115" s="274"/>
    </row>
    <row r="116" spans="1:173">
      <c r="E116" s="218" t="s">
        <v>771</v>
      </c>
      <c r="AM116" s="273">
        <f>SUBTOTAL(9,AM111:AM115)</f>
        <v>400</v>
      </c>
      <c r="AU116" s="273">
        <f>SUBTOTAL(9,AU111:AU115)</f>
        <v>1530</v>
      </c>
      <c r="BF116" s="273">
        <f>SUBTOTAL(9,BF111:BF115)</f>
        <v>930</v>
      </c>
      <c r="BU116" s="273">
        <f>SUBTOTAL(9,BU111:BU115)</f>
        <v>70</v>
      </c>
      <c r="BV116" s="273">
        <f>SUBTOTAL(9,BV111:BV115)</f>
        <v>10</v>
      </c>
      <c r="BW116" s="273">
        <f>SUBTOTAL(9,BW111:BW115)</f>
        <v>90</v>
      </c>
      <c r="BX116" s="273">
        <f>SUBTOTAL(9,BX111:BX115)</f>
        <v>600</v>
      </c>
      <c r="BY116" s="273">
        <f>SUBTOTAL(9,BY111:BY115)</f>
        <v>90</v>
      </c>
      <c r="CC116" s="273">
        <f>SUBTOTAL(9,CC111:CC115)</f>
        <v>15</v>
      </c>
      <c r="CD116" s="273">
        <f>SUBTOTAL(9,CD111:CD115)</f>
        <v>10</v>
      </c>
      <c r="CE116" s="273">
        <f>SUBTOTAL(9,CE111:CE115)</f>
        <v>100</v>
      </c>
      <c r="CG116" s="273">
        <f>SUBTOTAL(9,CG111:CG115)</f>
        <v>20</v>
      </c>
      <c r="CI116" s="273">
        <f>SUBTOTAL(9,CI111:CI115)</f>
        <v>210</v>
      </c>
      <c r="CK116" s="273">
        <f>SUBTOTAL(9,CK111:CK115)</f>
        <v>60</v>
      </c>
      <c r="CL116" s="273">
        <f>SUBTOTAL(9,CL111:CL115)</f>
        <v>820</v>
      </c>
      <c r="CM116" s="273">
        <f>SUBTOTAL(9,CM111:CM115)</f>
        <v>210</v>
      </c>
      <c r="CN116" s="273">
        <f>SUBTOTAL(9,CN111:CN115)</f>
        <v>70</v>
      </c>
      <c r="CO116" s="273">
        <f t="shared" ref="CO116:CV116" si="9">SUBTOTAL(9,CO111:CO115)</f>
        <v>8</v>
      </c>
      <c r="CP116" s="273">
        <f t="shared" si="9"/>
        <v>20</v>
      </c>
      <c r="CQ116" s="273">
        <f t="shared" si="9"/>
        <v>5</v>
      </c>
      <c r="CR116" s="273">
        <f t="shared" si="9"/>
        <v>6</v>
      </c>
      <c r="CT116" s="273">
        <f t="shared" si="9"/>
        <v>360</v>
      </c>
      <c r="CV116" s="273">
        <f t="shared" si="9"/>
        <v>15</v>
      </c>
      <c r="DC116" s="273">
        <f t="shared" ref="DC116" si="10">SUBTOTAL(9,DC111:DC115)</f>
        <v>70</v>
      </c>
      <c r="DD116" s="273">
        <f t="shared" ref="DD116" si="11">SUBTOTAL(9,DD111:DD115)</f>
        <v>130</v>
      </c>
      <c r="DE116" s="273">
        <f t="shared" ref="DE116" si="12">SUBTOTAL(9,DE111:DE115)</f>
        <v>5</v>
      </c>
      <c r="DF116" s="273">
        <f t="shared" ref="DF116" si="13">SUBTOTAL(9,DF111:DF115)</f>
        <v>8</v>
      </c>
      <c r="DG116" s="273">
        <f t="shared" ref="DG116" si="14">SUBTOTAL(9,DG111:DG115)</f>
        <v>10</v>
      </c>
      <c r="DH116" s="273">
        <f t="shared" ref="DH116:DL116" si="15">SUBTOTAL(9,DH111:DH115)</f>
        <v>10</v>
      </c>
      <c r="DJ116" s="273">
        <f t="shared" si="15"/>
        <v>2</v>
      </c>
      <c r="DK116" s="273">
        <f t="shared" si="15"/>
        <v>80</v>
      </c>
      <c r="DL116" s="273">
        <f t="shared" si="15"/>
        <v>6</v>
      </c>
      <c r="DR116" s="273">
        <f t="shared" ref="DR116" si="16">SUBTOTAL(9,DR111:DR115)</f>
        <v>40</v>
      </c>
      <c r="DT116" s="273">
        <f t="shared" ref="DT116" si="17">SUBTOTAL(9,DT111:DT115)</f>
        <v>50</v>
      </c>
      <c r="ET116" s="273">
        <f t="shared" ref="ET116:FB116" si="18">SUBTOTAL(9,ET111:ET115)</f>
        <v>20</v>
      </c>
      <c r="EU116" s="273">
        <f t="shared" si="18"/>
        <v>230</v>
      </c>
      <c r="EV116" s="273">
        <f t="shared" si="18"/>
        <v>15</v>
      </c>
      <c r="EX116" s="273">
        <f t="shared" si="18"/>
        <v>10</v>
      </c>
      <c r="EZ116" s="273">
        <f t="shared" si="18"/>
        <v>5</v>
      </c>
      <c r="FB116" s="273">
        <f t="shared" si="18"/>
        <v>15</v>
      </c>
      <c r="FF116" s="273">
        <f t="shared" ref="FF116" si="19">SUBTOTAL(9,FF111:FF115)</f>
        <v>30</v>
      </c>
      <c r="FP116" s="273">
        <f t="shared" ref="FP116" si="20">SUM(H116:FJ116)</f>
        <v>6385</v>
      </c>
    </row>
  </sheetData>
  <autoFilter ref="A6:FQ109">
    <filterColumn colId="2">
      <filters blank="1">
        <filter val="UA1J"/>
      </filters>
    </filterColumn>
  </autoFilter>
  <phoneticPr fontId="1" type="noConversion"/>
  <conditionalFormatting sqref="F5:F6">
    <cfRule type="cellIs" dxfId="2168" priority="267" stopIfTrue="1" operator="equal">
      <formula>"E7"</formula>
    </cfRule>
    <cfRule type="cellIs" dxfId="2167" priority="268" stopIfTrue="1" operator="equal">
      <formula>"E7A"</formula>
    </cfRule>
  </conditionalFormatting>
  <conditionalFormatting sqref="F108">
    <cfRule type="cellIs" dxfId="2166" priority="263" stopIfTrue="1" operator="equal">
      <formula>"E7"</formula>
    </cfRule>
    <cfRule type="cellIs" dxfId="2165" priority="264" stopIfTrue="1" operator="equal">
      <formula>"E7A"</formula>
    </cfRule>
  </conditionalFormatting>
  <conditionalFormatting sqref="F109">
    <cfRule type="cellIs" dxfId="2164" priority="265" stopIfTrue="1" operator="equal">
      <formula>"E7"</formula>
    </cfRule>
    <cfRule type="cellIs" dxfId="2163" priority="266" stopIfTrue="1" operator="equal">
      <formula>"E7A"</formula>
    </cfRule>
  </conditionalFormatting>
  <conditionalFormatting sqref="F106">
    <cfRule type="cellIs" dxfId="2162" priority="261" stopIfTrue="1" operator="equal">
      <formula>"E7"</formula>
    </cfRule>
    <cfRule type="cellIs" dxfId="2161" priority="262" stopIfTrue="1" operator="equal">
      <formula>"E7A"</formula>
    </cfRule>
  </conditionalFormatting>
  <conditionalFormatting sqref="F7">
    <cfRule type="cellIs" dxfId="2160" priority="259" stopIfTrue="1" operator="equal">
      <formula>"E7"</formula>
    </cfRule>
    <cfRule type="cellIs" dxfId="2159" priority="260" stopIfTrue="1" operator="equal">
      <formula>"E7A"</formula>
    </cfRule>
  </conditionalFormatting>
  <conditionalFormatting sqref="F8">
    <cfRule type="cellIs" dxfId="2158" priority="257" stopIfTrue="1" operator="equal">
      <formula>"E7"</formula>
    </cfRule>
    <cfRule type="cellIs" dxfId="2157" priority="258" stopIfTrue="1" operator="equal">
      <formula>"E7A"</formula>
    </cfRule>
  </conditionalFormatting>
  <conditionalFormatting sqref="F69">
    <cfRule type="cellIs" dxfId="2156" priority="255" stopIfTrue="1" operator="equal">
      <formula>"E7"</formula>
    </cfRule>
    <cfRule type="cellIs" dxfId="2155" priority="256" stopIfTrue="1" operator="equal">
      <formula>"E7A"</formula>
    </cfRule>
  </conditionalFormatting>
  <conditionalFormatting sqref="F9">
    <cfRule type="cellIs" dxfId="2154" priority="251" stopIfTrue="1" operator="equal">
      <formula>"E7"</formula>
    </cfRule>
    <cfRule type="cellIs" dxfId="2153" priority="252" stopIfTrue="1" operator="equal">
      <formula>"E7A"</formula>
    </cfRule>
  </conditionalFormatting>
  <conditionalFormatting sqref="F68">
    <cfRule type="cellIs" dxfId="2152" priority="253" stopIfTrue="1" operator="equal">
      <formula>"E7"</formula>
    </cfRule>
    <cfRule type="cellIs" dxfId="2151" priority="254" stopIfTrue="1" operator="equal">
      <formula>"E7A"</formula>
    </cfRule>
  </conditionalFormatting>
  <conditionalFormatting sqref="F67">
    <cfRule type="cellIs" dxfId="2150" priority="249" stopIfTrue="1" operator="equal">
      <formula>"E7"</formula>
    </cfRule>
    <cfRule type="cellIs" dxfId="2149" priority="250" stopIfTrue="1" operator="equal">
      <formula>"E7A"</formula>
    </cfRule>
  </conditionalFormatting>
  <conditionalFormatting sqref="F70">
    <cfRule type="cellIs" dxfId="2148" priority="247" stopIfTrue="1" operator="equal">
      <formula>"E7"</formula>
    </cfRule>
    <cfRule type="cellIs" dxfId="2147" priority="248" stopIfTrue="1" operator="equal">
      <formula>"E7A"</formula>
    </cfRule>
  </conditionalFormatting>
  <conditionalFormatting sqref="F101">
    <cfRule type="cellIs" dxfId="2146" priority="245" stopIfTrue="1" operator="equal">
      <formula>"E7"</formula>
    </cfRule>
    <cfRule type="cellIs" dxfId="2145" priority="246" stopIfTrue="1" operator="equal">
      <formula>"E7A"</formula>
    </cfRule>
  </conditionalFormatting>
  <conditionalFormatting sqref="F105">
    <cfRule type="cellIs" dxfId="2144" priority="243" stopIfTrue="1" operator="equal">
      <formula>"E7"</formula>
    </cfRule>
    <cfRule type="cellIs" dxfId="2143" priority="244" stopIfTrue="1" operator="equal">
      <formula>"E7A"</formula>
    </cfRule>
  </conditionalFormatting>
  <conditionalFormatting sqref="F102">
    <cfRule type="cellIs" dxfId="2142" priority="241" stopIfTrue="1" operator="equal">
      <formula>"E7"</formula>
    </cfRule>
    <cfRule type="cellIs" dxfId="2141" priority="242" stopIfTrue="1" operator="equal">
      <formula>"E7A"</formula>
    </cfRule>
  </conditionalFormatting>
  <conditionalFormatting sqref="F103">
    <cfRule type="cellIs" dxfId="2140" priority="239" stopIfTrue="1" operator="equal">
      <formula>"E7"</formula>
    </cfRule>
    <cfRule type="cellIs" dxfId="2139" priority="240" stopIfTrue="1" operator="equal">
      <formula>"E7A"</formula>
    </cfRule>
  </conditionalFormatting>
  <conditionalFormatting sqref="F104">
    <cfRule type="cellIs" dxfId="2138" priority="237" stopIfTrue="1" operator="equal">
      <formula>"E7"</formula>
    </cfRule>
    <cfRule type="cellIs" dxfId="2137" priority="238" stopIfTrue="1" operator="equal">
      <formula>"E7A"</formula>
    </cfRule>
  </conditionalFormatting>
  <conditionalFormatting sqref="F98">
    <cfRule type="cellIs" dxfId="2136" priority="235" stopIfTrue="1" operator="equal">
      <formula>"E7"</formula>
    </cfRule>
    <cfRule type="cellIs" dxfId="2135" priority="236" stopIfTrue="1" operator="equal">
      <formula>"E7A"</formula>
    </cfRule>
  </conditionalFormatting>
  <conditionalFormatting sqref="F99">
    <cfRule type="cellIs" dxfId="2134" priority="233" stopIfTrue="1" operator="equal">
      <formula>"E7"</formula>
    </cfRule>
    <cfRule type="cellIs" dxfId="2133" priority="234" stopIfTrue="1" operator="equal">
      <formula>"E7A"</formula>
    </cfRule>
  </conditionalFormatting>
  <conditionalFormatting sqref="F100">
    <cfRule type="cellIs" dxfId="2132" priority="231" stopIfTrue="1" operator="equal">
      <formula>"E7"</formula>
    </cfRule>
    <cfRule type="cellIs" dxfId="2131" priority="232" stopIfTrue="1" operator="equal">
      <formula>"E7A"</formula>
    </cfRule>
  </conditionalFormatting>
  <conditionalFormatting sqref="B7 B78 B95:B106 B108:B109">
    <cfRule type="expression" dxfId="2130" priority="230">
      <formula>$B7="A"</formula>
    </cfRule>
  </conditionalFormatting>
  <conditionalFormatting sqref="B8:B9 B67:B70">
    <cfRule type="expression" dxfId="2129" priority="229">
      <formula>$B8="A"</formula>
    </cfRule>
  </conditionalFormatting>
  <conditionalFormatting sqref="H6 AT6:BM6 FI6:FJ6 BO6:CG6 CI6:FG6">
    <cfRule type="expression" dxfId="2128" priority="191">
      <formula>H288=0</formula>
    </cfRule>
  </conditionalFormatting>
  <conditionalFormatting sqref="F78">
    <cfRule type="cellIs" dxfId="2127" priority="227" stopIfTrue="1" operator="equal">
      <formula>"E7"</formula>
    </cfRule>
    <cfRule type="cellIs" dxfId="2126" priority="228" stopIfTrue="1" operator="equal">
      <formula>"E7A"</formula>
    </cfRule>
  </conditionalFormatting>
  <conditionalFormatting sqref="F95">
    <cfRule type="cellIs" dxfId="2125" priority="225" stopIfTrue="1" operator="equal">
      <formula>"E7"</formula>
    </cfRule>
    <cfRule type="cellIs" dxfId="2124" priority="226" stopIfTrue="1" operator="equal">
      <formula>"E7A"</formula>
    </cfRule>
  </conditionalFormatting>
  <conditionalFormatting sqref="F96">
    <cfRule type="cellIs" dxfId="2123" priority="223" stopIfTrue="1" operator="equal">
      <formula>"E7"</formula>
    </cfRule>
    <cfRule type="cellIs" dxfId="2122" priority="224" stopIfTrue="1" operator="equal">
      <formula>"E7A"</formula>
    </cfRule>
  </conditionalFormatting>
  <conditionalFormatting sqref="F97">
    <cfRule type="cellIs" dxfId="2121" priority="221" stopIfTrue="1" operator="equal">
      <formula>"E7"</formula>
    </cfRule>
    <cfRule type="cellIs" dxfId="2120" priority="222" stopIfTrue="1" operator="equal">
      <formula>"E7A"</formula>
    </cfRule>
  </conditionalFormatting>
  <conditionalFormatting sqref="F92">
    <cfRule type="cellIs" dxfId="2119" priority="219" stopIfTrue="1" operator="equal">
      <formula>"E7"</formula>
    </cfRule>
    <cfRule type="cellIs" dxfId="2118" priority="220" stopIfTrue="1" operator="equal">
      <formula>"E7A"</formula>
    </cfRule>
  </conditionalFormatting>
  <conditionalFormatting sqref="F93">
    <cfRule type="cellIs" dxfId="2117" priority="217" stopIfTrue="1" operator="equal">
      <formula>"E7"</formula>
    </cfRule>
    <cfRule type="cellIs" dxfId="2116" priority="218" stopIfTrue="1" operator="equal">
      <formula>"E7A"</formula>
    </cfRule>
  </conditionalFormatting>
  <conditionalFormatting sqref="F94">
    <cfRule type="cellIs" dxfId="2115" priority="215" stopIfTrue="1" operator="equal">
      <formula>"E7"</formula>
    </cfRule>
    <cfRule type="cellIs" dxfId="2114" priority="216" stopIfTrue="1" operator="equal">
      <formula>"E7A"</formula>
    </cfRule>
  </conditionalFormatting>
  <conditionalFormatting sqref="B89:B94">
    <cfRule type="expression" dxfId="2113" priority="214">
      <formula>$B89="A"</formula>
    </cfRule>
  </conditionalFormatting>
  <conditionalFormatting sqref="F89">
    <cfRule type="cellIs" dxfId="2112" priority="212" stopIfTrue="1" operator="equal">
      <formula>"E7"</formula>
    </cfRule>
    <cfRule type="cellIs" dxfId="2111" priority="213" stopIfTrue="1" operator="equal">
      <formula>"E7A"</formula>
    </cfRule>
  </conditionalFormatting>
  <conditionalFormatting sqref="F90">
    <cfRule type="cellIs" dxfId="2110" priority="210" stopIfTrue="1" operator="equal">
      <formula>"E7"</formula>
    </cfRule>
    <cfRule type="cellIs" dxfId="2109" priority="211" stopIfTrue="1" operator="equal">
      <formula>"E7A"</formula>
    </cfRule>
  </conditionalFormatting>
  <conditionalFormatting sqref="F91">
    <cfRule type="cellIs" dxfId="2108" priority="208" stopIfTrue="1" operator="equal">
      <formula>"E7"</formula>
    </cfRule>
    <cfRule type="cellIs" dxfId="2107" priority="209" stopIfTrue="1" operator="equal">
      <formula>"E7A"</formula>
    </cfRule>
  </conditionalFormatting>
  <conditionalFormatting sqref="B71">
    <cfRule type="expression" dxfId="2106" priority="207">
      <formula>$B71="A"</formula>
    </cfRule>
  </conditionalFormatting>
  <conditionalFormatting sqref="F71">
    <cfRule type="cellIs" dxfId="2105" priority="205" stopIfTrue="1" operator="equal">
      <formula>"E7"</formula>
    </cfRule>
    <cfRule type="cellIs" dxfId="2104" priority="206" stopIfTrue="1" operator="equal">
      <formula>"E7A"</formula>
    </cfRule>
  </conditionalFormatting>
  <conditionalFormatting sqref="F75">
    <cfRule type="cellIs" dxfId="2103" priority="203" stopIfTrue="1" operator="equal">
      <formula>"E7"</formula>
    </cfRule>
    <cfRule type="cellIs" dxfId="2102" priority="204" stopIfTrue="1" operator="equal">
      <formula>"E7A"</formula>
    </cfRule>
  </conditionalFormatting>
  <conditionalFormatting sqref="F76">
    <cfRule type="cellIs" dxfId="2101" priority="201" stopIfTrue="1" operator="equal">
      <formula>"E7"</formula>
    </cfRule>
    <cfRule type="cellIs" dxfId="2100" priority="202" stopIfTrue="1" operator="equal">
      <formula>"E7A"</formula>
    </cfRule>
  </conditionalFormatting>
  <conditionalFormatting sqref="F77">
    <cfRule type="cellIs" dxfId="2099" priority="199" stopIfTrue="1" operator="equal">
      <formula>"E7"</formula>
    </cfRule>
    <cfRule type="cellIs" dxfId="2098" priority="200" stopIfTrue="1" operator="equal">
      <formula>"E7A"</formula>
    </cfRule>
  </conditionalFormatting>
  <conditionalFormatting sqref="B72:B77">
    <cfRule type="expression" dxfId="2097" priority="198">
      <formula>$B72="A"</formula>
    </cfRule>
  </conditionalFormatting>
  <conditionalFormatting sqref="F72">
    <cfRule type="cellIs" dxfId="2096" priority="196" stopIfTrue="1" operator="equal">
      <formula>"E7"</formula>
    </cfRule>
    <cfRule type="cellIs" dxfId="2095" priority="197" stopIfTrue="1" operator="equal">
      <formula>"E7A"</formula>
    </cfRule>
  </conditionalFormatting>
  <conditionalFormatting sqref="F73">
    <cfRule type="cellIs" dxfId="2094" priority="194" stopIfTrue="1" operator="equal">
      <formula>"E7"</formula>
    </cfRule>
    <cfRule type="cellIs" dxfId="2093" priority="195" stopIfTrue="1" operator="equal">
      <formula>"E7A"</formula>
    </cfRule>
  </conditionalFormatting>
  <conditionalFormatting sqref="F74">
    <cfRule type="cellIs" dxfId="2092" priority="192" stopIfTrue="1" operator="equal">
      <formula>"E7"</formula>
    </cfRule>
    <cfRule type="cellIs" dxfId="2091" priority="193" stopIfTrue="1" operator="equal">
      <formula>"E7A"</formula>
    </cfRule>
  </conditionalFormatting>
  <conditionalFormatting sqref="I6:L6">
    <cfRule type="expression" dxfId="2090" priority="190">
      <formula>I288=0</formula>
    </cfRule>
  </conditionalFormatting>
  <conditionalFormatting sqref="FI1:FJ1 H1:L1 AT1:BM1 BO1:CG1 CI1:FG1">
    <cfRule type="duplicateValues" dxfId="2089" priority="189"/>
  </conditionalFormatting>
  <conditionalFormatting sqref="I1:K1">
    <cfRule type="duplicateValues" dxfId="2088" priority="188"/>
  </conditionalFormatting>
  <conditionalFormatting sqref="AV1">
    <cfRule type="duplicateValues" dxfId="2087" priority="187"/>
  </conditionalFormatting>
  <conditionalFormatting sqref="F59">
    <cfRule type="cellIs" dxfId="2086" priority="185" stopIfTrue="1" operator="equal">
      <formula>"E7"</formula>
    </cfRule>
    <cfRule type="cellIs" dxfId="2085" priority="186" stopIfTrue="1" operator="equal">
      <formula>"E7A"</formula>
    </cfRule>
  </conditionalFormatting>
  <conditionalFormatting sqref="F11">
    <cfRule type="cellIs" dxfId="2084" priority="183" stopIfTrue="1" operator="equal">
      <formula>"E7"</formula>
    </cfRule>
    <cfRule type="cellIs" dxfId="2083" priority="184" stopIfTrue="1" operator="equal">
      <formula>"E7A"</formula>
    </cfRule>
  </conditionalFormatting>
  <conditionalFormatting sqref="F10">
    <cfRule type="cellIs" dxfId="2082" priority="181" stopIfTrue="1" operator="equal">
      <formula>"E7"</formula>
    </cfRule>
    <cfRule type="cellIs" dxfId="2081" priority="182" stopIfTrue="1" operator="equal">
      <formula>"E7A"</formula>
    </cfRule>
  </conditionalFormatting>
  <conditionalFormatting sqref="F60">
    <cfRule type="cellIs" dxfId="2080" priority="179" stopIfTrue="1" operator="equal">
      <formula>"E7"</formula>
    </cfRule>
    <cfRule type="cellIs" dxfId="2079" priority="180" stopIfTrue="1" operator="equal">
      <formula>"E7A"</formula>
    </cfRule>
  </conditionalFormatting>
  <conditionalFormatting sqref="B10:B11 B59:B60">
    <cfRule type="expression" dxfId="2078" priority="178">
      <formula>$B10="A"</formula>
    </cfRule>
  </conditionalFormatting>
  <conditionalFormatting sqref="B61">
    <cfRule type="expression" dxfId="2077" priority="177">
      <formula>$B61="A"</formula>
    </cfRule>
  </conditionalFormatting>
  <conditionalFormatting sqref="F61">
    <cfRule type="cellIs" dxfId="2076" priority="175" stopIfTrue="1" operator="equal">
      <formula>"E7"</formula>
    </cfRule>
    <cfRule type="cellIs" dxfId="2075" priority="176" stopIfTrue="1" operator="equal">
      <formula>"E7A"</formula>
    </cfRule>
  </conditionalFormatting>
  <conditionalFormatting sqref="F65">
    <cfRule type="cellIs" dxfId="2074" priority="173" stopIfTrue="1" operator="equal">
      <formula>"E7"</formula>
    </cfRule>
    <cfRule type="cellIs" dxfId="2073" priority="174" stopIfTrue="1" operator="equal">
      <formula>"E7A"</formula>
    </cfRule>
  </conditionalFormatting>
  <conditionalFormatting sqref="F66">
    <cfRule type="cellIs" dxfId="2072" priority="171" stopIfTrue="1" operator="equal">
      <formula>"E7"</formula>
    </cfRule>
    <cfRule type="cellIs" dxfId="2071" priority="172" stopIfTrue="1" operator="equal">
      <formula>"E7A"</formula>
    </cfRule>
  </conditionalFormatting>
  <conditionalFormatting sqref="B62:B66">
    <cfRule type="expression" dxfId="2070" priority="170">
      <formula>$B62="A"</formula>
    </cfRule>
  </conditionalFormatting>
  <conditionalFormatting sqref="F62">
    <cfRule type="cellIs" dxfId="2069" priority="168" stopIfTrue="1" operator="equal">
      <formula>"E7"</formula>
    </cfRule>
    <cfRule type="cellIs" dxfId="2068" priority="169" stopIfTrue="1" operator="equal">
      <formula>"E7A"</formula>
    </cfRule>
  </conditionalFormatting>
  <conditionalFormatting sqref="F63">
    <cfRule type="cellIs" dxfId="2067" priority="166" stopIfTrue="1" operator="equal">
      <formula>"E7"</formula>
    </cfRule>
    <cfRule type="cellIs" dxfId="2066" priority="167" stopIfTrue="1" operator="equal">
      <formula>"E7A"</formula>
    </cfRule>
  </conditionalFormatting>
  <conditionalFormatting sqref="F64">
    <cfRule type="cellIs" dxfId="2065" priority="164" stopIfTrue="1" operator="equal">
      <formula>"E7"</formula>
    </cfRule>
    <cfRule type="cellIs" dxfId="2064" priority="165" stopIfTrue="1" operator="equal">
      <formula>"E7A"</formula>
    </cfRule>
  </conditionalFormatting>
  <conditionalFormatting sqref="H4">
    <cfRule type="duplicateValues" dxfId="2063" priority="163"/>
  </conditionalFormatting>
  <conditionalFormatting sqref="FI4:FJ4 I4:L4 AT4:BM4 BO4:CG4 CI4:FG4">
    <cfRule type="duplicateValues" dxfId="2062" priority="162"/>
  </conditionalFormatting>
  <conditionalFormatting sqref="AI6:AS6">
    <cfRule type="expression" dxfId="2061" priority="161">
      <formula>AI288=0</formula>
    </cfRule>
  </conditionalFormatting>
  <conditionalFormatting sqref="AI1:AS1">
    <cfRule type="duplicateValues" dxfId="2060" priority="160"/>
  </conditionalFormatting>
  <conditionalFormatting sqref="AK1">
    <cfRule type="duplicateValues" dxfId="2059" priority="159"/>
  </conditionalFormatting>
  <conditionalFormatting sqref="AI4:AS4">
    <cfRule type="duplicateValues" dxfId="2058" priority="158"/>
  </conditionalFormatting>
  <conditionalFormatting sqref="X6:AH6">
    <cfRule type="expression" dxfId="2057" priority="157">
      <formula>X288=0</formula>
    </cfRule>
  </conditionalFormatting>
  <conditionalFormatting sqref="X1:AH1">
    <cfRule type="duplicateValues" dxfId="2056" priority="156"/>
  </conditionalFormatting>
  <conditionalFormatting sqref="Z1">
    <cfRule type="duplicateValues" dxfId="2055" priority="155"/>
  </conditionalFormatting>
  <conditionalFormatting sqref="X4:AH4">
    <cfRule type="duplicateValues" dxfId="2054" priority="154"/>
  </conditionalFormatting>
  <conditionalFormatting sqref="M6:W6">
    <cfRule type="expression" dxfId="2053" priority="153">
      <formula>M288=0</formula>
    </cfRule>
  </conditionalFormatting>
  <conditionalFormatting sqref="M1:W1">
    <cfRule type="duplicateValues" dxfId="2052" priority="152"/>
  </conditionalFormatting>
  <conditionalFormatting sqref="O1">
    <cfRule type="duplicateValues" dxfId="2051" priority="151"/>
  </conditionalFormatting>
  <conditionalFormatting sqref="M4:W4">
    <cfRule type="duplicateValues" dxfId="2050" priority="150"/>
  </conditionalFormatting>
  <conditionalFormatting sqref="F48">
    <cfRule type="cellIs" dxfId="2049" priority="148" stopIfTrue="1" operator="equal">
      <formula>"E7"</formula>
    </cfRule>
    <cfRule type="cellIs" dxfId="2048" priority="149" stopIfTrue="1" operator="equal">
      <formula>"E7A"</formula>
    </cfRule>
  </conditionalFormatting>
  <conditionalFormatting sqref="F47">
    <cfRule type="cellIs" dxfId="2047" priority="146" stopIfTrue="1" operator="equal">
      <formula>"E7"</formula>
    </cfRule>
    <cfRule type="cellIs" dxfId="2046" priority="147" stopIfTrue="1" operator="equal">
      <formula>"E7A"</formula>
    </cfRule>
  </conditionalFormatting>
  <conditionalFormatting sqref="F46">
    <cfRule type="cellIs" dxfId="2045" priority="144" stopIfTrue="1" operator="equal">
      <formula>"E7"</formula>
    </cfRule>
    <cfRule type="cellIs" dxfId="2044" priority="145" stopIfTrue="1" operator="equal">
      <formula>"E7A"</formula>
    </cfRule>
  </conditionalFormatting>
  <conditionalFormatting sqref="F49">
    <cfRule type="cellIs" dxfId="2043" priority="142" stopIfTrue="1" operator="equal">
      <formula>"E7"</formula>
    </cfRule>
    <cfRule type="cellIs" dxfId="2042" priority="143" stopIfTrue="1" operator="equal">
      <formula>"E7A"</formula>
    </cfRule>
  </conditionalFormatting>
  <conditionalFormatting sqref="B57">
    <cfRule type="expression" dxfId="2041" priority="141">
      <formula>$B57="A"</formula>
    </cfRule>
  </conditionalFormatting>
  <conditionalFormatting sqref="B46:B49">
    <cfRule type="expression" dxfId="2040" priority="140">
      <formula>$B46="A"</formula>
    </cfRule>
  </conditionalFormatting>
  <conditionalFormatting sqref="F57">
    <cfRule type="cellIs" dxfId="2039" priority="138" stopIfTrue="1" operator="equal">
      <formula>"E7"</formula>
    </cfRule>
    <cfRule type="cellIs" dxfId="2038" priority="139" stopIfTrue="1" operator="equal">
      <formula>"E7A"</formula>
    </cfRule>
  </conditionalFormatting>
  <conditionalFormatting sqref="B58">
    <cfRule type="expression" dxfId="2037" priority="137">
      <formula>$B58="A"</formula>
    </cfRule>
  </conditionalFormatting>
  <conditionalFormatting sqref="F58">
    <cfRule type="cellIs" dxfId="2036" priority="135" stopIfTrue="1" operator="equal">
      <formula>"E7"</formula>
    </cfRule>
    <cfRule type="cellIs" dxfId="2035" priority="136" stopIfTrue="1" operator="equal">
      <formula>"E7A"</formula>
    </cfRule>
  </conditionalFormatting>
  <conditionalFormatting sqref="B50">
    <cfRule type="expression" dxfId="2034" priority="134">
      <formula>$B50="A"</formula>
    </cfRule>
  </conditionalFormatting>
  <conditionalFormatting sqref="F50">
    <cfRule type="cellIs" dxfId="2033" priority="132" stopIfTrue="1" operator="equal">
      <formula>"E7"</formula>
    </cfRule>
    <cfRule type="cellIs" dxfId="2032" priority="133" stopIfTrue="1" operator="equal">
      <formula>"E7A"</formula>
    </cfRule>
  </conditionalFormatting>
  <conditionalFormatting sqref="F54">
    <cfRule type="cellIs" dxfId="2031" priority="130" stopIfTrue="1" operator="equal">
      <formula>"E7"</formula>
    </cfRule>
    <cfRule type="cellIs" dxfId="2030" priority="131" stopIfTrue="1" operator="equal">
      <formula>"E7A"</formula>
    </cfRule>
  </conditionalFormatting>
  <conditionalFormatting sqref="F55">
    <cfRule type="cellIs" dxfId="2029" priority="128" stopIfTrue="1" operator="equal">
      <formula>"E7"</formula>
    </cfRule>
    <cfRule type="cellIs" dxfId="2028" priority="129" stopIfTrue="1" operator="equal">
      <formula>"E7A"</formula>
    </cfRule>
  </conditionalFormatting>
  <conditionalFormatting sqref="F56">
    <cfRule type="cellIs" dxfId="2027" priority="126" stopIfTrue="1" operator="equal">
      <formula>"E7"</formula>
    </cfRule>
    <cfRule type="cellIs" dxfId="2026" priority="127" stopIfTrue="1" operator="equal">
      <formula>"E7A"</formula>
    </cfRule>
  </conditionalFormatting>
  <conditionalFormatting sqref="B51:B56">
    <cfRule type="expression" dxfId="2025" priority="125">
      <formula>$B51="A"</formula>
    </cfRule>
  </conditionalFormatting>
  <conditionalFormatting sqref="F51">
    <cfRule type="cellIs" dxfId="2024" priority="123" stopIfTrue="1" operator="equal">
      <formula>"E7"</formula>
    </cfRule>
    <cfRule type="cellIs" dxfId="2023" priority="124" stopIfTrue="1" operator="equal">
      <formula>"E7A"</formula>
    </cfRule>
  </conditionalFormatting>
  <conditionalFormatting sqref="F52">
    <cfRule type="cellIs" dxfId="2022" priority="121" stopIfTrue="1" operator="equal">
      <formula>"E7"</formula>
    </cfRule>
    <cfRule type="cellIs" dxfId="2021" priority="122" stopIfTrue="1" operator="equal">
      <formula>"E7A"</formula>
    </cfRule>
  </conditionalFormatting>
  <conditionalFormatting sqref="F53">
    <cfRule type="cellIs" dxfId="2020" priority="119" stopIfTrue="1" operator="equal">
      <formula>"E7"</formula>
    </cfRule>
    <cfRule type="cellIs" dxfId="2019" priority="120" stopIfTrue="1" operator="equal">
      <formula>"E7A"</formula>
    </cfRule>
  </conditionalFormatting>
  <conditionalFormatting sqref="F38">
    <cfRule type="cellIs" dxfId="2018" priority="117" stopIfTrue="1" operator="equal">
      <formula>"E7"</formula>
    </cfRule>
    <cfRule type="cellIs" dxfId="2017" priority="118" stopIfTrue="1" operator="equal">
      <formula>"E7A"</formula>
    </cfRule>
  </conditionalFormatting>
  <conditionalFormatting sqref="F39">
    <cfRule type="cellIs" dxfId="2016" priority="115" stopIfTrue="1" operator="equal">
      <formula>"E7"</formula>
    </cfRule>
    <cfRule type="cellIs" dxfId="2015" priority="116" stopIfTrue="1" operator="equal">
      <formula>"E7A"</formula>
    </cfRule>
  </conditionalFormatting>
  <conditionalFormatting sqref="B38:B39">
    <cfRule type="expression" dxfId="2014" priority="114">
      <formula>$B38="A"</formula>
    </cfRule>
  </conditionalFormatting>
  <conditionalFormatting sqref="B40">
    <cfRule type="expression" dxfId="2013" priority="113">
      <formula>$B40="A"</formula>
    </cfRule>
  </conditionalFormatting>
  <conditionalFormatting sqref="F40">
    <cfRule type="cellIs" dxfId="2012" priority="111" stopIfTrue="1" operator="equal">
      <formula>"E7"</formula>
    </cfRule>
    <cfRule type="cellIs" dxfId="2011" priority="112" stopIfTrue="1" operator="equal">
      <formula>"E7A"</formula>
    </cfRule>
  </conditionalFormatting>
  <conditionalFormatting sqref="F44">
    <cfRule type="cellIs" dxfId="2010" priority="109" stopIfTrue="1" operator="equal">
      <formula>"E7"</formula>
    </cfRule>
    <cfRule type="cellIs" dxfId="2009" priority="110" stopIfTrue="1" operator="equal">
      <formula>"E7A"</formula>
    </cfRule>
  </conditionalFormatting>
  <conditionalFormatting sqref="F45">
    <cfRule type="cellIs" dxfId="2008" priority="107" stopIfTrue="1" operator="equal">
      <formula>"E7"</formula>
    </cfRule>
    <cfRule type="cellIs" dxfId="2007" priority="108" stopIfTrue="1" operator="equal">
      <formula>"E7A"</formula>
    </cfRule>
  </conditionalFormatting>
  <conditionalFormatting sqref="B41:B45">
    <cfRule type="expression" dxfId="2006" priority="106">
      <formula>$B41="A"</formula>
    </cfRule>
  </conditionalFormatting>
  <conditionalFormatting sqref="F41">
    <cfRule type="cellIs" dxfId="2005" priority="104" stopIfTrue="1" operator="equal">
      <formula>"E7"</formula>
    </cfRule>
    <cfRule type="cellIs" dxfId="2004" priority="105" stopIfTrue="1" operator="equal">
      <formula>"E7A"</formula>
    </cfRule>
  </conditionalFormatting>
  <conditionalFormatting sqref="F42">
    <cfRule type="cellIs" dxfId="2003" priority="102" stopIfTrue="1" operator="equal">
      <formula>"E7"</formula>
    </cfRule>
    <cfRule type="cellIs" dxfId="2002" priority="103" stopIfTrue="1" operator="equal">
      <formula>"E7A"</formula>
    </cfRule>
  </conditionalFormatting>
  <conditionalFormatting sqref="F43">
    <cfRule type="cellIs" dxfId="2001" priority="100" stopIfTrue="1" operator="equal">
      <formula>"E7"</formula>
    </cfRule>
    <cfRule type="cellIs" dxfId="2000" priority="101" stopIfTrue="1" operator="equal">
      <formula>"E7A"</formula>
    </cfRule>
  </conditionalFormatting>
  <conditionalFormatting sqref="F29">
    <cfRule type="cellIs" dxfId="1999" priority="98" stopIfTrue="1" operator="equal">
      <formula>"E7"</formula>
    </cfRule>
    <cfRule type="cellIs" dxfId="1998" priority="99" stopIfTrue="1" operator="equal">
      <formula>"E7A"</formula>
    </cfRule>
  </conditionalFormatting>
  <conditionalFormatting sqref="F28">
    <cfRule type="cellIs" dxfId="1997" priority="96" stopIfTrue="1" operator="equal">
      <formula>"E7"</formula>
    </cfRule>
    <cfRule type="cellIs" dxfId="1996" priority="97" stopIfTrue="1" operator="equal">
      <formula>"E7A"</formula>
    </cfRule>
  </conditionalFormatting>
  <conditionalFormatting sqref="F27">
    <cfRule type="cellIs" dxfId="1995" priority="94" stopIfTrue="1" operator="equal">
      <formula>"E7"</formula>
    </cfRule>
    <cfRule type="cellIs" dxfId="1994" priority="95" stopIfTrue="1" operator="equal">
      <formula>"E7A"</formula>
    </cfRule>
  </conditionalFormatting>
  <conditionalFormatting sqref="F30">
    <cfRule type="cellIs" dxfId="1993" priority="92" stopIfTrue="1" operator="equal">
      <formula>"E7"</formula>
    </cfRule>
    <cfRule type="cellIs" dxfId="1992" priority="93" stopIfTrue="1" operator="equal">
      <formula>"E7A"</formula>
    </cfRule>
  </conditionalFormatting>
  <conditionalFormatting sqref="B27:B30">
    <cfRule type="expression" dxfId="1991" priority="91">
      <formula>$B27="A"</formula>
    </cfRule>
  </conditionalFormatting>
  <conditionalFormatting sqref="B31">
    <cfRule type="expression" dxfId="1990" priority="90">
      <formula>$B31="A"</formula>
    </cfRule>
  </conditionalFormatting>
  <conditionalFormatting sqref="F31">
    <cfRule type="cellIs" dxfId="1989" priority="88" stopIfTrue="1" operator="equal">
      <formula>"E7"</formula>
    </cfRule>
    <cfRule type="cellIs" dxfId="1988" priority="89" stopIfTrue="1" operator="equal">
      <formula>"E7A"</formula>
    </cfRule>
  </conditionalFormatting>
  <conditionalFormatting sqref="F35">
    <cfRule type="cellIs" dxfId="1987" priority="86" stopIfTrue="1" operator="equal">
      <formula>"E7"</formula>
    </cfRule>
    <cfRule type="cellIs" dxfId="1986" priority="87" stopIfTrue="1" operator="equal">
      <formula>"E7A"</formula>
    </cfRule>
  </conditionalFormatting>
  <conditionalFormatting sqref="F36">
    <cfRule type="cellIs" dxfId="1985" priority="84" stopIfTrue="1" operator="equal">
      <formula>"E7"</formula>
    </cfRule>
    <cfRule type="cellIs" dxfId="1984" priority="85" stopIfTrue="1" operator="equal">
      <formula>"E7A"</formula>
    </cfRule>
  </conditionalFormatting>
  <conditionalFormatting sqref="F37">
    <cfRule type="cellIs" dxfId="1983" priority="82" stopIfTrue="1" operator="equal">
      <formula>"E7"</formula>
    </cfRule>
    <cfRule type="cellIs" dxfId="1982" priority="83" stopIfTrue="1" operator="equal">
      <formula>"E7A"</formula>
    </cfRule>
  </conditionalFormatting>
  <conditionalFormatting sqref="B32:B37">
    <cfRule type="expression" dxfId="1981" priority="81">
      <formula>$B32="A"</formula>
    </cfRule>
  </conditionalFormatting>
  <conditionalFormatting sqref="F32">
    <cfRule type="cellIs" dxfId="1980" priority="79" stopIfTrue="1" operator="equal">
      <formula>"E7"</formula>
    </cfRule>
    <cfRule type="cellIs" dxfId="1979" priority="80" stopIfTrue="1" operator="equal">
      <formula>"E7A"</formula>
    </cfRule>
  </conditionalFormatting>
  <conditionalFormatting sqref="F33">
    <cfRule type="cellIs" dxfId="1978" priority="77" stopIfTrue="1" operator="equal">
      <formula>"E7"</formula>
    </cfRule>
    <cfRule type="cellIs" dxfId="1977" priority="78" stopIfTrue="1" operator="equal">
      <formula>"E7A"</formula>
    </cfRule>
  </conditionalFormatting>
  <conditionalFormatting sqref="F34">
    <cfRule type="cellIs" dxfId="1976" priority="75" stopIfTrue="1" operator="equal">
      <formula>"E7"</formula>
    </cfRule>
    <cfRule type="cellIs" dxfId="1975" priority="76" stopIfTrue="1" operator="equal">
      <formula>"E7A"</formula>
    </cfRule>
  </conditionalFormatting>
  <conditionalFormatting sqref="F12">
    <cfRule type="cellIs" dxfId="1974" priority="73" stopIfTrue="1" operator="equal">
      <formula>"E7"</formula>
    </cfRule>
    <cfRule type="cellIs" dxfId="1973" priority="74" stopIfTrue="1" operator="equal">
      <formula>"E7A"</formula>
    </cfRule>
  </conditionalFormatting>
  <conditionalFormatting sqref="F13">
    <cfRule type="cellIs" dxfId="1972" priority="71" stopIfTrue="1" operator="equal">
      <formula>"E7"</formula>
    </cfRule>
    <cfRule type="cellIs" dxfId="1971" priority="72" stopIfTrue="1" operator="equal">
      <formula>"E7A"</formula>
    </cfRule>
  </conditionalFormatting>
  <conditionalFormatting sqref="B12:B13">
    <cfRule type="expression" dxfId="1970" priority="70">
      <formula>$B12="A"</formula>
    </cfRule>
  </conditionalFormatting>
  <conditionalFormatting sqref="B14">
    <cfRule type="expression" dxfId="1969" priority="69">
      <formula>$B14="A"</formula>
    </cfRule>
  </conditionalFormatting>
  <conditionalFormatting sqref="F14">
    <cfRule type="cellIs" dxfId="1968" priority="67" stopIfTrue="1" operator="equal">
      <formula>"E7"</formula>
    </cfRule>
    <cfRule type="cellIs" dxfId="1967" priority="68" stopIfTrue="1" operator="equal">
      <formula>"E7A"</formula>
    </cfRule>
  </conditionalFormatting>
  <conditionalFormatting sqref="F18">
    <cfRule type="cellIs" dxfId="1966" priority="65" stopIfTrue="1" operator="equal">
      <formula>"E7"</formula>
    </cfRule>
    <cfRule type="cellIs" dxfId="1965" priority="66" stopIfTrue="1" operator="equal">
      <formula>"E7A"</formula>
    </cfRule>
  </conditionalFormatting>
  <conditionalFormatting sqref="F19">
    <cfRule type="cellIs" dxfId="1964" priority="63" stopIfTrue="1" operator="equal">
      <formula>"E7"</formula>
    </cfRule>
    <cfRule type="cellIs" dxfId="1963" priority="64" stopIfTrue="1" operator="equal">
      <formula>"E7A"</formula>
    </cfRule>
  </conditionalFormatting>
  <conditionalFormatting sqref="B15:B19">
    <cfRule type="expression" dxfId="1962" priority="62">
      <formula>$B15="A"</formula>
    </cfRule>
  </conditionalFormatting>
  <conditionalFormatting sqref="F15">
    <cfRule type="cellIs" dxfId="1961" priority="60" stopIfTrue="1" operator="equal">
      <formula>"E7"</formula>
    </cfRule>
    <cfRule type="cellIs" dxfId="1960" priority="61" stopIfTrue="1" operator="equal">
      <formula>"E7A"</formula>
    </cfRule>
  </conditionalFormatting>
  <conditionalFormatting sqref="F16">
    <cfRule type="cellIs" dxfId="1959" priority="58" stopIfTrue="1" operator="equal">
      <formula>"E7"</formula>
    </cfRule>
    <cfRule type="cellIs" dxfId="1958" priority="59" stopIfTrue="1" operator="equal">
      <formula>"E7A"</formula>
    </cfRule>
  </conditionalFormatting>
  <conditionalFormatting sqref="F17">
    <cfRule type="cellIs" dxfId="1957" priority="56" stopIfTrue="1" operator="equal">
      <formula>"E7"</formula>
    </cfRule>
    <cfRule type="cellIs" dxfId="1956" priority="57" stopIfTrue="1" operator="equal">
      <formula>"E7A"</formula>
    </cfRule>
  </conditionalFormatting>
  <conditionalFormatting sqref="F88">
    <cfRule type="cellIs" dxfId="1955" priority="54" stopIfTrue="1" operator="equal">
      <formula>"E7"</formula>
    </cfRule>
    <cfRule type="cellIs" dxfId="1954" priority="55" stopIfTrue="1" operator="equal">
      <formula>"E7A"</formula>
    </cfRule>
  </conditionalFormatting>
  <conditionalFormatting sqref="B85:B88">
    <cfRule type="expression" dxfId="1953" priority="53">
      <formula>$B85="A"</formula>
    </cfRule>
  </conditionalFormatting>
  <conditionalFormatting sqref="F85">
    <cfRule type="cellIs" dxfId="1952" priority="51" stopIfTrue="1" operator="equal">
      <formula>"E7"</formula>
    </cfRule>
    <cfRule type="cellIs" dxfId="1951" priority="52" stopIfTrue="1" operator="equal">
      <formula>"E7A"</formula>
    </cfRule>
  </conditionalFormatting>
  <conditionalFormatting sqref="F86">
    <cfRule type="cellIs" dxfId="1950" priority="49" stopIfTrue="1" operator="equal">
      <formula>"E7"</formula>
    </cfRule>
    <cfRule type="cellIs" dxfId="1949" priority="50" stopIfTrue="1" operator="equal">
      <formula>"E7A"</formula>
    </cfRule>
  </conditionalFormatting>
  <conditionalFormatting sqref="F87">
    <cfRule type="cellIs" dxfId="1948" priority="47" stopIfTrue="1" operator="equal">
      <formula>"E7"</formula>
    </cfRule>
    <cfRule type="cellIs" dxfId="1947" priority="48" stopIfTrue="1" operator="equal">
      <formula>"E7A"</formula>
    </cfRule>
  </conditionalFormatting>
  <conditionalFormatting sqref="F82">
    <cfRule type="cellIs" dxfId="1946" priority="45" stopIfTrue="1" operator="equal">
      <formula>"E7"</formula>
    </cfRule>
    <cfRule type="cellIs" dxfId="1945" priority="46" stopIfTrue="1" operator="equal">
      <formula>"E7A"</formula>
    </cfRule>
  </conditionalFormatting>
  <conditionalFormatting sqref="F83">
    <cfRule type="cellIs" dxfId="1944" priority="43" stopIfTrue="1" operator="equal">
      <formula>"E7"</formula>
    </cfRule>
    <cfRule type="cellIs" dxfId="1943" priority="44" stopIfTrue="1" operator="equal">
      <formula>"E7A"</formula>
    </cfRule>
  </conditionalFormatting>
  <conditionalFormatting sqref="F84">
    <cfRule type="cellIs" dxfId="1942" priority="41" stopIfTrue="1" operator="equal">
      <formula>"E7"</formula>
    </cfRule>
    <cfRule type="cellIs" dxfId="1941" priority="42" stopIfTrue="1" operator="equal">
      <formula>"E7A"</formula>
    </cfRule>
  </conditionalFormatting>
  <conditionalFormatting sqref="B79:B84">
    <cfRule type="expression" dxfId="1940" priority="40">
      <formula>$B79="A"</formula>
    </cfRule>
  </conditionalFormatting>
  <conditionalFormatting sqref="F79">
    <cfRule type="cellIs" dxfId="1939" priority="38" stopIfTrue="1" operator="equal">
      <formula>"E7"</formula>
    </cfRule>
    <cfRule type="cellIs" dxfId="1938" priority="39" stopIfTrue="1" operator="equal">
      <formula>"E7A"</formula>
    </cfRule>
  </conditionalFormatting>
  <conditionalFormatting sqref="F80">
    <cfRule type="cellIs" dxfId="1937" priority="36" stopIfTrue="1" operator="equal">
      <formula>"E7"</formula>
    </cfRule>
    <cfRule type="cellIs" dxfId="1936" priority="37" stopIfTrue="1" operator="equal">
      <formula>"E7A"</formula>
    </cfRule>
  </conditionalFormatting>
  <conditionalFormatting sqref="F81">
    <cfRule type="cellIs" dxfId="1935" priority="34" stopIfTrue="1" operator="equal">
      <formula>"E7"</formula>
    </cfRule>
    <cfRule type="cellIs" dxfId="1934" priority="35" stopIfTrue="1" operator="equal">
      <formula>"E7A"</formula>
    </cfRule>
  </conditionalFormatting>
  <conditionalFormatting sqref="FH6">
    <cfRule type="expression" dxfId="1933" priority="33">
      <formula>FH288=0</formula>
    </cfRule>
  </conditionalFormatting>
  <conditionalFormatting sqref="FH1">
    <cfRule type="duplicateValues" dxfId="1932" priority="32"/>
  </conditionalFormatting>
  <conditionalFormatting sqref="FH4">
    <cfRule type="duplicateValues" dxfId="1931" priority="31"/>
  </conditionalFormatting>
  <conditionalFormatting sqref="F22">
    <cfRule type="cellIs" dxfId="1930" priority="29" stopIfTrue="1" operator="equal">
      <formula>"E7"</formula>
    </cfRule>
    <cfRule type="cellIs" dxfId="1929" priority="30" stopIfTrue="1" operator="equal">
      <formula>"E7A"</formula>
    </cfRule>
  </conditionalFormatting>
  <conditionalFormatting sqref="F21">
    <cfRule type="cellIs" dxfId="1928" priority="27" stopIfTrue="1" operator="equal">
      <formula>"E7"</formula>
    </cfRule>
    <cfRule type="cellIs" dxfId="1927" priority="28" stopIfTrue="1" operator="equal">
      <formula>"E7A"</formula>
    </cfRule>
  </conditionalFormatting>
  <conditionalFormatting sqref="F20">
    <cfRule type="cellIs" dxfId="1926" priority="25" stopIfTrue="1" operator="equal">
      <formula>"E7"</formula>
    </cfRule>
    <cfRule type="cellIs" dxfId="1925" priority="26" stopIfTrue="1" operator="equal">
      <formula>"E7A"</formula>
    </cfRule>
  </conditionalFormatting>
  <conditionalFormatting sqref="F23">
    <cfRule type="cellIs" dxfId="1924" priority="23" stopIfTrue="1" operator="equal">
      <formula>"E7"</formula>
    </cfRule>
    <cfRule type="cellIs" dxfId="1923" priority="24" stopIfTrue="1" operator="equal">
      <formula>"E7A"</formula>
    </cfRule>
  </conditionalFormatting>
  <conditionalFormatting sqref="B20:B23">
    <cfRule type="expression" dxfId="1922" priority="22">
      <formula>$B20="A"</formula>
    </cfRule>
  </conditionalFormatting>
  <conditionalFormatting sqref="B24">
    <cfRule type="expression" dxfId="1921" priority="21">
      <formula>$B24="A"</formula>
    </cfRule>
  </conditionalFormatting>
  <conditionalFormatting sqref="F24">
    <cfRule type="cellIs" dxfId="1920" priority="19" stopIfTrue="1" operator="equal">
      <formula>"E7"</formula>
    </cfRule>
    <cfRule type="cellIs" dxfId="1919" priority="20" stopIfTrue="1" operator="equal">
      <formula>"E7A"</formula>
    </cfRule>
  </conditionalFormatting>
  <conditionalFormatting sqref="B25:B26">
    <cfRule type="expression" dxfId="1918" priority="18">
      <formula>$B25="A"</formula>
    </cfRule>
  </conditionalFormatting>
  <conditionalFormatting sqref="F25">
    <cfRule type="cellIs" dxfId="1917" priority="16" stopIfTrue="1" operator="equal">
      <formula>"E7"</formula>
    </cfRule>
    <cfRule type="cellIs" dxfId="1916" priority="17" stopIfTrue="1" operator="equal">
      <formula>"E7A"</formula>
    </cfRule>
  </conditionalFormatting>
  <conditionalFormatting sqref="F26">
    <cfRule type="cellIs" dxfId="1915" priority="14" stopIfTrue="1" operator="equal">
      <formula>"E7"</formula>
    </cfRule>
    <cfRule type="cellIs" dxfId="1914" priority="15" stopIfTrue="1" operator="equal">
      <formula>"E7A"</formula>
    </cfRule>
  </conditionalFormatting>
  <conditionalFormatting sqref="H6">
    <cfRule type="expression" dxfId="1913" priority="269">
      <formula>H$289&gt;0</formula>
    </cfRule>
    <cfRule type="duplicateValues" dxfId="1912" priority="270"/>
  </conditionalFormatting>
  <conditionalFormatting sqref="AI6:AS6">
    <cfRule type="expression" dxfId="1911" priority="271">
      <formula>AI$289&gt;0</formula>
    </cfRule>
    <cfRule type="duplicateValues" dxfId="1910" priority="272"/>
  </conditionalFormatting>
  <conditionalFormatting sqref="X6:AH6">
    <cfRule type="expression" dxfId="1909" priority="273">
      <formula>X$289&gt;0</formula>
    </cfRule>
    <cfRule type="duplicateValues" dxfId="1908" priority="274"/>
  </conditionalFormatting>
  <conditionalFormatting sqref="M6:W6">
    <cfRule type="expression" dxfId="1907" priority="275">
      <formula>M$289&gt;0</formula>
    </cfRule>
    <cfRule type="duplicateValues" dxfId="1906" priority="276"/>
  </conditionalFormatting>
  <conditionalFormatting sqref="FH6">
    <cfRule type="expression" dxfId="1905" priority="277">
      <formula>FH$289&gt;0</formula>
    </cfRule>
    <cfRule type="duplicateValues" dxfId="1904" priority="278"/>
  </conditionalFormatting>
  <conditionalFormatting sqref="CH6">
    <cfRule type="expression" dxfId="1903" priority="11">
      <formula>CH288=0</formula>
    </cfRule>
  </conditionalFormatting>
  <conditionalFormatting sqref="CH1">
    <cfRule type="duplicateValues" dxfId="1902" priority="10"/>
  </conditionalFormatting>
  <conditionalFormatting sqref="CH4">
    <cfRule type="duplicateValues" dxfId="1901" priority="9"/>
  </conditionalFormatting>
  <conditionalFormatting sqref="CH6">
    <cfRule type="expression" dxfId="1900" priority="12">
      <formula>CH$289&gt;0</formula>
    </cfRule>
    <cfRule type="duplicateValues" dxfId="1899" priority="13"/>
  </conditionalFormatting>
  <conditionalFormatting sqref="F107">
    <cfRule type="cellIs" dxfId="1898" priority="7" stopIfTrue="1" operator="equal">
      <formula>"E7"</formula>
    </cfRule>
    <cfRule type="cellIs" dxfId="1897" priority="8" stopIfTrue="1" operator="equal">
      <formula>"E7A"</formula>
    </cfRule>
  </conditionalFormatting>
  <conditionalFormatting sqref="B107">
    <cfRule type="expression" dxfId="1896" priority="6">
      <formula>$B107="A"</formula>
    </cfRule>
  </conditionalFormatting>
  <conditionalFormatting sqref="BN6">
    <cfRule type="expression" dxfId="1895" priority="3">
      <formula>BN288=0</formula>
    </cfRule>
  </conditionalFormatting>
  <conditionalFormatting sqref="BN1">
    <cfRule type="duplicateValues" dxfId="1894" priority="2"/>
  </conditionalFormatting>
  <conditionalFormatting sqref="BN4">
    <cfRule type="duplicateValues" dxfId="1893" priority="1"/>
  </conditionalFormatting>
  <conditionalFormatting sqref="BN6">
    <cfRule type="expression" dxfId="1892" priority="4">
      <formula>BN$289&gt;0</formula>
    </cfRule>
    <cfRule type="duplicateValues" dxfId="1891" priority="5"/>
  </conditionalFormatting>
  <conditionalFormatting sqref="I6:L6 AT6:BM6 FI6:FJ6 BO6:CG6 CI6:FG6">
    <cfRule type="expression" dxfId="1890" priority="279">
      <formula>I$289&gt;0</formula>
    </cfRule>
    <cfRule type="duplicateValues" dxfId="1889" priority="280"/>
  </conditionalFormatting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FN132"/>
  <sheetViews>
    <sheetView workbookViewId="0">
      <pane xSplit="7" ySplit="6" topLeftCell="H105" activePane="bottomRight" state="frozen"/>
      <selection pane="topRight" activeCell="H1" sqref="H1"/>
      <selection pane="bottomLeft" activeCell="A7" sqref="A7"/>
      <selection pane="bottomRight" activeCell="E114" sqref="E114:E119"/>
    </sheetView>
  </sheetViews>
  <sheetFormatPr defaultRowHeight="10.199999999999999"/>
  <cols>
    <col min="1" max="4" width="8.88671875" style="273"/>
    <col min="5" max="5" width="13.44140625" style="273" bestFit="1" customWidth="1"/>
    <col min="6" max="16384" width="8.88671875" style="273"/>
  </cols>
  <sheetData>
    <row r="1" spans="1:170" ht="11.4">
      <c r="A1" s="220"/>
      <c r="B1" s="221"/>
      <c r="C1" s="221"/>
      <c r="D1" s="222"/>
      <c r="E1" s="223"/>
      <c r="F1" s="223"/>
      <c r="G1" s="229" t="s">
        <v>875</v>
      </c>
      <c r="H1" s="223"/>
      <c r="I1" s="223"/>
      <c r="J1" s="223"/>
      <c r="K1" s="223"/>
      <c r="L1" s="223"/>
      <c r="M1" s="223"/>
      <c r="N1" s="223"/>
      <c r="O1" s="223"/>
      <c r="P1" s="223"/>
      <c r="Q1" s="223"/>
      <c r="R1" s="223"/>
      <c r="S1" s="223"/>
      <c r="T1" s="223"/>
      <c r="U1" s="223"/>
      <c r="V1" s="223"/>
      <c r="W1" s="223"/>
      <c r="X1" s="223"/>
      <c r="Y1" s="223"/>
      <c r="Z1" s="223"/>
      <c r="AA1" s="223"/>
      <c r="AB1" s="223"/>
      <c r="AC1" s="223"/>
      <c r="AD1" s="223"/>
      <c r="AE1" s="223"/>
      <c r="AF1" s="223"/>
      <c r="AG1" s="223"/>
      <c r="AH1" s="223"/>
      <c r="AI1" s="223"/>
      <c r="AJ1" s="223"/>
      <c r="AK1" s="223"/>
      <c r="AL1" s="223"/>
      <c r="AM1" s="223"/>
      <c r="AN1" s="223"/>
      <c r="AO1" s="223"/>
      <c r="AP1" s="223"/>
      <c r="AQ1" s="223"/>
      <c r="AR1" s="223"/>
      <c r="AS1" s="223"/>
      <c r="AT1" s="223"/>
      <c r="AU1" s="223"/>
      <c r="AV1" s="223"/>
      <c r="AW1" s="223"/>
      <c r="AX1" s="223"/>
      <c r="AY1" s="223"/>
      <c r="AZ1" s="223"/>
      <c r="BA1" s="223"/>
      <c r="BB1" s="223"/>
      <c r="BC1" s="223"/>
      <c r="BD1" s="223"/>
      <c r="BE1" s="223"/>
      <c r="BF1" s="223"/>
      <c r="BG1" s="223"/>
      <c r="BH1" s="223"/>
      <c r="BI1" s="223"/>
      <c r="BJ1" s="223"/>
      <c r="BK1" s="223"/>
      <c r="BL1" s="223"/>
      <c r="BM1" s="223"/>
      <c r="BN1" s="223"/>
      <c r="BO1" s="223"/>
      <c r="BP1" s="223"/>
      <c r="BQ1" s="223"/>
      <c r="BR1" s="223"/>
      <c r="BS1" s="223"/>
      <c r="BT1" s="223"/>
      <c r="BU1" s="223"/>
      <c r="BV1" s="223"/>
      <c r="BW1" s="223"/>
      <c r="BX1" s="223"/>
      <c r="BY1" s="223"/>
      <c r="BZ1" s="223"/>
      <c r="CA1" s="223"/>
      <c r="CB1" s="223"/>
      <c r="CC1" s="223"/>
      <c r="CD1" s="223"/>
      <c r="CE1" s="223"/>
      <c r="CF1" s="223"/>
      <c r="CG1" s="223"/>
      <c r="CH1" s="223"/>
      <c r="CI1" s="223"/>
      <c r="CJ1" s="223"/>
      <c r="CK1" s="223"/>
      <c r="CL1" s="223"/>
      <c r="CM1" s="223"/>
      <c r="CN1" s="223"/>
      <c r="CO1" s="223"/>
      <c r="CP1" s="223"/>
      <c r="CQ1" s="223"/>
      <c r="CR1" s="223"/>
      <c r="CS1" s="223"/>
      <c r="CT1" s="223"/>
      <c r="CU1" s="223"/>
      <c r="CV1" s="223"/>
      <c r="CW1" s="223"/>
      <c r="CX1" s="223"/>
      <c r="CY1" s="223"/>
      <c r="CZ1" s="223"/>
      <c r="DA1" s="223"/>
      <c r="DB1" s="223"/>
      <c r="DC1" s="223"/>
      <c r="DD1" s="223"/>
      <c r="DE1" s="223"/>
      <c r="DF1" s="223"/>
      <c r="DG1" s="223"/>
      <c r="DH1" s="223"/>
      <c r="DI1" s="223"/>
      <c r="DJ1" s="223"/>
      <c r="DK1" s="223"/>
      <c r="DL1" s="223"/>
      <c r="DM1" s="223"/>
      <c r="DN1" s="223"/>
      <c r="DO1" s="223"/>
      <c r="DP1" s="223"/>
      <c r="DQ1" s="223"/>
      <c r="DR1" s="223"/>
      <c r="DS1" s="223"/>
      <c r="DT1" s="223"/>
      <c r="DU1" s="223"/>
      <c r="DV1" s="223"/>
      <c r="DW1" s="223"/>
      <c r="DX1" s="223"/>
      <c r="DY1" s="223"/>
      <c r="DZ1" s="223"/>
      <c r="EA1" s="223"/>
      <c r="EB1" s="223"/>
      <c r="EC1" s="223"/>
      <c r="ED1" s="223"/>
      <c r="EE1" s="223"/>
      <c r="EF1" s="223"/>
      <c r="EG1" s="223"/>
      <c r="EH1" s="223"/>
      <c r="EI1" s="223"/>
      <c r="EJ1" s="223"/>
      <c r="EK1" s="223"/>
      <c r="EL1" s="223"/>
      <c r="EM1" s="223"/>
      <c r="EN1" s="223"/>
      <c r="EO1" s="223"/>
      <c r="EP1" s="223"/>
      <c r="EQ1" s="223"/>
      <c r="ER1" s="223"/>
      <c r="ES1" s="223"/>
      <c r="ET1" s="223"/>
      <c r="EU1" s="223"/>
      <c r="EV1" s="223"/>
      <c r="EW1" s="223"/>
      <c r="EX1" s="223"/>
      <c r="EY1" s="223"/>
      <c r="EZ1" s="223"/>
      <c r="FA1" s="223"/>
      <c r="FB1" s="223"/>
      <c r="FC1" s="223"/>
      <c r="FD1" s="223"/>
      <c r="FE1" s="223"/>
      <c r="FF1" s="223"/>
      <c r="FG1" s="275"/>
      <c r="FH1" s="225"/>
      <c r="FI1" s="226"/>
      <c r="FJ1" s="221"/>
      <c r="FK1" s="221"/>
      <c r="FL1" s="221"/>
      <c r="FM1" s="221"/>
      <c r="FN1" s="221"/>
    </row>
    <row r="2" spans="1:170" ht="11.4">
      <c r="A2" s="227"/>
      <c r="B2" s="228"/>
      <c r="C2" s="228"/>
      <c r="D2" s="228"/>
      <c r="E2" s="229"/>
      <c r="F2" s="229"/>
      <c r="G2" s="229" t="s">
        <v>876</v>
      </c>
      <c r="H2" s="230" t="s">
        <v>1</v>
      </c>
      <c r="I2" s="230" t="s">
        <v>291</v>
      </c>
      <c r="J2" s="230" t="s">
        <v>293</v>
      </c>
      <c r="K2" s="230" t="s">
        <v>291</v>
      </c>
      <c r="L2" s="230" t="s">
        <v>1</v>
      </c>
      <c r="M2" s="230" t="s">
        <v>1</v>
      </c>
      <c r="N2" s="230" t="s">
        <v>291</v>
      </c>
      <c r="O2" s="230" t="s">
        <v>1</v>
      </c>
      <c r="P2" s="231" t="s">
        <v>776</v>
      </c>
      <c r="Q2" s="230" t="s">
        <v>1</v>
      </c>
      <c r="R2" s="230" t="s">
        <v>291</v>
      </c>
      <c r="S2" s="230" t="s">
        <v>291</v>
      </c>
      <c r="T2" s="231" t="s">
        <v>776</v>
      </c>
      <c r="U2" s="231" t="s">
        <v>882</v>
      </c>
      <c r="V2" s="230" t="s">
        <v>1</v>
      </c>
      <c r="W2" s="230" t="s">
        <v>1</v>
      </c>
      <c r="X2" s="230" t="s">
        <v>1</v>
      </c>
      <c r="Y2" s="230" t="s">
        <v>1</v>
      </c>
      <c r="Z2" s="230" t="s">
        <v>1</v>
      </c>
      <c r="AA2" s="230" t="s">
        <v>1</v>
      </c>
      <c r="AB2" s="230" t="s">
        <v>1</v>
      </c>
      <c r="AC2" s="230" t="s">
        <v>1</v>
      </c>
      <c r="AD2" s="230" t="s">
        <v>1</v>
      </c>
      <c r="AE2" s="230" t="s">
        <v>1</v>
      </c>
      <c r="AF2" s="231" t="s">
        <v>775</v>
      </c>
      <c r="AG2" s="231" t="s">
        <v>773</v>
      </c>
      <c r="AH2" s="230" t="s">
        <v>1</v>
      </c>
      <c r="AI2" s="230" t="s">
        <v>291</v>
      </c>
      <c r="AJ2" s="231" t="s">
        <v>775</v>
      </c>
      <c r="AK2" s="231" t="s">
        <v>775</v>
      </c>
      <c r="AL2" s="230" t="s">
        <v>1</v>
      </c>
      <c r="AM2" s="230" t="s">
        <v>1</v>
      </c>
      <c r="AN2" s="231" t="s">
        <v>773</v>
      </c>
      <c r="AO2" s="230" t="s">
        <v>1</v>
      </c>
      <c r="AP2" s="230" t="s">
        <v>1</v>
      </c>
      <c r="AQ2" s="230" t="s">
        <v>291</v>
      </c>
      <c r="AR2" s="230" t="s">
        <v>291</v>
      </c>
      <c r="AS2" s="230" t="s">
        <v>291</v>
      </c>
      <c r="AT2" s="230" t="s">
        <v>291</v>
      </c>
      <c r="AU2" s="230" t="s">
        <v>1</v>
      </c>
      <c r="AV2" s="230" t="s">
        <v>1</v>
      </c>
      <c r="AW2" s="230" t="s">
        <v>1</v>
      </c>
      <c r="AX2" s="230" t="s">
        <v>1</v>
      </c>
      <c r="AY2" s="230" t="s">
        <v>1</v>
      </c>
      <c r="AZ2" s="230" t="s">
        <v>1</v>
      </c>
      <c r="BA2" s="230" t="s">
        <v>291</v>
      </c>
      <c r="BB2" s="230" t="s">
        <v>291</v>
      </c>
      <c r="BC2" s="231" t="s">
        <v>775</v>
      </c>
      <c r="BD2" s="230" t="s">
        <v>1</v>
      </c>
      <c r="BE2" s="230" t="s">
        <v>1</v>
      </c>
      <c r="BF2" s="230" t="s">
        <v>1</v>
      </c>
      <c r="BG2" s="231" t="s">
        <v>775</v>
      </c>
      <c r="BH2" s="230" t="s">
        <v>1</v>
      </c>
      <c r="BI2" s="230" t="s">
        <v>1</v>
      </c>
      <c r="BJ2" s="230" t="s">
        <v>1</v>
      </c>
      <c r="BK2" s="230" t="s">
        <v>1</v>
      </c>
      <c r="BL2" s="230" t="s">
        <v>1</v>
      </c>
      <c r="BM2" s="230" t="s">
        <v>1</v>
      </c>
      <c r="BN2" s="230" t="s">
        <v>1</v>
      </c>
      <c r="BO2" s="230" t="s">
        <v>1</v>
      </c>
      <c r="BP2" s="230" t="s">
        <v>1</v>
      </c>
      <c r="BQ2" s="230" t="s">
        <v>1</v>
      </c>
      <c r="BR2" s="231" t="s">
        <v>777</v>
      </c>
      <c r="BS2" s="231" t="s">
        <v>776</v>
      </c>
      <c r="BT2" s="230" t="s">
        <v>1</v>
      </c>
      <c r="BU2" s="230" t="s">
        <v>1</v>
      </c>
      <c r="BV2" s="230" t="s">
        <v>1</v>
      </c>
      <c r="BW2" s="230" t="s">
        <v>1</v>
      </c>
      <c r="BX2" s="230" t="s">
        <v>1</v>
      </c>
      <c r="BY2" s="230" t="s">
        <v>1</v>
      </c>
      <c r="BZ2" s="230" t="s">
        <v>1</v>
      </c>
      <c r="CA2" s="230" t="s">
        <v>1</v>
      </c>
      <c r="CB2" s="230" t="s">
        <v>1</v>
      </c>
      <c r="CC2" s="230" t="s">
        <v>1</v>
      </c>
      <c r="CD2" s="230" t="s">
        <v>1</v>
      </c>
      <c r="CE2" s="230" t="s">
        <v>1</v>
      </c>
      <c r="CF2" s="230" t="s">
        <v>1</v>
      </c>
      <c r="CG2" s="230" t="s">
        <v>1</v>
      </c>
      <c r="CH2" s="230" t="s">
        <v>1</v>
      </c>
      <c r="CI2" s="231" t="s">
        <v>777</v>
      </c>
      <c r="CJ2" s="230" t="s">
        <v>1</v>
      </c>
      <c r="CK2" s="230" t="s">
        <v>1</v>
      </c>
      <c r="CL2" s="230" t="s">
        <v>1</v>
      </c>
      <c r="CM2" s="230" t="s">
        <v>1</v>
      </c>
      <c r="CN2" s="230" t="s">
        <v>1</v>
      </c>
      <c r="CO2" s="230" t="s">
        <v>1</v>
      </c>
      <c r="CP2" s="231" t="s">
        <v>776</v>
      </c>
      <c r="CQ2" s="230" t="s">
        <v>1</v>
      </c>
      <c r="CR2" s="230" t="s">
        <v>1</v>
      </c>
      <c r="CS2" s="230" t="s">
        <v>1</v>
      </c>
      <c r="CT2" s="230" t="s">
        <v>1</v>
      </c>
      <c r="CU2" s="230" t="s">
        <v>1</v>
      </c>
      <c r="CV2" s="230" t="s">
        <v>1</v>
      </c>
      <c r="CW2" s="230" t="s">
        <v>1</v>
      </c>
      <c r="CX2" s="230" t="s">
        <v>1</v>
      </c>
      <c r="CY2" s="230" t="s">
        <v>1</v>
      </c>
      <c r="CZ2" s="230" t="s">
        <v>1</v>
      </c>
      <c r="DA2" s="230" t="s">
        <v>1</v>
      </c>
      <c r="DB2" s="230" t="s">
        <v>1</v>
      </c>
      <c r="DC2" s="230" t="s">
        <v>1</v>
      </c>
      <c r="DD2" s="230" t="s">
        <v>1</v>
      </c>
      <c r="DE2" s="230" t="s">
        <v>1</v>
      </c>
      <c r="DF2" s="230" t="s">
        <v>1</v>
      </c>
      <c r="DG2" s="231" t="s">
        <v>776</v>
      </c>
      <c r="DH2" s="230" t="s">
        <v>1</v>
      </c>
      <c r="DI2" s="230" t="s">
        <v>1</v>
      </c>
      <c r="DJ2" s="230" t="s">
        <v>1</v>
      </c>
      <c r="DK2" s="230" t="s">
        <v>1</v>
      </c>
      <c r="DL2" s="230" t="s">
        <v>1</v>
      </c>
      <c r="DM2" s="230" t="s">
        <v>1</v>
      </c>
      <c r="DN2" s="230" t="s">
        <v>1</v>
      </c>
      <c r="DO2" s="230" t="s">
        <v>291</v>
      </c>
      <c r="DP2" s="230" t="s">
        <v>291</v>
      </c>
      <c r="DQ2" s="231" t="s">
        <v>772</v>
      </c>
      <c r="DR2" s="230" t="s">
        <v>1</v>
      </c>
      <c r="DS2" s="230" t="s">
        <v>291</v>
      </c>
      <c r="DT2" s="230" t="s">
        <v>291</v>
      </c>
      <c r="DU2" s="230" t="s">
        <v>291</v>
      </c>
      <c r="DV2" s="230" t="s">
        <v>1</v>
      </c>
      <c r="DW2" s="230" t="s">
        <v>1</v>
      </c>
      <c r="DX2" s="230" t="s">
        <v>1</v>
      </c>
      <c r="DY2" s="230" t="s">
        <v>1</v>
      </c>
      <c r="DZ2" s="230" t="s">
        <v>1</v>
      </c>
      <c r="EA2" s="230" t="s">
        <v>1</v>
      </c>
      <c r="EB2" s="230" t="s">
        <v>1</v>
      </c>
      <c r="EC2" s="230" t="s">
        <v>1</v>
      </c>
      <c r="ED2" s="230" t="s">
        <v>1</v>
      </c>
      <c r="EE2" s="230" t="s">
        <v>1</v>
      </c>
      <c r="EF2" s="230" t="s">
        <v>1</v>
      </c>
      <c r="EG2" s="230" t="s">
        <v>1</v>
      </c>
      <c r="EH2" s="230" t="s">
        <v>1</v>
      </c>
      <c r="EI2" s="230" t="s">
        <v>1</v>
      </c>
      <c r="EJ2" s="230" t="s">
        <v>1</v>
      </c>
      <c r="EK2" s="230" t="s">
        <v>1</v>
      </c>
      <c r="EL2" s="230" t="s">
        <v>1</v>
      </c>
      <c r="EM2" s="230" t="s">
        <v>293</v>
      </c>
      <c r="EN2" s="230" t="s">
        <v>293</v>
      </c>
      <c r="EO2" s="230" t="s">
        <v>1</v>
      </c>
      <c r="EP2" s="230" t="s">
        <v>1</v>
      </c>
      <c r="EQ2" s="230" t="s">
        <v>1</v>
      </c>
      <c r="ER2" s="230" t="s">
        <v>293</v>
      </c>
      <c r="ES2" s="230" t="s">
        <v>1</v>
      </c>
      <c r="ET2" s="230" t="s">
        <v>1</v>
      </c>
      <c r="EU2" s="230" t="s">
        <v>1</v>
      </c>
      <c r="EV2" s="230" t="s">
        <v>293</v>
      </c>
      <c r="EW2" s="230" t="s">
        <v>1</v>
      </c>
      <c r="EX2" s="230" t="s">
        <v>1</v>
      </c>
      <c r="EY2" s="230" t="s">
        <v>1</v>
      </c>
      <c r="EZ2" s="230" t="s">
        <v>293</v>
      </c>
      <c r="FA2" s="230" t="s">
        <v>1</v>
      </c>
      <c r="FB2" s="230" t="s">
        <v>291</v>
      </c>
      <c r="FC2" s="230" t="s">
        <v>1</v>
      </c>
      <c r="FD2" s="230" t="s">
        <v>1</v>
      </c>
      <c r="FE2" s="230" t="s">
        <v>1</v>
      </c>
      <c r="FF2" s="230" t="s">
        <v>1</v>
      </c>
      <c r="FG2" s="275"/>
      <c r="FH2" s="232"/>
      <c r="FI2" s="233"/>
      <c r="FJ2" s="228"/>
      <c r="FK2" s="228"/>
      <c r="FL2" s="228"/>
      <c r="FM2" s="228"/>
      <c r="FN2" s="228"/>
    </row>
    <row r="3" spans="1:170">
      <c r="A3" s="227"/>
      <c r="B3" s="228"/>
      <c r="C3" s="228"/>
      <c r="D3" s="228"/>
      <c r="E3" s="229"/>
      <c r="F3" s="229"/>
      <c r="G3" s="229" t="s">
        <v>296</v>
      </c>
      <c r="H3" s="230">
        <v>20</v>
      </c>
      <c r="I3" s="230">
        <v>20</v>
      </c>
      <c r="J3" s="230">
        <v>20</v>
      </c>
      <c r="K3" s="230">
        <v>20</v>
      </c>
      <c r="L3" s="230">
        <v>20</v>
      </c>
      <c r="M3" s="230">
        <v>20</v>
      </c>
      <c r="N3" s="230">
        <v>20</v>
      </c>
      <c r="O3" s="230">
        <v>20</v>
      </c>
      <c r="P3" s="230">
        <v>20</v>
      </c>
      <c r="Q3" s="230">
        <v>20</v>
      </c>
      <c r="R3" s="230">
        <v>20</v>
      </c>
      <c r="S3" s="230">
        <v>10</v>
      </c>
      <c r="T3" s="230">
        <v>20</v>
      </c>
      <c r="U3" s="230">
        <v>20</v>
      </c>
      <c r="V3" s="230">
        <v>20</v>
      </c>
      <c r="W3" s="230">
        <v>20</v>
      </c>
      <c r="X3" s="230">
        <v>10</v>
      </c>
      <c r="Y3" s="230">
        <v>10</v>
      </c>
      <c r="Z3" s="230">
        <v>20</v>
      </c>
      <c r="AA3" s="230">
        <v>20</v>
      </c>
      <c r="AB3" s="230">
        <v>20</v>
      </c>
      <c r="AC3" s="230">
        <v>10</v>
      </c>
      <c r="AD3" s="230">
        <v>20</v>
      </c>
      <c r="AE3" s="230">
        <v>20</v>
      </c>
      <c r="AF3" s="230">
        <v>20</v>
      </c>
      <c r="AG3" s="230">
        <v>20</v>
      </c>
      <c r="AH3" s="230">
        <v>20</v>
      </c>
      <c r="AI3" s="230">
        <v>20</v>
      </c>
      <c r="AJ3" s="230">
        <v>10</v>
      </c>
      <c r="AK3" s="230">
        <v>10</v>
      </c>
      <c r="AL3" s="230">
        <v>10</v>
      </c>
      <c r="AM3" s="230">
        <v>10</v>
      </c>
      <c r="AN3" s="230">
        <v>20</v>
      </c>
      <c r="AO3" s="230">
        <v>10</v>
      </c>
      <c r="AP3" s="230">
        <v>10</v>
      </c>
      <c r="AQ3" s="230">
        <v>10</v>
      </c>
      <c r="AR3" s="230">
        <v>5</v>
      </c>
      <c r="AS3" s="230">
        <v>10</v>
      </c>
      <c r="AT3" s="230">
        <v>10</v>
      </c>
      <c r="AU3" s="230">
        <v>20</v>
      </c>
      <c r="AV3" s="230">
        <v>20</v>
      </c>
      <c r="AW3" s="230">
        <v>10</v>
      </c>
      <c r="AX3" s="230">
        <v>10</v>
      </c>
      <c r="AY3" s="230">
        <v>20</v>
      </c>
      <c r="AZ3" s="230">
        <v>20</v>
      </c>
      <c r="BA3" s="230">
        <v>10</v>
      </c>
      <c r="BB3" s="230">
        <v>10</v>
      </c>
      <c r="BC3" s="230">
        <v>10</v>
      </c>
      <c r="BD3" s="230">
        <v>10</v>
      </c>
      <c r="BE3" s="230">
        <v>20</v>
      </c>
      <c r="BF3" s="230">
        <v>20</v>
      </c>
      <c r="BG3" s="230">
        <v>10</v>
      </c>
      <c r="BH3" s="230">
        <v>10</v>
      </c>
      <c r="BI3" s="230">
        <v>10</v>
      </c>
      <c r="BJ3" s="230">
        <v>10</v>
      </c>
      <c r="BK3" s="230">
        <v>5</v>
      </c>
      <c r="BL3" s="230">
        <v>10</v>
      </c>
      <c r="BM3" s="230">
        <v>10</v>
      </c>
      <c r="BN3" s="230">
        <v>10</v>
      </c>
      <c r="BO3" s="230">
        <v>10</v>
      </c>
      <c r="BP3" s="230">
        <v>10</v>
      </c>
      <c r="BQ3" s="230">
        <v>10</v>
      </c>
      <c r="BR3" s="230">
        <v>10</v>
      </c>
      <c r="BS3" s="230">
        <v>10</v>
      </c>
      <c r="BT3" s="230">
        <v>10</v>
      </c>
      <c r="BU3" s="230">
        <v>10</v>
      </c>
      <c r="BV3" s="230">
        <v>10</v>
      </c>
      <c r="BW3" s="230">
        <v>10</v>
      </c>
      <c r="BX3" s="230">
        <v>5</v>
      </c>
      <c r="BY3" s="230">
        <v>10</v>
      </c>
      <c r="BZ3" s="230">
        <v>10</v>
      </c>
      <c r="CA3" s="230">
        <v>10</v>
      </c>
      <c r="CB3" s="230">
        <v>10</v>
      </c>
      <c r="CC3" s="230">
        <v>10</v>
      </c>
      <c r="CD3" s="230">
        <v>10</v>
      </c>
      <c r="CE3" s="230">
        <v>5</v>
      </c>
      <c r="CF3" s="230">
        <v>10</v>
      </c>
      <c r="CG3" s="230">
        <v>10</v>
      </c>
      <c r="CH3" s="230">
        <v>10</v>
      </c>
      <c r="CI3" s="230">
        <v>10</v>
      </c>
      <c r="CJ3" s="230">
        <v>5</v>
      </c>
      <c r="CK3" s="230">
        <v>4</v>
      </c>
      <c r="CL3" s="230">
        <v>5</v>
      </c>
      <c r="CM3" s="230">
        <v>5</v>
      </c>
      <c r="CN3" s="230">
        <v>10</v>
      </c>
      <c r="CO3" s="230">
        <v>10</v>
      </c>
      <c r="CP3" s="230">
        <v>10</v>
      </c>
      <c r="CQ3" s="230">
        <v>10</v>
      </c>
      <c r="CR3" s="230">
        <v>1</v>
      </c>
      <c r="CS3" s="230">
        <v>1</v>
      </c>
      <c r="CT3" s="230">
        <v>1</v>
      </c>
      <c r="CU3" s="230">
        <v>1</v>
      </c>
      <c r="CV3" s="230">
        <v>1</v>
      </c>
      <c r="CW3" s="230">
        <v>1</v>
      </c>
      <c r="CX3" s="230">
        <v>1</v>
      </c>
      <c r="CY3" s="230">
        <v>10</v>
      </c>
      <c r="CZ3" s="230">
        <v>10</v>
      </c>
      <c r="DA3" s="230">
        <v>5</v>
      </c>
      <c r="DB3" s="230">
        <v>4</v>
      </c>
      <c r="DC3" s="230">
        <v>5</v>
      </c>
      <c r="DD3" s="230">
        <v>5</v>
      </c>
      <c r="DE3" s="230">
        <v>10</v>
      </c>
      <c r="DF3" s="230">
        <v>10</v>
      </c>
      <c r="DG3" s="230">
        <v>10</v>
      </c>
      <c r="DH3" s="230">
        <v>1</v>
      </c>
      <c r="DI3" s="230">
        <v>1</v>
      </c>
      <c r="DJ3" s="230">
        <v>1</v>
      </c>
      <c r="DK3" s="230">
        <v>1</v>
      </c>
      <c r="DL3" s="230">
        <v>10</v>
      </c>
      <c r="DM3" s="230">
        <v>5</v>
      </c>
      <c r="DN3" s="230">
        <v>10</v>
      </c>
      <c r="DO3" s="230">
        <v>30</v>
      </c>
      <c r="DP3" s="230">
        <v>20</v>
      </c>
      <c r="DQ3" s="230">
        <v>30</v>
      </c>
      <c r="DR3" s="230">
        <v>30</v>
      </c>
      <c r="DS3" s="230">
        <v>30</v>
      </c>
      <c r="DT3" s="230">
        <v>20</v>
      </c>
      <c r="DU3" s="230">
        <v>30</v>
      </c>
      <c r="DV3" s="230">
        <v>10</v>
      </c>
      <c r="DW3" s="230">
        <v>10</v>
      </c>
      <c r="DX3" s="230">
        <v>10</v>
      </c>
      <c r="DY3" s="230">
        <v>10</v>
      </c>
      <c r="DZ3" s="230">
        <v>10</v>
      </c>
      <c r="EA3" s="230">
        <v>10</v>
      </c>
      <c r="EB3" s="230">
        <v>10</v>
      </c>
      <c r="EC3" s="230">
        <v>10</v>
      </c>
      <c r="ED3" s="230">
        <v>10</v>
      </c>
      <c r="EE3" s="230">
        <v>10</v>
      </c>
      <c r="EF3" s="230">
        <v>10</v>
      </c>
      <c r="EG3" s="230">
        <v>5</v>
      </c>
      <c r="EH3" s="230">
        <v>10</v>
      </c>
      <c r="EI3" s="230">
        <v>10</v>
      </c>
      <c r="EJ3" s="230">
        <v>10</v>
      </c>
      <c r="EK3" s="230">
        <v>10</v>
      </c>
      <c r="EL3" s="230">
        <v>10</v>
      </c>
      <c r="EM3" s="230">
        <v>10</v>
      </c>
      <c r="EN3" s="230">
        <v>10</v>
      </c>
      <c r="EO3" s="230">
        <v>10</v>
      </c>
      <c r="EP3" s="230">
        <v>10</v>
      </c>
      <c r="EQ3" s="230">
        <v>5</v>
      </c>
      <c r="ER3" s="230">
        <v>10</v>
      </c>
      <c r="ES3" s="230">
        <v>10</v>
      </c>
      <c r="ET3" s="230">
        <v>5</v>
      </c>
      <c r="EU3" s="230">
        <v>5</v>
      </c>
      <c r="EV3" s="230">
        <v>10</v>
      </c>
      <c r="EW3" s="230">
        <v>10</v>
      </c>
      <c r="EX3" s="230">
        <v>5</v>
      </c>
      <c r="EY3" s="230" t="s">
        <v>206</v>
      </c>
      <c r="EZ3" s="230">
        <v>10</v>
      </c>
      <c r="FA3" s="230">
        <v>10</v>
      </c>
      <c r="FB3" s="230">
        <v>20</v>
      </c>
      <c r="FC3" s="230">
        <v>10</v>
      </c>
      <c r="FD3" s="230">
        <v>10</v>
      </c>
      <c r="FE3" s="230">
        <v>10</v>
      </c>
      <c r="FF3" s="230">
        <v>10</v>
      </c>
      <c r="FG3" s="277"/>
      <c r="FH3" s="227"/>
      <c r="FI3" s="228"/>
      <c r="FJ3" s="232"/>
      <c r="FK3" s="233"/>
      <c r="FL3" s="228"/>
      <c r="FM3" s="228"/>
      <c r="FN3" s="228"/>
    </row>
    <row r="4" spans="1:170" ht="40.799999999999997">
      <c r="A4" s="234"/>
      <c r="B4" s="235"/>
      <c r="C4" s="235"/>
      <c r="D4" s="235"/>
      <c r="E4" s="234"/>
      <c r="F4" s="234"/>
      <c r="G4" s="234" t="s">
        <v>778</v>
      </c>
      <c r="H4" s="236" t="s">
        <v>453</v>
      </c>
      <c r="I4" s="236" t="s">
        <v>454</v>
      </c>
      <c r="J4" s="236" t="s">
        <v>455</v>
      </c>
      <c r="K4" s="236" t="s">
        <v>456</v>
      </c>
      <c r="L4" s="236" t="s">
        <v>297</v>
      </c>
      <c r="M4" s="236" t="s">
        <v>457</v>
      </c>
      <c r="N4" s="236" t="s">
        <v>298</v>
      </c>
      <c r="O4" s="238" t="s">
        <v>458</v>
      </c>
      <c r="P4" s="238" t="s">
        <v>458</v>
      </c>
      <c r="Q4" s="236" t="s">
        <v>459</v>
      </c>
      <c r="R4" s="236" t="s">
        <v>460</v>
      </c>
      <c r="S4" s="236" t="s">
        <v>461</v>
      </c>
      <c r="T4" s="236" t="s">
        <v>462</v>
      </c>
      <c r="U4" s="236" t="s">
        <v>463</v>
      </c>
      <c r="V4" s="236" t="s">
        <v>464</v>
      </c>
      <c r="W4" s="236" t="s">
        <v>465</v>
      </c>
      <c r="X4" s="236" t="s">
        <v>466</v>
      </c>
      <c r="Y4" s="236" t="s">
        <v>467</v>
      </c>
      <c r="Z4" s="238" t="s">
        <v>468</v>
      </c>
      <c r="AA4" s="238" t="s">
        <v>468</v>
      </c>
      <c r="AB4" s="236" t="s">
        <v>469</v>
      </c>
      <c r="AC4" s="236" t="s">
        <v>470</v>
      </c>
      <c r="AD4" s="236" t="s">
        <v>299</v>
      </c>
      <c r="AE4" s="236" t="s">
        <v>471</v>
      </c>
      <c r="AF4" s="236" t="s">
        <v>300</v>
      </c>
      <c r="AG4" s="236" t="s">
        <v>472</v>
      </c>
      <c r="AH4" s="236" t="s">
        <v>473</v>
      </c>
      <c r="AI4" s="236" t="s">
        <v>474</v>
      </c>
      <c r="AJ4" s="236" t="s">
        <v>301</v>
      </c>
      <c r="AK4" s="236" t="s">
        <v>475</v>
      </c>
      <c r="AL4" s="236" t="s">
        <v>476</v>
      </c>
      <c r="AM4" s="236" t="s">
        <v>477</v>
      </c>
      <c r="AN4" s="236" t="s">
        <v>478</v>
      </c>
      <c r="AO4" s="236" t="s">
        <v>479</v>
      </c>
      <c r="AP4" s="236" t="s">
        <v>480</v>
      </c>
      <c r="AQ4" s="236" t="s">
        <v>302</v>
      </c>
      <c r="AR4" s="236" t="s">
        <v>481</v>
      </c>
      <c r="AS4" s="236" t="s">
        <v>482</v>
      </c>
      <c r="AT4" s="236" t="s">
        <v>483</v>
      </c>
      <c r="AU4" s="236" t="s">
        <v>484</v>
      </c>
      <c r="AV4" s="236" t="s">
        <v>303</v>
      </c>
      <c r="AW4" s="236" t="s">
        <v>304</v>
      </c>
      <c r="AX4" s="236" t="s">
        <v>486</v>
      </c>
      <c r="AY4" s="236" t="s">
        <v>487</v>
      </c>
      <c r="AZ4" s="236" t="s">
        <v>488</v>
      </c>
      <c r="BA4" s="236" t="s">
        <v>489</v>
      </c>
      <c r="BB4" s="236" t="s">
        <v>490</v>
      </c>
      <c r="BC4" s="236" t="s">
        <v>305</v>
      </c>
      <c r="BD4" s="236" t="s">
        <v>491</v>
      </c>
      <c r="BE4" s="236" t="s">
        <v>492</v>
      </c>
      <c r="BF4" s="236" t="s">
        <v>493</v>
      </c>
      <c r="BG4" s="236" t="s">
        <v>934</v>
      </c>
      <c r="BH4" s="236" t="s">
        <v>494</v>
      </c>
      <c r="BI4" s="236" t="s">
        <v>495</v>
      </c>
      <c r="BJ4" s="236" t="s">
        <v>497</v>
      </c>
      <c r="BK4" s="236" t="s">
        <v>781</v>
      </c>
      <c r="BL4" s="236" t="s">
        <v>782</v>
      </c>
      <c r="BM4" s="236" t="s">
        <v>783</v>
      </c>
      <c r="BN4" s="236" t="s">
        <v>307</v>
      </c>
      <c r="BO4" s="236" t="s">
        <v>784</v>
      </c>
      <c r="BP4" s="236" t="s">
        <v>786</v>
      </c>
      <c r="BQ4" s="236" t="s">
        <v>787</v>
      </c>
      <c r="BR4" s="236" t="s">
        <v>285</v>
      </c>
      <c r="BS4" s="236" t="s">
        <v>272</v>
      </c>
      <c r="BT4" s="236" t="s">
        <v>257</v>
      </c>
      <c r="BU4" s="236" t="s">
        <v>258</v>
      </c>
      <c r="BV4" s="236" t="s">
        <v>273</v>
      </c>
      <c r="BW4" s="236" t="s">
        <v>500</v>
      </c>
      <c r="BX4" s="236" t="s">
        <v>20</v>
      </c>
      <c r="BY4" s="236" t="s">
        <v>11</v>
      </c>
      <c r="BZ4" s="236" t="s">
        <v>12</v>
      </c>
      <c r="CA4" s="236" t="s">
        <v>13</v>
      </c>
      <c r="CB4" s="236" t="s">
        <v>70</v>
      </c>
      <c r="CC4" s="236" t="s">
        <v>501</v>
      </c>
      <c r="CD4" s="236" t="s">
        <v>231</v>
      </c>
      <c r="CE4" s="236" t="s">
        <v>17</v>
      </c>
      <c r="CF4" s="236" t="s">
        <v>14</v>
      </c>
      <c r="CG4" s="236" t="s">
        <v>6</v>
      </c>
      <c r="CH4" s="236" t="s">
        <v>7</v>
      </c>
      <c r="CI4" s="236" t="s">
        <v>18</v>
      </c>
      <c r="CJ4" s="236" t="s">
        <v>8</v>
      </c>
      <c r="CK4" s="236" t="s">
        <v>87</v>
      </c>
      <c r="CL4" s="236" t="s">
        <v>71</v>
      </c>
      <c r="CM4" s="236" t="s">
        <v>16</v>
      </c>
      <c r="CN4" s="236" t="s">
        <v>72</v>
      </c>
      <c r="CO4" s="236" t="s">
        <v>2</v>
      </c>
      <c r="CP4" s="236" t="s">
        <v>3</v>
      </c>
      <c r="CQ4" s="236" t="s">
        <v>502</v>
      </c>
      <c r="CR4" s="236" t="s">
        <v>115</v>
      </c>
      <c r="CS4" s="236" t="s">
        <v>115</v>
      </c>
      <c r="CT4" s="236" t="s">
        <v>115</v>
      </c>
      <c r="CU4" s="236" t="s">
        <v>115</v>
      </c>
      <c r="CV4" s="236" t="s">
        <v>115</v>
      </c>
      <c r="CW4" s="236" t="s">
        <v>115</v>
      </c>
      <c r="CX4" s="236" t="s">
        <v>115</v>
      </c>
      <c r="CY4" s="236" t="s">
        <v>308</v>
      </c>
      <c r="CZ4" s="236" t="s">
        <v>9</v>
      </c>
      <c r="DA4" s="236" t="s">
        <v>15</v>
      </c>
      <c r="DB4" s="236" t="s">
        <v>167</v>
      </c>
      <c r="DC4" s="236" t="s">
        <v>240</v>
      </c>
      <c r="DD4" s="236" t="s">
        <v>101</v>
      </c>
      <c r="DE4" s="236" t="s">
        <v>207</v>
      </c>
      <c r="DF4" s="236" t="s">
        <v>4</v>
      </c>
      <c r="DG4" s="236" t="s">
        <v>5</v>
      </c>
      <c r="DH4" s="236" t="s">
        <v>227</v>
      </c>
      <c r="DI4" s="236" t="s">
        <v>227</v>
      </c>
      <c r="DJ4" s="236" t="s">
        <v>227</v>
      </c>
      <c r="DK4" s="236" t="s">
        <v>227</v>
      </c>
      <c r="DL4" s="236" t="s">
        <v>10</v>
      </c>
      <c r="DM4" s="236" t="s">
        <v>10</v>
      </c>
      <c r="DN4" s="236" t="s">
        <v>19</v>
      </c>
      <c r="DO4" s="236" t="s">
        <v>512</v>
      </c>
      <c r="DP4" s="236" t="s">
        <v>513</v>
      </c>
      <c r="DQ4" s="236" t="s">
        <v>309</v>
      </c>
      <c r="DR4" s="236" t="s">
        <v>514</v>
      </c>
      <c r="DS4" s="236" t="s">
        <v>310</v>
      </c>
      <c r="DT4" s="236" t="s">
        <v>515</v>
      </c>
      <c r="DU4" s="236" t="s">
        <v>516</v>
      </c>
      <c r="DV4" s="236" t="s">
        <v>517</v>
      </c>
      <c r="DW4" s="236" t="s">
        <v>311</v>
      </c>
      <c r="DX4" s="236" t="s">
        <v>518</v>
      </c>
      <c r="DY4" s="236" t="s">
        <v>519</v>
      </c>
      <c r="DZ4" s="236" t="s">
        <v>312</v>
      </c>
      <c r="EA4" s="236" t="s">
        <v>520</v>
      </c>
      <c r="EB4" s="236" t="s">
        <v>521</v>
      </c>
      <c r="EC4" s="236" t="s">
        <v>522</v>
      </c>
      <c r="ED4" s="236" t="s">
        <v>523</v>
      </c>
      <c r="EE4" s="236" t="s">
        <v>524</v>
      </c>
      <c r="EF4" s="236" t="s">
        <v>313</v>
      </c>
      <c r="EG4" s="236" t="s">
        <v>525</v>
      </c>
      <c r="EH4" s="236" t="s">
        <v>526</v>
      </c>
      <c r="EI4" s="236" t="s">
        <v>527</v>
      </c>
      <c r="EJ4" s="236" t="s">
        <v>528</v>
      </c>
      <c r="EK4" s="236" t="s">
        <v>529</v>
      </c>
      <c r="EL4" s="236" t="s">
        <v>530</v>
      </c>
      <c r="EM4" s="236" t="s">
        <v>531</v>
      </c>
      <c r="EN4" s="236" t="s">
        <v>531</v>
      </c>
      <c r="EO4" s="236" t="s">
        <v>287</v>
      </c>
      <c r="EP4" s="236" t="s">
        <v>314</v>
      </c>
      <c r="EQ4" s="236" t="s">
        <v>261</v>
      </c>
      <c r="ER4" s="236" t="s">
        <v>532</v>
      </c>
      <c r="ES4" s="236" t="s">
        <v>208</v>
      </c>
      <c r="ET4" s="236" t="s">
        <v>228</v>
      </c>
      <c r="EU4" s="236" t="s">
        <v>209</v>
      </c>
      <c r="EV4" s="236" t="s">
        <v>533</v>
      </c>
      <c r="EW4" s="236" t="s">
        <v>229</v>
      </c>
      <c r="EX4" s="236" t="s">
        <v>279</v>
      </c>
      <c r="EY4" s="236" t="s">
        <v>534</v>
      </c>
      <c r="EZ4" s="236" t="s">
        <v>535</v>
      </c>
      <c r="FA4" s="236" t="s">
        <v>230</v>
      </c>
      <c r="FB4" s="236" t="s">
        <v>883</v>
      </c>
      <c r="FC4" s="236" t="s">
        <v>536</v>
      </c>
      <c r="FD4" s="236" t="s">
        <v>315</v>
      </c>
      <c r="FE4" s="236" t="s">
        <v>538</v>
      </c>
      <c r="FF4" s="236" t="s">
        <v>539</v>
      </c>
      <c r="FG4" s="278"/>
      <c r="FH4" s="234"/>
      <c r="FI4" s="235"/>
      <c r="FJ4" s="240"/>
      <c r="FK4" s="235"/>
      <c r="FL4" s="235"/>
      <c r="FM4" s="235"/>
      <c r="FN4" s="235"/>
    </row>
    <row r="5" spans="1:170" ht="20.399999999999999">
      <c r="A5" s="241"/>
      <c r="B5" s="221"/>
      <c r="C5" s="221"/>
      <c r="D5" s="222"/>
      <c r="E5" s="223" t="s">
        <v>316</v>
      </c>
      <c r="F5" s="242" t="s">
        <v>870</v>
      </c>
      <c r="G5" s="223" t="s">
        <v>317</v>
      </c>
      <c r="H5" s="243" t="s">
        <v>540</v>
      </c>
      <c r="I5" s="243" t="s">
        <v>541</v>
      </c>
      <c r="J5" s="243" t="s">
        <v>542</v>
      </c>
      <c r="K5" s="243" t="s">
        <v>543</v>
      </c>
      <c r="L5" s="243" t="s">
        <v>318</v>
      </c>
      <c r="M5" s="243" t="s">
        <v>544</v>
      </c>
      <c r="N5" s="243" t="s">
        <v>884</v>
      </c>
      <c r="O5" s="243" t="s">
        <v>789</v>
      </c>
      <c r="P5" s="243" t="s">
        <v>545</v>
      </c>
      <c r="Q5" s="243" t="s">
        <v>546</v>
      </c>
      <c r="R5" s="243" t="s">
        <v>547</v>
      </c>
      <c r="S5" s="243" t="s">
        <v>548</v>
      </c>
      <c r="T5" s="243" t="s">
        <v>549</v>
      </c>
      <c r="U5" s="243" t="s">
        <v>550</v>
      </c>
      <c r="V5" s="243" t="s">
        <v>551</v>
      </c>
      <c r="W5" s="243" t="s">
        <v>552</v>
      </c>
      <c r="X5" s="243" t="s">
        <v>553</v>
      </c>
      <c r="Y5" s="243" t="s">
        <v>554</v>
      </c>
      <c r="Z5" s="243" t="s">
        <v>885</v>
      </c>
      <c r="AA5" s="243" t="s">
        <v>555</v>
      </c>
      <c r="AB5" s="243" t="s">
        <v>556</v>
      </c>
      <c r="AC5" s="243" t="s">
        <v>557</v>
      </c>
      <c r="AD5" s="243" t="s">
        <v>886</v>
      </c>
      <c r="AE5" s="243" t="s">
        <v>558</v>
      </c>
      <c r="AF5" s="243" t="s">
        <v>321</v>
      </c>
      <c r="AG5" s="243" t="s">
        <v>790</v>
      </c>
      <c r="AH5" s="243" t="s">
        <v>560</v>
      </c>
      <c r="AI5" s="243" t="s">
        <v>561</v>
      </c>
      <c r="AJ5" s="243" t="s">
        <v>322</v>
      </c>
      <c r="AK5" s="243" t="s">
        <v>562</v>
      </c>
      <c r="AL5" s="243" t="s">
        <v>563</v>
      </c>
      <c r="AM5" s="243" t="s">
        <v>564</v>
      </c>
      <c r="AN5" s="243" t="s">
        <v>565</v>
      </c>
      <c r="AO5" s="243" t="s">
        <v>566</v>
      </c>
      <c r="AP5" s="243" t="s">
        <v>567</v>
      </c>
      <c r="AQ5" s="243" t="s">
        <v>323</v>
      </c>
      <c r="AR5" s="243" t="s">
        <v>568</v>
      </c>
      <c r="AS5" s="243" t="s">
        <v>569</v>
      </c>
      <c r="AT5" s="243" t="s">
        <v>570</v>
      </c>
      <c r="AU5" s="243" t="s">
        <v>571</v>
      </c>
      <c r="AV5" s="243" t="s">
        <v>324</v>
      </c>
      <c r="AW5" s="243" t="s">
        <v>325</v>
      </c>
      <c r="AX5" s="243" t="s">
        <v>574</v>
      </c>
      <c r="AY5" s="243" t="s">
        <v>575</v>
      </c>
      <c r="AZ5" s="243" t="s">
        <v>576</v>
      </c>
      <c r="BA5" s="243" t="s">
        <v>577</v>
      </c>
      <c r="BB5" s="243" t="s">
        <v>578</v>
      </c>
      <c r="BC5" s="243" t="s">
        <v>326</v>
      </c>
      <c r="BD5" s="243" t="s">
        <v>579</v>
      </c>
      <c r="BE5" s="243" t="s">
        <v>580</v>
      </c>
      <c r="BF5" s="243" t="s">
        <v>581</v>
      </c>
      <c r="BG5" s="243" t="s">
        <v>327</v>
      </c>
      <c r="BH5" s="243" t="s">
        <v>582</v>
      </c>
      <c r="BI5" s="243" t="s">
        <v>583</v>
      </c>
      <c r="BJ5" s="243" t="s">
        <v>585</v>
      </c>
      <c r="BK5" s="243" t="s">
        <v>793</v>
      </c>
      <c r="BL5" s="243" t="s">
        <v>794</v>
      </c>
      <c r="BM5" s="243" t="s">
        <v>795</v>
      </c>
      <c r="BN5" s="243" t="s">
        <v>797</v>
      </c>
      <c r="BO5" s="243" t="s">
        <v>798</v>
      </c>
      <c r="BP5" s="243" t="s">
        <v>800</v>
      </c>
      <c r="BQ5" s="243" t="s">
        <v>801</v>
      </c>
      <c r="BR5" s="243" t="s">
        <v>286</v>
      </c>
      <c r="BS5" s="243" t="s">
        <v>274</v>
      </c>
      <c r="BT5" s="243" t="s">
        <v>259</v>
      </c>
      <c r="BU5" s="243" t="s">
        <v>260</v>
      </c>
      <c r="BV5" s="243" t="s">
        <v>275</v>
      </c>
      <c r="BW5" s="243" t="s">
        <v>588</v>
      </c>
      <c r="BX5" s="243" t="s">
        <v>40</v>
      </c>
      <c r="BY5" s="243" t="s">
        <v>30</v>
      </c>
      <c r="BZ5" s="243" t="s">
        <v>31</v>
      </c>
      <c r="CA5" s="243" t="s">
        <v>32</v>
      </c>
      <c r="CB5" s="243" t="s">
        <v>249</v>
      </c>
      <c r="CC5" s="243" t="s">
        <v>589</v>
      </c>
      <c r="CD5" s="243" t="s">
        <v>232</v>
      </c>
      <c r="CE5" s="243" t="s">
        <v>37</v>
      </c>
      <c r="CF5" s="243" t="s">
        <v>33</v>
      </c>
      <c r="CG5" s="243" t="s">
        <v>25</v>
      </c>
      <c r="CH5" s="243" t="s">
        <v>26</v>
      </c>
      <c r="CI5" s="243" t="s">
        <v>38</v>
      </c>
      <c r="CJ5" s="243" t="s">
        <v>233</v>
      </c>
      <c r="CK5" s="243" t="s">
        <v>88</v>
      </c>
      <c r="CL5" s="243" t="s">
        <v>74</v>
      </c>
      <c r="CM5" s="243" t="s">
        <v>35</v>
      </c>
      <c r="CN5" s="243" t="s">
        <v>75</v>
      </c>
      <c r="CO5" s="243" t="s">
        <v>21</v>
      </c>
      <c r="CP5" s="243" t="s">
        <v>22</v>
      </c>
      <c r="CQ5" s="243" t="s">
        <v>590</v>
      </c>
      <c r="CR5" s="243" t="s">
        <v>188</v>
      </c>
      <c r="CS5" s="243" t="s">
        <v>591</v>
      </c>
      <c r="CT5" s="243" t="s">
        <v>592</v>
      </c>
      <c r="CU5" s="243" t="s">
        <v>593</v>
      </c>
      <c r="CV5" s="243" t="s">
        <v>594</v>
      </c>
      <c r="CW5" s="243" t="s">
        <v>595</v>
      </c>
      <c r="CX5" s="243" t="s">
        <v>596</v>
      </c>
      <c r="CY5" s="243" t="s">
        <v>329</v>
      </c>
      <c r="CZ5" s="243" t="s">
        <v>28</v>
      </c>
      <c r="DA5" s="243" t="s">
        <v>887</v>
      </c>
      <c r="DB5" s="243" t="s">
        <v>168</v>
      </c>
      <c r="DC5" s="243" t="s">
        <v>169</v>
      </c>
      <c r="DD5" s="243" t="s">
        <v>102</v>
      </c>
      <c r="DE5" s="243" t="s">
        <v>189</v>
      </c>
      <c r="DF5" s="243" t="s">
        <v>23</v>
      </c>
      <c r="DG5" s="243" t="s">
        <v>24</v>
      </c>
      <c r="DH5" s="243" t="s">
        <v>170</v>
      </c>
      <c r="DI5" s="243" t="s">
        <v>606</v>
      </c>
      <c r="DJ5" s="243" t="s">
        <v>607</v>
      </c>
      <c r="DK5" s="243" t="s">
        <v>609</v>
      </c>
      <c r="DL5" s="243" t="s">
        <v>29</v>
      </c>
      <c r="DM5" s="243" t="s">
        <v>610</v>
      </c>
      <c r="DN5" s="243" t="s">
        <v>39</v>
      </c>
      <c r="DO5" s="243" t="s">
        <v>611</v>
      </c>
      <c r="DP5" s="243" t="s">
        <v>612</v>
      </c>
      <c r="DQ5" s="243" t="s">
        <v>330</v>
      </c>
      <c r="DR5" s="243" t="s">
        <v>613</v>
      </c>
      <c r="DS5" s="243" t="s">
        <v>331</v>
      </c>
      <c r="DT5" s="243" t="s">
        <v>614</v>
      </c>
      <c r="DU5" s="243" t="s">
        <v>615</v>
      </c>
      <c r="DV5" s="243" t="s">
        <v>616</v>
      </c>
      <c r="DW5" s="243" t="s">
        <v>332</v>
      </c>
      <c r="DX5" s="243" t="s">
        <v>617</v>
      </c>
      <c r="DY5" s="243" t="s">
        <v>618</v>
      </c>
      <c r="DZ5" s="243" t="s">
        <v>333</v>
      </c>
      <c r="EA5" s="243" t="s">
        <v>619</v>
      </c>
      <c r="EB5" s="243" t="s">
        <v>620</v>
      </c>
      <c r="EC5" s="243" t="s">
        <v>621</v>
      </c>
      <c r="ED5" s="243" t="s">
        <v>622</v>
      </c>
      <c r="EE5" s="243" t="s">
        <v>623</v>
      </c>
      <c r="EF5" s="243" t="s">
        <v>335</v>
      </c>
      <c r="EG5" s="243" t="s">
        <v>624</v>
      </c>
      <c r="EH5" s="243" t="s">
        <v>625</v>
      </c>
      <c r="EI5" s="243" t="s">
        <v>626</v>
      </c>
      <c r="EJ5" s="243" t="s">
        <v>627</v>
      </c>
      <c r="EK5" s="243" t="s">
        <v>628</v>
      </c>
      <c r="EL5" s="243" t="s">
        <v>629</v>
      </c>
      <c r="EM5" s="243" t="s">
        <v>630</v>
      </c>
      <c r="EN5" s="243" t="s">
        <v>888</v>
      </c>
      <c r="EO5" s="243" t="s">
        <v>288</v>
      </c>
      <c r="EP5" s="243" t="s">
        <v>280</v>
      </c>
      <c r="EQ5" s="243" t="s">
        <v>210</v>
      </c>
      <c r="ER5" s="243" t="s">
        <v>631</v>
      </c>
      <c r="ES5" s="243" t="s">
        <v>197</v>
      </c>
      <c r="ET5" s="243" t="s">
        <v>211</v>
      </c>
      <c r="EU5" s="243" t="s">
        <v>212</v>
      </c>
      <c r="EV5" s="243" t="s">
        <v>632</v>
      </c>
      <c r="EW5" s="243" t="s">
        <v>213</v>
      </c>
      <c r="EX5" s="243" t="s">
        <v>281</v>
      </c>
      <c r="EY5" s="243" t="s">
        <v>633</v>
      </c>
      <c r="EZ5" s="243" t="s">
        <v>198</v>
      </c>
      <c r="FA5" s="243" t="s">
        <v>214</v>
      </c>
      <c r="FB5" s="243" t="s">
        <v>889</v>
      </c>
      <c r="FC5" s="243" t="s">
        <v>634</v>
      </c>
      <c r="FD5" s="243" t="s">
        <v>336</v>
      </c>
      <c r="FE5" s="243" t="s">
        <v>636</v>
      </c>
      <c r="FF5" s="243" t="s">
        <v>637</v>
      </c>
      <c r="FG5" s="279"/>
      <c r="FH5" s="225"/>
      <c r="FI5" s="226"/>
      <c r="FJ5" s="221"/>
      <c r="FK5" s="221"/>
      <c r="FL5" s="221"/>
      <c r="FM5" s="221"/>
      <c r="FN5" s="221"/>
    </row>
    <row r="6" spans="1:170" ht="11.4">
      <c r="A6" s="245" t="s">
        <v>877</v>
      </c>
      <c r="B6" s="222" t="s">
        <v>878</v>
      </c>
      <c r="C6" s="222" t="s">
        <v>879</v>
      </c>
      <c r="D6" s="222" t="s">
        <v>880</v>
      </c>
      <c r="E6" s="246" t="s">
        <v>804</v>
      </c>
      <c r="F6" s="246"/>
      <c r="G6" s="247" t="s">
        <v>805</v>
      </c>
      <c r="H6" s="248" t="s">
        <v>638</v>
      </c>
      <c r="I6" s="248" t="s">
        <v>639</v>
      </c>
      <c r="J6" s="248" t="s">
        <v>640</v>
      </c>
      <c r="K6" s="248" t="s">
        <v>641</v>
      </c>
      <c r="L6" s="248" t="s">
        <v>339</v>
      </c>
      <c r="M6" s="248" t="s">
        <v>642</v>
      </c>
      <c r="N6" s="248" t="s">
        <v>340</v>
      </c>
      <c r="O6" s="248" t="s">
        <v>643</v>
      </c>
      <c r="P6" s="248" t="s">
        <v>643</v>
      </c>
      <c r="Q6" s="248" t="s">
        <v>644</v>
      </c>
      <c r="R6" s="248" t="s">
        <v>645</v>
      </c>
      <c r="S6" s="248" t="s">
        <v>646</v>
      </c>
      <c r="T6" s="248" t="s">
        <v>647</v>
      </c>
      <c r="U6" s="248" t="s">
        <v>648</v>
      </c>
      <c r="V6" s="248" t="s">
        <v>649</v>
      </c>
      <c r="W6" s="248" t="s">
        <v>650</v>
      </c>
      <c r="X6" s="248" t="s">
        <v>651</v>
      </c>
      <c r="Y6" s="248" t="s">
        <v>652</v>
      </c>
      <c r="Z6" s="248" t="s">
        <v>653</v>
      </c>
      <c r="AA6" s="248" t="s">
        <v>653</v>
      </c>
      <c r="AB6" s="248" t="s">
        <v>654</v>
      </c>
      <c r="AC6" s="248" t="s">
        <v>655</v>
      </c>
      <c r="AD6" s="248" t="s">
        <v>341</v>
      </c>
      <c r="AE6" s="248" t="s">
        <v>656</v>
      </c>
      <c r="AF6" s="248" t="s">
        <v>342</v>
      </c>
      <c r="AG6" s="248" t="s">
        <v>657</v>
      </c>
      <c r="AH6" s="248" t="s">
        <v>658</v>
      </c>
      <c r="AI6" s="248" t="s">
        <v>659</v>
      </c>
      <c r="AJ6" s="248" t="s">
        <v>343</v>
      </c>
      <c r="AK6" s="248" t="s">
        <v>660</v>
      </c>
      <c r="AL6" s="248" t="s">
        <v>661</v>
      </c>
      <c r="AM6" s="248" t="s">
        <v>662</v>
      </c>
      <c r="AN6" s="248" t="s">
        <v>663</v>
      </c>
      <c r="AO6" s="248" t="s">
        <v>664</v>
      </c>
      <c r="AP6" s="248" t="s">
        <v>665</v>
      </c>
      <c r="AQ6" s="248" t="s">
        <v>344</v>
      </c>
      <c r="AR6" s="248" t="s">
        <v>666</v>
      </c>
      <c r="AS6" s="248" t="s">
        <v>667</v>
      </c>
      <c r="AT6" s="248" t="s">
        <v>668</v>
      </c>
      <c r="AU6" s="248" t="s">
        <v>669</v>
      </c>
      <c r="AV6" s="248" t="s">
        <v>345</v>
      </c>
      <c r="AW6" s="248" t="s">
        <v>346</v>
      </c>
      <c r="AX6" s="248" t="s">
        <v>672</v>
      </c>
      <c r="AY6" s="248" t="s">
        <v>673</v>
      </c>
      <c r="AZ6" s="248" t="s">
        <v>674</v>
      </c>
      <c r="BA6" s="248" t="s">
        <v>675</v>
      </c>
      <c r="BB6" s="248" t="s">
        <v>676</v>
      </c>
      <c r="BC6" s="248" t="s">
        <v>347</v>
      </c>
      <c r="BD6" s="248" t="s">
        <v>677</v>
      </c>
      <c r="BE6" s="248" t="s">
        <v>678</v>
      </c>
      <c r="BF6" s="248" t="s">
        <v>679</v>
      </c>
      <c r="BG6" s="248" t="s">
        <v>348</v>
      </c>
      <c r="BH6" s="248" t="s">
        <v>680</v>
      </c>
      <c r="BI6" s="248" t="s">
        <v>681</v>
      </c>
      <c r="BJ6" s="248" t="s">
        <v>683</v>
      </c>
      <c r="BK6" s="248" t="s">
        <v>808</v>
      </c>
      <c r="BL6" s="248" t="s">
        <v>809</v>
      </c>
      <c r="BM6" s="248" t="s">
        <v>810</v>
      </c>
      <c r="BN6" s="248" t="s">
        <v>349</v>
      </c>
      <c r="BO6" s="248" t="s">
        <v>811</v>
      </c>
      <c r="BP6" s="248" t="s">
        <v>813</v>
      </c>
      <c r="BQ6" s="248" t="s">
        <v>814</v>
      </c>
      <c r="BR6" s="248" t="s">
        <v>350</v>
      </c>
      <c r="BS6" s="248" t="s">
        <v>686</v>
      </c>
      <c r="BT6" s="248" t="s">
        <v>351</v>
      </c>
      <c r="BU6" s="248" t="s">
        <v>352</v>
      </c>
      <c r="BV6" s="248" t="s">
        <v>687</v>
      </c>
      <c r="BW6" s="248" t="s">
        <v>688</v>
      </c>
      <c r="BX6" s="248" t="s">
        <v>353</v>
      </c>
      <c r="BY6" s="248" t="s">
        <v>354</v>
      </c>
      <c r="BZ6" s="248" t="s">
        <v>355</v>
      </c>
      <c r="CA6" s="248" t="s">
        <v>689</v>
      </c>
      <c r="CB6" s="248" t="s">
        <v>356</v>
      </c>
      <c r="CC6" s="248" t="s">
        <v>690</v>
      </c>
      <c r="CD6" s="248" t="s">
        <v>691</v>
      </c>
      <c r="CE6" s="248" t="s">
        <v>357</v>
      </c>
      <c r="CF6" s="248" t="s">
        <v>358</v>
      </c>
      <c r="CG6" s="248" t="s">
        <v>692</v>
      </c>
      <c r="CH6" s="248" t="s">
        <v>359</v>
      </c>
      <c r="CI6" s="248" t="s">
        <v>360</v>
      </c>
      <c r="CJ6" s="248" t="s">
        <v>693</v>
      </c>
      <c r="CK6" s="248" t="s">
        <v>694</v>
      </c>
      <c r="CL6" s="248" t="s">
        <v>695</v>
      </c>
      <c r="CM6" s="248" t="s">
        <v>696</v>
      </c>
      <c r="CN6" s="248" t="s">
        <v>361</v>
      </c>
      <c r="CO6" s="248" t="s">
        <v>362</v>
      </c>
      <c r="CP6" s="248" t="s">
        <v>363</v>
      </c>
      <c r="CQ6" s="248" t="s">
        <v>697</v>
      </c>
      <c r="CR6" s="248" t="s">
        <v>698</v>
      </c>
      <c r="CS6" s="248" t="s">
        <v>699</v>
      </c>
      <c r="CT6" s="248" t="s">
        <v>700</v>
      </c>
      <c r="CU6" s="248" t="s">
        <v>701</v>
      </c>
      <c r="CV6" s="248" t="s">
        <v>702</v>
      </c>
      <c r="CW6" s="248" t="s">
        <v>703</v>
      </c>
      <c r="CX6" s="248" t="s">
        <v>704</v>
      </c>
      <c r="CY6" s="248" t="s">
        <v>364</v>
      </c>
      <c r="CZ6" s="248" t="s">
        <v>365</v>
      </c>
      <c r="DA6" s="248" t="s">
        <v>366</v>
      </c>
      <c r="DB6" s="248" t="s">
        <v>714</v>
      </c>
      <c r="DC6" s="248" t="s">
        <v>715</v>
      </c>
      <c r="DD6" s="248" t="s">
        <v>716</v>
      </c>
      <c r="DE6" s="248" t="s">
        <v>367</v>
      </c>
      <c r="DF6" s="248" t="s">
        <v>717</v>
      </c>
      <c r="DG6" s="248" t="s">
        <v>368</v>
      </c>
      <c r="DH6" s="248" t="s">
        <v>369</v>
      </c>
      <c r="DI6" s="248" t="s">
        <v>718</v>
      </c>
      <c r="DJ6" s="248" t="s">
        <v>719</v>
      </c>
      <c r="DK6" s="248" t="s">
        <v>721</v>
      </c>
      <c r="DL6" s="248" t="s">
        <v>722</v>
      </c>
      <c r="DM6" s="248" t="s">
        <v>723</v>
      </c>
      <c r="DN6" s="248" t="s">
        <v>370</v>
      </c>
      <c r="DO6" s="248" t="s">
        <v>724</v>
      </c>
      <c r="DP6" s="248" t="s">
        <v>725</v>
      </c>
      <c r="DQ6" s="248" t="s">
        <v>371</v>
      </c>
      <c r="DR6" s="248" t="s">
        <v>726</v>
      </c>
      <c r="DS6" s="248" t="s">
        <v>372</v>
      </c>
      <c r="DT6" s="248" t="s">
        <v>727</v>
      </c>
      <c r="DU6" s="248" t="s">
        <v>728</v>
      </c>
      <c r="DV6" s="248" t="s">
        <v>729</v>
      </c>
      <c r="DW6" s="248" t="s">
        <v>373</v>
      </c>
      <c r="DX6" s="248" t="s">
        <v>730</v>
      </c>
      <c r="DY6" s="248" t="s">
        <v>731</v>
      </c>
      <c r="DZ6" s="248" t="s">
        <v>374</v>
      </c>
      <c r="EA6" s="248" t="s">
        <v>732</v>
      </c>
      <c r="EB6" s="248" t="s">
        <v>733</v>
      </c>
      <c r="EC6" s="248" t="s">
        <v>734</v>
      </c>
      <c r="ED6" s="248" t="s">
        <v>735</v>
      </c>
      <c r="EE6" s="248" t="s">
        <v>736</v>
      </c>
      <c r="EF6" s="248" t="s">
        <v>375</v>
      </c>
      <c r="EG6" s="248" t="s">
        <v>737</v>
      </c>
      <c r="EH6" s="248" t="s">
        <v>738</v>
      </c>
      <c r="EI6" s="248" t="s">
        <v>739</v>
      </c>
      <c r="EJ6" s="248" t="s">
        <v>740</v>
      </c>
      <c r="EK6" s="248" t="s">
        <v>741</v>
      </c>
      <c r="EL6" s="248" t="s">
        <v>742</v>
      </c>
      <c r="EM6" s="248" t="s">
        <v>743</v>
      </c>
      <c r="EN6" s="248" t="s">
        <v>890</v>
      </c>
      <c r="EO6" s="248" t="s">
        <v>376</v>
      </c>
      <c r="EP6" s="248" t="s">
        <v>377</v>
      </c>
      <c r="EQ6" s="248" t="s">
        <v>744</v>
      </c>
      <c r="ER6" s="248" t="s">
        <v>745</v>
      </c>
      <c r="ES6" s="248" t="s">
        <v>378</v>
      </c>
      <c r="ET6" s="248" t="s">
        <v>746</v>
      </c>
      <c r="EU6" s="248" t="s">
        <v>747</v>
      </c>
      <c r="EV6" s="248" t="s">
        <v>748</v>
      </c>
      <c r="EW6" s="248" t="s">
        <v>379</v>
      </c>
      <c r="EX6" s="248" t="s">
        <v>749</v>
      </c>
      <c r="EY6" s="248" t="s">
        <v>750</v>
      </c>
      <c r="EZ6" s="248" t="s">
        <v>751</v>
      </c>
      <c r="FA6" s="248" t="s">
        <v>380</v>
      </c>
      <c r="FB6" s="248" t="s">
        <v>891</v>
      </c>
      <c r="FC6" s="248" t="s">
        <v>752</v>
      </c>
      <c r="FD6" s="248" t="s">
        <v>381</v>
      </c>
      <c r="FE6" s="248" t="s">
        <v>754</v>
      </c>
      <c r="FF6" s="248" t="s">
        <v>755</v>
      </c>
      <c r="FG6" s="250" t="s">
        <v>872</v>
      </c>
      <c r="FH6" s="250" t="s">
        <v>382</v>
      </c>
      <c r="FI6" s="250" t="s">
        <v>383</v>
      </c>
      <c r="FJ6" s="250" t="s">
        <v>873</v>
      </c>
      <c r="FK6" s="250" t="s">
        <v>874</v>
      </c>
      <c r="FL6" s="228"/>
      <c r="FM6" s="227" t="s">
        <v>881</v>
      </c>
      <c r="FN6" s="227"/>
    </row>
    <row r="7" spans="1:170">
      <c r="A7" s="251" t="s">
        <v>385</v>
      </c>
      <c r="B7" s="251" t="s">
        <v>385</v>
      </c>
      <c r="C7" s="251" t="s">
        <v>386</v>
      </c>
      <c r="D7" s="251" t="s">
        <v>291</v>
      </c>
      <c r="E7" s="252" t="s">
        <v>387</v>
      </c>
      <c r="F7" s="251" t="s">
        <v>388</v>
      </c>
      <c r="G7" s="251"/>
      <c r="H7" s="253"/>
      <c r="I7" s="253"/>
      <c r="J7" s="253"/>
      <c r="K7" s="253"/>
      <c r="L7" s="253"/>
      <c r="M7" s="253"/>
      <c r="N7" s="253"/>
      <c r="O7" s="253"/>
      <c r="P7" s="253"/>
      <c r="Q7" s="253"/>
      <c r="R7" s="253"/>
      <c r="S7" s="253"/>
      <c r="T7" s="253"/>
      <c r="U7" s="253"/>
      <c r="V7" s="253"/>
      <c r="W7" s="253"/>
      <c r="X7" s="253"/>
      <c r="Y7" s="253"/>
      <c r="Z7" s="253"/>
      <c r="AA7" s="253"/>
      <c r="AB7" s="253"/>
      <c r="AC7" s="253"/>
      <c r="AD7" s="253"/>
      <c r="AE7" s="253"/>
      <c r="AF7" s="254">
        <f>10-10</f>
        <v>0</v>
      </c>
      <c r="AG7" s="254">
        <f>10000-10000+320-150</f>
        <v>170</v>
      </c>
      <c r="AH7" s="253"/>
      <c r="AI7" s="255">
        <f>3000-3000</f>
        <v>0</v>
      </c>
      <c r="AJ7" s="253"/>
      <c r="AK7" s="253"/>
      <c r="AL7" s="253"/>
      <c r="AM7" s="253"/>
      <c r="AN7" s="254">
        <f>300-300+1-1</f>
        <v>0</v>
      </c>
      <c r="AO7" s="253"/>
      <c r="AP7" s="253"/>
      <c r="AQ7" s="255">
        <f>1000-1000</f>
        <v>0</v>
      </c>
      <c r="AR7" s="253"/>
      <c r="AS7" s="255">
        <f>300-300</f>
        <v>0</v>
      </c>
      <c r="AT7" s="255">
        <f>5000-5000</f>
        <v>0</v>
      </c>
      <c r="AU7" s="253"/>
      <c r="AV7" s="253"/>
      <c r="AW7" s="253"/>
      <c r="AX7" s="253"/>
      <c r="AY7" s="253"/>
      <c r="AZ7" s="253"/>
      <c r="BA7" s="255">
        <f>100-100</f>
        <v>0</v>
      </c>
      <c r="BB7" s="255">
        <f>60-60</f>
        <v>0</v>
      </c>
      <c r="BC7" s="253"/>
      <c r="BD7" s="253"/>
      <c r="BE7" s="253"/>
      <c r="BF7" s="253"/>
      <c r="BG7" s="253"/>
      <c r="BH7" s="253"/>
      <c r="BI7" s="253"/>
      <c r="BJ7" s="253"/>
      <c r="BK7" s="253"/>
      <c r="BL7" s="253"/>
      <c r="BM7" s="253"/>
      <c r="BN7" s="253"/>
      <c r="BO7" s="253"/>
      <c r="BP7" s="253"/>
      <c r="BQ7" s="253"/>
      <c r="BR7" s="253"/>
      <c r="BS7" s="253"/>
      <c r="BT7" s="253"/>
      <c r="BU7" s="253"/>
      <c r="BV7" s="253"/>
      <c r="BW7" s="253"/>
      <c r="BX7" s="253"/>
      <c r="BY7" s="253"/>
      <c r="BZ7" s="253"/>
      <c r="CA7" s="253"/>
      <c r="CB7" s="253"/>
      <c r="CC7" s="253"/>
      <c r="CD7" s="253"/>
      <c r="CE7" s="253"/>
      <c r="CF7" s="253"/>
      <c r="CG7" s="253"/>
      <c r="CH7" s="253"/>
      <c r="CI7" s="253"/>
      <c r="CJ7" s="253"/>
      <c r="CK7" s="253"/>
      <c r="CL7" s="253"/>
      <c r="CM7" s="253"/>
      <c r="CN7" s="253"/>
      <c r="CO7" s="253"/>
      <c r="CP7" s="253"/>
      <c r="CQ7" s="253"/>
      <c r="CR7" s="253"/>
      <c r="CS7" s="253"/>
      <c r="CT7" s="253"/>
      <c r="CU7" s="253"/>
      <c r="CV7" s="253"/>
      <c r="CW7" s="253"/>
      <c r="CX7" s="253"/>
      <c r="CY7" s="253"/>
      <c r="CZ7" s="253"/>
      <c r="DA7" s="253"/>
      <c r="DB7" s="253"/>
      <c r="DC7" s="253"/>
      <c r="DD7" s="253"/>
      <c r="DE7" s="253"/>
      <c r="DF7" s="253"/>
      <c r="DG7" s="253"/>
      <c r="DH7" s="253"/>
      <c r="DI7" s="253"/>
      <c r="DJ7" s="253"/>
      <c r="DK7" s="253"/>
      <c r="DL7" s="253"/>
      <c r="DM7" s="253"/>
      <c r="DN7" s="253"/>
      <c r="DO7" s="253"/>
      <c r="DP7" s="253"/>
      <c r="DQ7" s="253"/>
      <c r="DR7" s="253"/>
      <c r="DS7" s="253"/>
      <c r="DT7" s="253"/>
      <c r="DU7" s="253"/>
      <c r="DV7" s="253"/>
      <c r="DW7" s="253"/>
      <c r="DX7" s="253"/>
      <c r="DY7" s="253"/>
      <c r="DZ7" s="253"/>
      <c r="EA7" s="253"/>
      <c r="EB7" s="253"/>
      <c r="EC7" s="253"/>
      <c r="ED7" s="253"/>
      <c r="EE7" s="253"/>
      <c r="EF7" s="253"/>
      <c r="EG7" s="253"/>
      <c r="EH7" s="253"/>
      <c r="EI7" s="253"/>
      <c r="EJ7" s="253"/>
      <c r="EK7" s="253"/>
      <c r="EL7" s="253"/>
      <c r="EM7" s="253"/>
      <c r="EN7" s="253"/>
      <c r="EO7" s="253"/>
      <c r="EP7" s="253"/>
      <c r="EQ7" s="253"/>
      <c r="ER7" s="253"/>
      <c r="ES7" s="253"/>
      <c r="ET7" s="253"/>
      <c r="EU7" s="253"/>
      <c r="EV7" s="253"/>
      <c r="EW7" s="253"/>
      <c r="EX7" s="253"/>
      <c r="EY7" s="253"/>
      <c r="EZ7" s="253"/>
      <c r="FA7" s="253"/>
      <c r="FB7" s="253"/>
      <c r="FC7" s="253"/>
      <c r="FD7" s="253"/>
      <c r="FE7" s="253"/>
      <c r="FF7" s="253"/>
      <c r="FG7" s="256"/>
      <c r="FH7" s="257" t="s">
        <v>892</v>
      </c>
      <c r="FI7" s="258" t="s">
        <v>389</v>
      </c>
      <c r="FJ7" s="258"/>
      <c r="FK7" s="258" t="s">
        <v>390</v>
      </c>
      <c r="FL7" s="259">
        <f t="shared" ref="FL7:FL70" si="0">SUM(H7:FF7)</f>
        <v>170</v>
      </c>
      <c r="FM7" s="260" t="s">
        <v>410</v>
      </c>
      <c r="FN7" s="260"/>
    </row>
    <row r="8" spans="1:170">
      <c r="A8" s="251" t="s">
        <v>385</v>
      </c>
      <c r="B8" s="251" t="s">
        <v>385</v>
      </c>
      <c r="C8" s="251" t="s">
        <v>386</v>
      </c>
      <c r="D8" s="251" t="s">
        <v>1</v>
      </c>
      <c r="E8" s="252" t="s">
        <v>387</v>
      </c>
      <c r="F8" s="251" t="s">
        <v>388</v>
      </c>
      <c r="G8" s="251"/>
      <c r="H8" s="255">
        <f>100-100</f>
        <v>0</v>
      </c>
      <c r="I8" s="253"/>
      <c r="J8" s="253"/>
      <c r="K8" s="253"/>
      <c r="L8" s="253"/>
      <c r="M8" s="253"/>
      <c r="N8" s="253"/>
      <c r="O8" s="253"/>
      <c r="P8" s="253"/>
      <c r="Q8" s="253"/>
      <c r="R8" s="253"/>
      <c r="S8" s="253"/>
      <c r="T8" s="255">
        <f>500-500</f>
        <v>0</v>
      </c>
      <c r="U8" s="253"/>
      <c r="V8" s="255">
        <f>1000-1000</f>
        <v>0</v>
      </c>
      <c r="W8" s="255">
        <f>200-200</f>
        <v>0</v>
      </c>
      <c r="X8" s="253"/>
      <c r="Y8" s="255">
        <f>1000-1000</f>
        <v>0</v>
      </c>
      <c r="Z8" s="254">
        <f>16-16</f>
        <v>0</v>
      </c>
      <c r="AA8" s="253"/>
      <c r="AB8" s="255">
        <f>300-300</f>
        <v>0</v>
      </c>
      <c r="AC8" s="254">
        <f>1000-1000+1-1</f>
        <v>0</v>
      </c>
      <c r="AD8" s="254">
        <f>10000-10000+40-40</f>
        <v>0</v>
      </c>
      <c r="AE8" s="254">
        <f>1500-1500+40-40</f>
        <v>0</v>
      </c>
      <c r="AF8" s="254">
        <f>500-500+30-30</f>
        <v>0</v>
      </c>
      <c r="AG8" s="253"/>
      <c r="AH8" s="253"/>
      <c r="AI8" s="253"/>
      <c r="AJ8" s="254">
        <f>5000-5000+80-30</f>
        <v>50</v>
      </c>
      <c r="AK8" s="255">
        <f>500-500</f>
        <v>0</v>
      </c>
      <c r="AL8" s="255">
        <f>300-300</f>
        <v>0</v>
      </c>
      <c r="AM8" s="255">
        <f>500-500</f>
        <v>0</v>
      </c>
      <c r="AN8" s="253"/>
      <c r="AO8" s="255">
        <f>3000-3000</f>
        <v>0</v>
      </c>
      <c r="AP8" s="255">
        <f>200-200</f>
        <v>0</v>
      </c>
      <c r="AQ8" s="253"/>
      <c r="AR8" s="253"/>
      <c r="AS8" s="253"/>
      <c r="AT8" s="253"/>
      <c r="AU8" s="255">
        <f>500-500</f>
        <v>0</v>
      </c>
      <c r="AV8" s="254">
        <f>300-300+20-20</f>
        <v>0</v>
      </c>
      <c r="AW8" s="254">
        <f>15000-15000+6900+(1400-1400)-1870</f>
        <v>5030</v>
      </c>
      <c r="AX8" s="253"/>
      <c r="AY8" s="253"/>
      <c r="AZ8" s="253"/>
      <c r="BA8" s="253"/>
      <c r="BB8" s="253"/>
      <c r="BC8" s="254">
        <f>1500-1500+890-200</f>
        <v>690</v>
      </c>
      <c r="BD8" s="255">
        <f>500-500</f>
        <v>0</v>
      </c>
      <c r="BE8" s="255">
        <f>200-200</f>
        <v>0</v>
      </c>
      <c r="BF8" s="255">
        <f>100-100</f>
        <v>0</v>
      </c>
      <c r="BG8" s="254">
        <f>10000-10000+5940+(1200-1200)-1040</f>
        <v>4900</v>
      </c>
      <c r="BH8" s="254">
        <f>200-200+3-3</f>
        <v>0</v>
      </c>
      <c r="BI8" s="255">
        <f>500-500</f>
        <v>0</v>
      </c>
      <c r="BJ8" s="253"/>
      <c r="BK8" s="255">
        <f>9-9</f>
        <v>0</v>
      </c>
      <c r="BL8" s="255">
        <f>4-4</f>
        <v>0</v>
      </c>
      <c r="BM8" s="255">
        <f>2-2</f>
        <v>0</v>
      </c>
      <c r="BN8" s="255">
        <f>100-100</f>
        <v>0</v>
      </c>
      <c r="BO8" s="255">
        <f>13-13</f>
        <v>0</v>
      </c>
      <c r="BP8" s="255">
        <f>21-21</f>
        <v>0</v>
      </c>
      <c r="BQ8" s="255">
        <f>3-3</f>
        <v>0</v>
      </c>
      <c r="BR8" s="253"/>
      <c r="BS8" s="254">
        <f>800-800+5-5</f>
        <v>0</v>
      </c>
      <c r="BT8" s="255">
        <f>3000-3000</f>
        <v>0</v>
      </c>
      <c r="BU8" s="254">
        <f>8000-8000+1470-400</f>
        <v>1070</v>
      </c>
      <c r="BV8" s="254">
        <f>4000-4000+340-80</f>
        <v>260</v>
      </c>
      <c r="BW8" s="253"/>
      <c r="BX8" s="255">
        <f>2000-2000</f>
        <v>0</v>
      </c>
      <c r="BY8" s="254">
        <f>500-500+5-5</f>
        <v>0</v>
      </c>
      <c r="BZ8" s="255">
        <f>5000-5000+10</f>
        <v>10</v>
      </c>
      <c r="CA8" s="254">
        <f>4000-4000+4-4</f>
        <v>0</v>
      </c>
      <c r="CB8" s="255">
        <f>4000-4000</f>
        <v>0</v>
      </c>
      <c r="CC8" s="255">
        <f>500-500</f>
        <v>0</v>
      </c>
      <c r="CD8" s="255">
        <f>2000-2000+9</f>
        <v>9</v>
      </c>
      <c r="CE8" s="254">
        <f>2000-2000+760-130</f>
        <v>630</v>
      </c>
      <c r="CF8" s="254">
        <f>1000-1000+2-2</f>
        <v>0</v>
      </c>
      <c r="CG8" s="255">
        <f>3000-3000</f>
        <v>0</v>
      </c>
      <c r="CH8" s="254">
        <f>6000-6000+1840-340</f>
        <v>1500</v>
      </c>
      <c r="CI8" s="253"/>
      <c r="CJ8" s="254">
        <f>1500-1500+40-5</f>
        <v>35</v>
      </c>
      <c r="CK8" s="254">
        <f>400-400+52-12</f>
        <v>40</v>
      </c>
      <c r="CL8" s="254">
        <f>400-400+50-10</f>
        <v>40</v>
      </c>
      <c r="CM8" s="254">
        <f>500-500+15-5</f>
        <v>10</v>
      </c>
      <c r="CN8" s="254">
        <f>1000-1000+3-3</f>
        <v>0</v>
      </c>
      <c r="CO8" s="254">
        <f>4000-4000+2-2</f>
        <v>0</v>
      </c>
      <c r="CP8" s="254">
        <f>4000-4000+380-140</f>
        <v>240</v>
      </c>
      <c r="CQ8" s="255">
        <f>1000-1000</f>
        <v>0</v>
      </c>
      <c r="CR8" s="254">
        <f>100-100+75-14</f>
        <v>61</v>
      </c>
      <c r="CS8" s="253"/>
      <c r="CT8" s="253"/>
      <c r="CU8" s="253"/>
      <c r="CV8" s="253"/>
      <c r="CW8" s="253"/>
      <c r="CX8" s="253"/>
      <c r="CY8" s="254">
        <f>2000-2000+370-70</f>
        <v>300</v>
      </c>
      <c r="CZ8" s="254">
        <f>1500-1500+460-90</f>
        <v>370</v>
      </c>
      <c r="DA8" s="254">
        <f>500-500+40-10</f>
        <v>30</v>
      </c>
      <c r="DB8" s="255">
        <f>200-200</f>
        <v>0</v>
      </c>
      <c r="DC8" s="255">
        <f>200-200</f>
        <v>0</v>
      </c>
      <c r="DD8" s="254">
        <f>300-300+160-30</f>
        <v>130</v>
      </c>
      <c r="DE8" s="255">
        <f>500-500</f>
        <v>0</v>
      </c>
      <c r="DF8" s="255">
        <f>1000-1000</f>
        <v>0</v>
      </c>
      <c r="DG8" s="255">
        <v>20</v>
      </c>
      <c r="DH8" s="255">
        <f>50-50</f>
        <v>0</v>
      </c>
      <c r="DI8" s="253"/>
      <c r="DJ8" s="253"/>
      <c r="DK8" s="253"/>
      <c r="DL8" s="254">
        <f>1000-1000+6-6</f>
        <v>0</v>
      </c>
      <c r="DM8" s="253"/>
      <c r="DN8" s="254">
        <f>500-500+250-50</f>
        <v>200</v>
      </c>
      <c r="DO8" s="253"/>
      <c r="DP8" s="253"/>
      <c r="DQ8" s="253"/>
      <c r="DR8" s="253"/>
      <c r="DS8" s="253"/>
      <c r="DT8" s="253"/>
      <c r="DU8" s="253"/>
      <c r="DV8" s="255">
        <f>100-100</f>
        <v>0</v>
      </c>
      <c r="DW8" s="255">
        <f>100-100</f>
        <v>0</v>
      </c>
      <c r="DX8" s="253"/>
      <c r="DY8" s="253"/>
      <c r="DZ8" s="253"/>
      <c r="EA8" s="253"/>
      <c r="EB8" s="253"/>
      <c r="EC8" s="253"/>
      <c r="ED8" s="253"/>
      <c r="EE8" s="255">
        <f>200-200</f>
        <v>0</v>
      </c>
      <c r="EF8" s="255">
        <f>500-500</f>
        <v>0</v>
      </c>
      <c r="EG8" s="255">
        <f>500-500</f>
        <v>0</v>
      </c>
      <c r="EH8" s="255">
        <f>300-300</f>
        <v>0</v>
      </c>
      <c r="EI8" s="255">
        <f>3000-3000</f>
        <v>0</v>
      </c>
      <c r="EJ8" s="255">
        <f>1000-1000</f>
        <v>0</v>
      </c>
      <c r="EK8" s="255">
        <f>2000-2000</f>
        <v>0</v>
      </c>
      <c r="EL8" s="254">
        <f>1000-1000+320-70</f>
        <v>250</v>
      </c>
      <c r="EM8" s="253"/>
      <c r="EN8" s="253"/>
      <c r="EO8" s="254">
        <f>2000-2000+680-150</f>
        <v>530</v>
      </c>
      <c r="EP8" s="254">
        <f>3000-3000+380-90</f>
        <v>290</v>
      </c>
      <c r="EQ8" s="255">
        <f>500-500</f>
        <v>0</v>
      </c>
      <c r="ER8" s="253"/>
      <c r="ES8" s="254">
        <f>1000-1000+10-10</f>
        <v>0</v>
      </c>
      <c r="ET8" s="255">
        <f>1500-1500</f>
        <v>0</v>
      </c>
      <c r="EU8" s="254">
        <f>500-500+2-2</f>
        <v>0</v>
      </c>
      <c r="EV8" s="253"/>
      <c r="EW8" s="255">
        <f>2000-2000</f>
        <v>0</v>
      </c>
      <c r="EX8" s="255">
        <f>300-300</f>
        <v>0</v>
      </c>
      <c r="EY8" s="255">
        <f>200-200</f>
        <v>0</v>
      </c>
      <c r="EZ8" s="253"/>
      <c r="FA8" s="255">
        <f>500-500</f>
        <v>0</v>
      </c>
      <c r="FB8" s="253"/>
      <c r="FC8" s="253"/>
      <c r="FD8" s="253"/>
      <c r="FE8" s="253"/>
      <c r="FF8" s="253"/>
      <c r="FG8" s="256"/>
      <c r="FH8" s="257" t="s">
        <v>892</v>
      </c>
      <c r="FI8" s="258" t="s">
        <v>389</v>
      </c>
      <c r="FJ8" s="258"/>
      <c r="FK8" s="258" t="s">
        <v>390</v>
      </c>
      <c r="FL8" s="259">
        <f t="shared" si="0"/>
        <v>16695</v>
      </c>
      <c r="FM8" s="260" t="s">
        <v>410</v>
      </c>
      <c r="FN8" s="260"/>
    </row>
    <row r="9" spans="1:170">
      <c r="A9" s="251" t="s">
        <v>385</v>
      </c>
      <c r="B9" s="251" t="s">
        <v>385</v>
      </c>
      <c r="C9" s="251" t="s">
        <v>386</v>
      </c>
      <c r="D9" s="251" t="s">
        <v>293</v>
      </c>
      <c r="E9" s="252" t="s">
        <v>387</v>
      </c>
      <c r="F9" s="251" t="s">
        <v>388</v>
      </c>
      <c r="G9" s="251"/>
      <c r="H9" s="253"/>
      <c r="I9" s="253"/>
      <c r="J9" s="253"/>
      <c r="K9" s="253"/>
      <c r="L9" s="253"/>
      <c r="M9" s="253"/>
      <c r="N9" s="253"/>
      <c r="O9" s="253"/>
      <c r="P9" s="253"/>
      <c r="Q9" s="253"/>
      <c r="R9" s="253"/>
      <c r="S9" s="253"/>
      <c r="T9" s="253"/>
      <c r="U9" s="253"/>
      <c r="V9" s="253"/>
      <c r="W9" s="253"/>
      <c r="X9" s="253"/>
      <c r="Y9" s="253"/>
      <c r="Z9" s="253"/>
      <c r="AA9" s="253"/>
      <c r="AB9" s="253"/>
      <c r="AC9" s="253"/>
      <c r="AD9" s="253"/>
      <c r="AE9" s="253"/>
      <c r="AF9" s="253"/>
      <c r="AG9" s="253"/>
      <c r="AH9" s="253"/>
      <c r="AI9" s="253"/>
      <c r="AJ9" s="253"/>
      <c r="AK9" s="253"/>
      <c r="AL9" s="253"/>
      <c r="AM9" s="253"/>
      <c r="AN9" s="253"/>
      <c r="AO9" s="253"/>
      <c r="AP9" s="253"/>
      <c r="AQ9" s="253"/>
      <c r="AR9" s="253"/>
      <c r="AS9" s="253"/>
      <c r="AT9" s="253"/>
      <c r="AU9" s="253"/>
      <c r="AV9" s="253"/>
      <c r="AW9" s="253"/>
      <c r="AX9" s="253"/>
      <c r="AY9" s="253"/>
      <c r="AZ9" s="253"/>
      <c r="BA9" s="253"/>
      <c r="BB9" s="253"/>
      <c r="BC9" s="253"/>
      <c r="BD9" s="253"/>
      <c r="BE9" s="253"/>
      <c r="BF9" s="253"/>
      <c r="BG9" s="253"/>
      <c r="BH9" s="253"/>
      <c r="BI9" s="253"/>
      <c r="BJ9" s="253"/>
      <c r="BK9" s="253"/>
      <c r="BL9" s="253"/>
      <c r="BM9" s="253"/>
      <c r="BN9" s="253"/>
      <c r="BO9" s="253"/>
      <c r="BP9" s="253"/>
      <c r="BQ9" s="253"/>
      <c r="BR9" s="255">
        <f>2000-2000+380</f>
        <v>380</v>
      </c>
      <c r="BS9" s="253"/>
      <c r="BT9" s="253"/>
      <c r="BU9" s="253"/>
      <c r="BV9" s="253"/>
      <c r="BW9" s="253"/>
      <c r="BX9" s="253"/>
      <c r="BY9" s="253"/>
      <c r="BZ9" s="253"/>
      <c r="CA9" s="253"/>
      <c r="CB9" s="253"/>
      <c r="CC9" s="253"/>
      <c r="CD9" s="253"/>
      <c r="CE9" s="253"/>
      <c r="CF9" s="253"/>
      <c r="CG9" s="253"/>
      <c r="CH9" s="253"/>
      <c r="CI9" s="255">
        <f>4000-4000+30</f>
        <v>30</v>
      </c>
      <c r="CJ9" s="253"/>
      <c r="CK9" s="253"/>
      <c r="CL9" s="253"/>
      <c r="CM9" s="253"/>
      <c r="CN9" s="253"/>
      <c r="CO9" s="253"/>
      <c r="CP9" s="255">
        <v>380</v>
      </c>
      <c r="CQ9" s="253"/>
      <c r="CR9" s="253"/>
      <c r="CS9" s="253"/>
      <c r="CT9" s="253"/>
      <c r="CU9" s="253"/>
      <c r="CV9" s="253"/>
      <c r="CW9" s="253"/>
      <c r="CX9" s="253"/>
      <c r="CY9" s="253"/>
      <c r="CZ9" s="253"/>
      <c r="DA9" s="253"/>
      <c r="DB9" s="253"/>
      <c r="DC9" s="253"/>
      <c r="DD9" s="253"/>
      <c r="DE9" s="253"/>
      <c r="DF9" s="253"/>
      <c r="DG9" s="254">
        <f>1000-1000+400-80</f>
        <v>320</v>
      </c>
      <c r="DH9" s="253"/>
      <c r="DI9" s="253"/>
      <c r="DJ9" s="253"/>
      <c r="DK9" s="253"/>
      <c r="DL9" s="253"/>
      <c r="DM9" s="253"/>
      <c r="DN9" s="253"/>
      <c r="DO9" s="253"/>
      <c r="DP9" s="253"/>
      <c r="DQ9" s="253"/>
      <c r="DR9" s="253"/>
      <c r="DS9" s="253"/>
      <c r="DT9" s="253"/>
      <c r="DU9" s="253"/>
      <c r="DV9" s="253"/>
      <c r="DW9" s="253"/>
      <c r="DX9" s="253"/>
      <c r="DY9" s="253"/>
      <c r="DZ9" s="253"/>
      <c r="EA9" s="253"/>
      <c r="EB9" s="253"/>
      <c r="EC9" s="253"/>
      <c r="ED9" s="253"/>
      <c r="EE9" s="253"/>
      <c r="EF9" s="253"/>
      <c r="EG9" s="253"/>
      <c r="EH9" s="253"/>
      <c r="EI9" s="253"/>
      <c r="EJ9" s="253"/>
      <c r="EK9" s="253"/>
      <c r="EL9" s="253"/>
      <c r="EM9" s="254">
        <f>500-500+160-40</f>
        <v>120</v>
      </c>
      <c r="EN9" s="253"/>
      <c r="EO9" s="253"/>
      <c r="EP9" s="253"/>
      <c r="EQ9" s="253"/>
      <c r="ER9" s="255">
        <f>100-100</f>
        <v>0</v>
      </c>
      <c r="ES9" s="253"/>
      <c r="ET9" s="253"/>
      <c r="EU9" s="253"/>
      <c r="EV9" s="255">
        <f>100-100</f>
        <v>0</v>
      </c>
      <c r="EW9" s="253"/>
      <c r="EX9" s="253"/>
      <c r="EY9" s="253"/>
      <c r="EZ9" s="255">
        <f>100-100</f>
        <v>0</v>
      </c>
      <c r="FA9" s="253"/>
      <c r="FB9" s="253"/>
      <c r="FC9" s="253"/>
      <c r="FD9" s="253"/>
      <c r="FE9" s="253"/>
      <c r="FF9" s="253"/>
      <c r="FG9" s="256"/>
      <c r="FH9" s="257" t="s">
        <v>892</v>
      </c>
      <c r="FI9" s="258" t="s">
        <v>389</v>
      </c>
      <c r="FJ9" s="258"/>
      <c r="FK9" s="258" t="s">
        <v>390</v>
      </c>
      <c r="FL9" s="259">
        <f t="shared" si="0"/>
        <v>1230</v>
      </c>
      <c r="FM9" s="260" t="s">
        <v>410</v>
      </c>
      <c r="FN9" s="260"/>
    </row>
    <row r="10" spans="1:170">
      <c r="A10" s="251" t="s">
        <v>385</v>
      </c>
      <c r="B10" s="251" t="s">
        <v>392</v>
      </c>
      <c r="C10" s="251" t="s">
        <v>386</v>
      </c>
      <c r="D10" s="251" t="s">
        <v>291</v>
      </c>
      <c r="E10" s="252" t="s">
        <v>387</v>
      </c>
      <c r="F10" s="251" t="s">
        <v>388</v>
      </c>
      <c r="G10" s="251"/>
      <c r="H10" s="253"/>
      <c r="I10" s="255">
        <f>2000-2000</f>
        <v>0</v>
      </c>
      <c r="J10" s="253"/>
      <c r="K10" s="255">
        <f>2200-2200</f>
        <v>0</v>
      </c>
      <c r="L10" s="253"/>
      <c r="M10" s="253"/>
      <c r="N10" s="255">
        <f>5000-5000</f>
        <v>0</v>
      </c>
      <c r="O10" s="253"/>
      <c r="P10" s="253"/>
      <c r="Q10" s="253"/>
      <c r="R10" s="253"/>
      <c r="S10" s="253"/>
      <c r="T10" s="253"/>
      <c r="U10" s="253"/>
      <c r="V10" s="253"/>
      <c r="W10" s="253"/>
      <c r="X10" s="253"/>
      <c r="Y10" s="253"/>
      <c r="Z10" s="253"/>
      <c r="AA10" s="253"/>
      <c r="AB10" s="253"/>
      <c r="AC10" s="253"/>
      <c r="AD10" s="253"/>
      <c r="AE10" s="253"/>
      <c r="AF10" s="253"/>
      <c r="AG10" s="253"/>
      <c r="AH10" s="253"/>
      <c r="AI10" s="253"/>
      <c r="AJ10" s="253"/>
      <c r="AK10" s="253"/>
      <c r="AL10" s="253"/>
      <c r="AM10" s="253"/>
      <c r="AN10" s="253"/>
      <c r="AO10" s="253"/>
      <c r="AP10" s="253"/>
      <c r="AQ10" s="253"/>
      <c r="AR10" s="253"/>
      <c r="AS10" s="253"/>
      <c r="AT10" s="253"/>
      <c r="AU10" s="253"/>
      <c r="AV10" s="253"/>
      <c r="AW10" s="253"/>
      <c r="AX10" s="253"/>
      <c r="AY10" s="253"/>
      <c r="AZ10" s="253"/>
      <c r="BA10" s="253"/>
      <c r="BB10" s="253"/>
      <c r="BC10" s="253"/>
      <c r="BD10" s="253"/>
      <c r="BE10" s="253"/>
      <c r="BF10" s="253"/>
      <c r="BG10" s="253"/>
      <c r="BH10" s="253"/>
      <c r="BI10" s="253"/>
      <c r="BJ10" s="253"/>
      <c r="BK10" s="253"/>
      <c r="BL10" s="253"/>
      <c r="BM10" s="253"/>
      <c r="BN10" s="253"/>
      <c r="BO10" s="253"/>
      <c r="BP10" s="253"/>
      <c r="BQ10" s="253"/>
      <c r="BR10" s="253"/>
      <c r="BS10" s="253"/>
      <c r="BT10" s="253"/>
      <c r="BU10" s="253"/>
      <c r="BV10" s="253"/>
      <c r="BW10" s="253"/>
      <c r="BX10" s="253"/>
      <c r="BY10" s="253"/>
      <c r="BZ10" s="253"/>
      <c r="CA10" s="253"/>
      <c r="CB10" s="253"/>
      <c r="CC10" s="253"/>
      <c r="CD10" s="253"/>
      <c r="CE10" s="253"/>
      <c r="CF10" s="253"/>
      <c r="CG10" s="253"/>
      <c r="CH10" s="253"/>
      <c r="CI10" s="253"/>
      <c r="CJ10" s="253"/>
      <c r="CK10" s="253"/>
      <c r="CL10" s="253"/>
      <c r="CM10" s="253"/>
      <c r="CN10" s="253"/>
      <c r="CO10" s="253"/>
      <c r="CP10" s="253"/>
      <c r="CQ10" s="253"/>
      <c r="CR10" s="253"/>
      <c r="CS10" s="253"/>
      <c r="CT10" s="253"/>
      <c r="CU10" s="253"/>
      <c r="CV10" s="253"/>
      <c r="CW10" s="253"/>
      <c r="CX10" s="253"/>
      <c r="CY10" s="253"/>
      <c r="CZ10" s="253"/>
      <c r="DA10" s="253"/>
      <c r="DB10" s="253"/>
      <c r="DC10" s="253"/>
      <c r="DD10" s="253"/>
      <c r="DE10" s="253"/>
      <c r="DF10" s="253"/>
      <c r="DG10" s="253"/>
      <c r="DH10" s="253"/>
      <c r="DI10" s="253"/>
      <c r="DJ10" s="253"/>
      <c r="DK10" s="253"/>
      <c r="DL10" s="253"/>
      <c r="DM10" s="253"/>
      <c r="DN10" s="253"/>
      <c r="DO10" s="255">
        <f>2000-2000</f>
        <v>0</v>
      </c>
      <c r="DP10" s="255">
        <f>1000-1000</f>
        <v>0</v>
      </c>
      <c r="DQ10" s="253"/>
      <c r="DR10" s="253"/>
      <c r="DS10" s="255">
        <f>3000-3000</f>
        <v>0</v>
      </c>
      <c r="DT10" s="255">
        <f>1000-1000</f>
        <v>0</v>
      </c>
      <c r="DU10" s="255">
        <f>1000-1000</f>
        <v>0</v>
      </c>
      <c r="DV10" s="253"/>
      <c r="DW10" s="253"/>
      <c r="DX10" s="253"/>
      <c r="DY10" s="253"/>
      <c r="DZ10" s="253"/>
      <c r="EA10" s="253"/>
      <c r="EB10" s="253"/>
      <c r="EC10" s="253"/>
      <c r="ED10" s="253"/>
      <c r="EE10" s="253"/>
      <c r="EF10" s="253"/>
      <c r="EG10" s="253"/>
      <c r="EH10" s="253"/>
      <c r="EI10" s="253"/>
      <c r="EJ10" s="253"/>
      <c r="EK10" s="253"/>
      <c r="EL10" s="253"/>
      <c r="EM10" s="253"/>
      <c r="EN10" s="253"/>
      <c r="EO10" s="253"/>
      <c r="EP10" s="253"/>
      <c r="EQ10" s="253"/>
      <c r="ER10" s="253"/>
      <c r="ES10" s="253"/>
      <c r="ET10" s="253"/>
      <c r="EU10" s="253"/>
      <c r="EV10" s="253"/>
      <c r="EW10" s="253"/>
      <c r="EX10" s="253"/>
      <c r="EY10" s="253"/>
      <c r="EZ10" s="253"/>
      <c r="FA10" s="253"/>
      <c r="FB10" s="253"/>
      <c r="FC10" s="253"/>
      <c r="FD10" s="253"/>
      <c r="FE10" s="253"/>
      <c r="FF10" s="253"/>
      <c r="FG10" s="256"/>
      <c r="FH10" s="257" t="s">
        <v>892</v>
      </c>
      <c r="FI10" s="258" t="s">
        <v>389</v>
      </c>
      <c r="FJ10" s="258"/>
      <c r="FK10" s="258" t="s">
        <v>390</v>
      </c>
      <c r="FL10" s="259">
        <f t="shared" si="0"/>
        <v>0</v>
      </c>
      <c r="FM10" s="260" t="s">
        <v>410</v>
      </c>
      <c r="FN10" s="260"/>
    </row>
    <row r="11" spans="1:170">
      <c r="A11" s="251" t="s">
        <v>385</v>
      </c>
      <c r="B11" s="251" t="s">
        <v>392</v>
      </c>
      <c r="C11" s="251" t="s">
        <v>386</v>
      </c>
      <c r="D11" s="251" t="s">
        <v>1</v>
      </c>
      <c r="E11" s="252" t="s">
        <v>387</v>
      </c>
      <c r="F11" s="251" t="s">
        <v>388</v>
      </c>
      <c r="G11" s="251"/>
      <c r="H11" s="253"/>
      <c r="I11" s="253"/>
      <c r="J11" s="253"/>
      <c r="K11" s="253"/>
      <c r="L11" s="255">
        <f>8000-8000</f>
        <v>0</v>
      </c>
      <c r="M11" s="253"/>
      <c r="N11" s="253"/>
      <c r="O11" s="253"/>
      <c r="P11" s="254">
        <f>5000-5000+60-60</f>
        <v>0</v>
      </c>
      <c r="Q11" s="255">
        <f>5000-5000</f>
        <v>0</v>
      </c>
      <c r="R11" s="253"/>
      <c r="S11" s="253"/>
      <c r="T11" s="253"/>
      <c r="U11" s="253"/>
      <c r="V11" s="253"/>
      <c r="W11" s="253"/>
      <c r="X11" s="253"/>
      <c r="Y11" s="253"/>
      <c r="Z11" s="253"/>
      <c r="AA11" s="253"/>
      <c r="AB11" s="253"/>
      <c r="AC11" s="253"/>
      <c r="AD11" s="253"/>
      <c r="AE11" s="253"/>
      <c r="AF11" s="253"/>
      <c r="AG11" s="253"/>
      <c r="AH11" s="255">
        <f>500-500</f>
        <v>0</v>
      </c>
      <c r="AI11" s="253"/>
      <c r="AJ11" s="253"/>
      <c r="AK11" s="253"/>
      <c r="AL11" s="253"/>
      <c r="AM11" s="253"/>
      <c r="AN11" s="253"/>
      <c r="AO11" s="253"/>
      <c r="AP11" s="253"/>
      <c r="AQ11" s="253"/>
      <c r="AR11" s="253"/>
      <c r="AS11" s="253"/>
      <c r="AT11" s="253"/>
      <c r="AU11" s="253"/>
      <c r="AV11" s="253"/>
      <c r="AW11" s="253"/>
      <c r="AX11" s="253"/>
      <c r="AY11" s="253"/>
      <c r="AZ11" s="253"/>
      <c r="BA11" s="253"/>
      <c r="BB11" s="253"/>
      <c r="BC11" s="253"/>
      <c r="BD11" s="253"/>
      <c r="BE11" s="253"/>
      <c r="BF11" s="253"/>
      <c r="BG11" s="253"/>
      <c r="BH11" s="253"/>
      <c r="BI11" s="253"/>
      <c r="BJ11" s="253"/>
      <c r="BK11" s="253"/>
      <c r="BL11" s="253"/>
      <c r="BM11" s="253"/>
      <c r="BN11" s="253"/>
      <c r="BO11" s="253"/>
      <c r="BP11" s="253"/>
      <c r="BQ11" s="253"/>
      <c r="BR11" s="253"/>
      <c r="BS11" s="253"/>
      <c r="BT11" s="253"/>
      <c r="BU11" s="253"/>
      <c r="BV11" s="253"/>
      <c r="BW11" s="253"/>
      <c r="BX11" s="253"/>
      <c r="BY11" s="253"/>
      <c r="BZ11" s="253"/>
      <c r="CA11" s="253"/>
      <c r="CB11" s="253"/>
      <c r="CC11" s="253"/>
      <c r="CD11" s="253"/>
      <c r="CE11" s="253"/>
      <c r="CF11" s="253"/>
      <c r="CG11" s="253"/>
      <c r="CH11" s="253"/>
      <c r="CI11" s="253"/>
      <c r="CJ11" s="253"/>
      <c r="CK11" s="253"/>
      <c r="CL11" s="253"/>
      <c r="CM11" s="253"/>
      <c r="CN11" s="253"/>
      <c r="CO11" s="253"/>
      <c r="CP11" s="253"/>
      <c r="CQ11" s="253"/>
      <c r="CR11" s="253"/>
      <c r="CS11" s="253"/>
      <c r="CT11" s="253"/>
      <c r="CU11" s="253"/>
      <c r="CV11" s="253"/>
      <c r="CW11" s="253"/>
      <c r="CX11" s="253"/>
      <c r="CY11" s="253"/>
      <c r="CZ11" s="253"/>
      <c r="DA11" s="253"/>
      <c r="DB11" s="253"/>
      <c r="DC11" s="253"/>
      <c r="DD11" s="253"/>
      <c r="DE11" s="253"/>
      <c r="DF11" s="253"/>
      <c r="DG11" s="253"/>
      <c r="DH11" s="253"/>
      <c r="DI11" s="253"/>
      <c r="DJ11" s="253"/>
      <c r="DK11" s="253"/>
      <c r="DL11" s="253"/>
      <c r="DM11" s="253"/>
      <c r="DN11" s="253"/>
      <c r="DO11" s="253"/>
      <c r="DP11" s="253"/>
      <c r="DQ11" s="254">
        <f>5000-5000+2940-280</f>
        <v>2660</v>
      </c>
      <c r="DR11" s="255">
        <f>3000-3000</f>
        <v>0</v>
      </c>
      <c r="DS11" s="253"/>
      <c r="DT11" s="253"/>
      <c r="DU11" s="253"/>
      <c r="DV11" s="253"/>
      <c r="DW11" s="253"/>
      <c r="DX11" s="253"/>
      <c r="DY11" s="253"/>
      <c r="DZ11" s="255">
        <f>500-500</f>
        <v>0</v>
      </c>
      <c r="EA11" s="255">
        <f>500-500</f>
        <v>0</v>
      </c>
      <c r="EB11" s="253"/>
      <c r="EC11" s="253"/>
      <c r="ED11" s="255">
        <f>100-100</f>
        <v>0</v>
      </c>
      <c r="EE11" s="253"/>
      <c r="EF11" s="253"/>
      <c r="EG11" s="253"/>
      <c r="EH11" s="253"/>
      <c r="EI11" s="253"/>
      <c r="EJ11" s="253"/>
      <c r="EK11" s="253"/>
      <c r="EL11" s="253"/>
      <c r="EM11" s="253"/>
      <c r="EN11" s="253"/>
      <c r="EO11" s="253"/>
      <c r="EP11" s="253"/>
      <c r="EQ11" s="253"/>
      <c r="ER11" s="253"/>
      <c r="ES11" s="253"/>
      <c r="ET11" s="253"/>
      <c r="EU11" s="253"/>
      <c r="EV11" s="253"/>
      <c r="EW11" s="253"/>
      <c r="EX11" s="253"/>
      <c r="EY11" s="253"/>
      <c r="EZ11" s="253"/>
      <c r="FA11" s="253"/>
      <c r="FB11" s="253"/>
      <c r="FC11" s="254">
        <f>1000-1000+330-330</f>
        <v>0</v>
      </c>
      <c r="FD11" s="254">
        <f>2000-2000+700-700</f>
        <v>0</v>
      </c>
      <c r="FE11" s="253"/>
      <c r="FF11" s="253"/>
      <c r="FG11" s="256"/>
      <c r="FH11" s="257" t="s">
        <v>892</v>
      </c>
      <c r="FI11" s="258" t="s">
        <v>389</v>
      </c>
      <c r="FJ11" s="258"/>
      <c r="FK11" s="258" t="s">
        <v>390</v>
      </c>
      <c r="FL11" s="259">
        <f t="shared" si="0"/>
        <v>2660</v>
      </c>
      <c r="FM11" s="260" t="s">
        <v>410</v>
      </c>
      <c r="FN11" s="260"/>
    </row>
    <row r="12" spans="1:170">
      <c r="A12" s="251" t="s">
        <v>385</v>
      </c>
      <c r="B12" s="251" t="s">
        <v>392</v>
      </c>
      <c r="C12" s="251" t="s">
        <v>386</v>
      </c>
      <c r="D12" s="251" t="s">
        <v>293</v>
      </c>
      <c r="E12" s="252" t="s">
        <v>387</v>
      </c>
      <c r="F12" s="251" t="s">
        <v>388</v>
      </c>
      <c r="G12" s="251"/>
      <c r="H12" s="253"/>
      <c r="I12" s="253"/>
      <c r="J12" s="255">
        <f>2000-2000</f>
        <v>0</v>
      </c>
      <c r="K12" s="253"/>
      <c r="L12" s="253"/>
      <c r="M12" s="253"/>
      <c r="N12" s="253"/>
      <c r="O12" s="253"/>
      <c r="P12" s="253"/>
      <c r="Q12" s="253"/>
      <c r="R12" s="253"/>
      <c r="S12" s="253"/>
      <c r="T12" s="253"/>
      <c r="U12" s="253"/>
      <c r="V12" s="253"/>
      <c r="W12" s="253"/>
      <c r="X12" s="253"/>
      <c r="Y12" s="253"/>
      <c r="Z12" s="253"/>
      <c r="AA12" s="253"/>
      <c r="AB12" s="253"/>
      <c r="AC12" s="253"/>
      <c r="AD12" s="253"/>
      <c r="AE12" s="253"/>
      <c r="AF12" s="253"/>
      <c r="AG12" s="253"/>
      <c r="AH12" s="253"/>
      <c r="AI12" s="253"/>
      <c r="AJ12" s="253"/>
      <c r="AK12" s="253"/>
      <c r="AL12" s="253"/>
      <c r="AM12" s="253"/>
      <c r="AN12" s="253"/>
      <c r="AO12" s="253"/>
      <c r="AP12" s="253"/>
      <c r="AQ12" s="253"/>
      <c r="AR12" s="253"/>
      <c r="AS12" s="253"/>
      <c r="AT12" s="253"/>
      <c r="AU12" s="253"/>
      <c r="AV12" s="253"/>
      <c r="AW12" s="253"/>
      <c r="AX12" s="253"/>
      <c r="AY12" s="253"/>
      <c r="AZ12" s="253"/>
      <c r="BA12" s="253"/>
      <c r="BB12" s="253"/>
      <c r="BC12" s="253"/>
      <c r="BD12" s="253"/>
      <c r="BE12" s="253"/>
      <c r="BF12" s="253"/>
      <c r="BG12" s="253"/>
      <c r="BH12" s="253"/>
      <c r="BI12" s="253"/>
      <c r="BJ12" s="253"/>
      <c r="BK12" s="253"/>
      <c r="BL12" s="253"/>
      <c r="BM12" s="253"/>
      <c r="BN12" s="253"/>
      <c r="BO12" s="253"/>
      <c r="BP12" s="253"/>
      <c r="BQ12" s="253"/>
      <c r="BR12" s="253"/>
      <c r="BS12" s="253"/>
      <c r="BT12" s="253"/>
      <c r="BU12" s="253"/>
      <c r="BV12" s="253"/>
      <c r="BW12" s="253"/>
      <c r="BX12" s="253"/>
      <c r="BY12" s="253"/>
      <c r="BZ12" s="253"/>
      <c r="CA12" s="253"/>
      <c r="CB12" s="253"/>
      <c r="CC12" s="253"/>
      <c r="CD12" s="253"/>
      <c r="CE12" s="253"/>
      <c r="CF12" s="253"/>
      <c r="CG12" s="253"/>
      <c r="CH12" s="253"/>
      <c r="CI12" s="253"/>
      <c r="CJ12" s="253"/>
      <c r="CK12" s="253"/>
      <c r="CL12" s="253"/>
      <c r="CM12" s="253"/>
      <c r="CN12" s="253"/>
      <c r="CO12" s="253"/>
      <c r="CP12" s="253"/>
      <c r="CQ12" s="253"/>
      <c r="CR12" s="253"/>
      <c r="CS12" s="253"/>
      <c r="CT12" s="253"/>
      <c r="CU12" s="253"/>
      <c r="CV12" s="253"/>
      <c r="CW12" s="253"/>
      <c r="CX12" s="253"/>
      <c r="CY12" s="253"/>
      <c r="CZ12" s="253"/>
      <c r="DA12" s="253"/>
      <c r="DB12" s="253"/>
      <c r="DC12" s="253"/>
      <c r="DD12" s="253"/>
      <c r="DE12" s="253"/>
      <c r="DF12" s="253"/>
      <c r="DG12" s="253"/>
      <c r="DH12" s="253"/>
      <c r="DI12" s="253"/>
      <c r="DJ12" s="253"/>
      <c r="DK12" s="253"/>
      <c r="DL12" s="253"/>
      <c r="DM12" s="253"/>
      <c r="DN12" s="253"/>
      <c r="DO12" s="253"/>
      <c r="DP12" s="253"/>
      <c r="DQ12" s="253"/>
      <c r="DR12" s="253"/>
      <c r="DS12" s="253"/>
      <c r="DT12" s="253"/>
      <c r="DU12" s="253"/>
      <c r="DV12" s="253"/>
      <c r="DW12" s="253"/>
      <c r="DX12" s="253"/>
      <c r="DY12" s="253"/>
      <c r="DZ12" s="253"/>
      <c r="EA12" s="253"/>
      <c r="EB12" s="253"/>
      <c r="EC12" s="253"/>
      <c r="ED12" s="253"/>
      <c r="EE12" s="253"/>
      <c r="EF12" s="253"/>
      <c r="EG12" s="253"/>
      <c r="EH12" s="253"/>
      <c r="EI12" s="253"/>
      <c r="EJ12" s="253"/>
      <c r="EK12" s="253"/>
      <c r="EL12" s="253"/>
      <c r="EM12" s="253"/>
      <c r="EN12" s="253"/>
      <c r="EO12" s="253"/>
      <c r="EP12" s="253"/>
      <c r="EQ12" s="253"/>
      <c r="ER12" s="253"/>
      <c r="ES12" s="253"/>
      <c r="ET12" s="253"/>
      <c r="EU12" s="253"/>
      <c r="EV12" s="253"/>
      <c r="EW12" s="253"/>
      <c r="EX12" s="253"/>
      <c r="EY12" s="253"/>
      <c r="EZ12" s="253"/>
      <c r="FA12" s="253"/>
      <c r="FB12" s="253"/>
      <c r="FC12" s="253"/>
      <c r="FD12" s="253"/>
      <c r="FE12" s="253"/>
      <c r="FF12" s="253"/>
      <c r="FG12" s="256"/>
      <c r="FH12" s="257" t="s">
        <v>892</v>
      </c>
      <c r="FI12" s="258" t="s">
        <v>389</v>
      </c>
      <c r="FJ12" s="258"/>
      <c r="FK12" s="258" t="s">
        <v>390</v>
      </c>
      <c r="FL12" s="259">
        <f t="shared" si="0"/>
        <v>0</v>
      </c>
      <c r="FM12" s="260" t="s">
        <v>410</v>
      </c>
      <c r="FN12" s="260"/>
    </row>
    <row r="13" spans="1:170" s="276" customFormat="1" ht="11.4" hidden="1">
      <c r="A13" s="251" t="s">
        <v>393</v>
      </c>
      <c r="B13" s="251" t="s">
        <v>385</v>
      </c>
      <c r="C13" s="251" t="s">
        <v>394</v>
      </c>
      <c r="D13" s="251" t="s">
        <v>291</v>
      </c>
      <c r="E13" s="252" t="s">
        <v>395</v>
      </c>
      <c r="F13" s="251" t="s">
        <v>388</v>
      </c>
      <c r="G13" s="251"/>
      <c r="H13" s="253"/>
      <c r="I13" s="253"/>
      <c r="J13" s="253"/>
      <c r="K13" s="253"/>
      <c r="L13" s="253"/>
      <c r="M13" s="253"/>
      <c r="N13" s="253"/>
      <c r="O13" s="253"/>
      <c r="P13" s="253"/>
      <c r="Q13" s="253"/>
      <c r="R13" s="253"/>
      <c r="S13" s="253"/>
      <c r="T13" s="253"/>
      <c r="U13" s="253"/>
      <c r="V13" s="253"/>
      <c r="W13" s="253"/>
      <c r="X13" s="253"/>
      <c r="Y13" s="253"/>
      <c r="Z13" s="253"/>
      <c r="AA13" s="253"/>
      <c r="AB13" s="253"/>
      <c r="AC13" s="253"/>
      <c r="AD13" s="253"/>
      <c r="AE13" s="253"/>
      <c r="AF13" s="253"/>
      <c r="AG13" s="253"/>
      <c r="AH13" s="253"/>
      <c r="AI13" s="255">
        <f>500-500</f>
        <v>0</v>
      </c>
      <c r="AJ13" s="253"/>
      <c r="AK13" s="253"/>
      <c r="AL13" s="253"/>
      <c r="AM13" s="253"/>
      <c r="AN13" s="253"/>
      <c r="AO13" s="253"/>
      <c r="AP13" s="253"/>
      <c r="AQ13" s="253"/>
      <c r="AR13" s="253"/>
      <c r="AS13" s="253"/>
      <c r="AT13" s="255">
        <f>500-500</f>
        <v>0</v>
      </c>
      <c r="AU13" s="253"/>
      <c r="AV13" s="253"/>
      <c r="AW13" s="253"/>
      <c r="AX13" s="253"/>
      <c r="AY13" s="253"/>
      <c r="AZ13" s="253"/>
      <c r="BA13" s="253"/>
      <c r="BB13" s="253"/>
      <c r="BC13" s="253"/>
      <c r="BD13" s="253"/>
      <c r="BE13" s="253"/>
      <c r="BF13" s="253"/>
      <c r="BG13" s="253"/>
      <c r="BH13" s="253"/>
      <c r="BI13" s="253"/>
      <c r="BJ13" s="253"/>
      <c r="BK13" s="253"/>
      <c r="BL13" s="253"/>
      <c r="BM13" s="253"/>
      <c r="BN13" s="253"/>
      <c r="BO13" s="253"/>
      <c r="BP13" s="253"/>
      <c r="BQ13" s="253"/>
      <c r="BR13" s="253"/>
      <c r="BS13" s="253"/>
      <c r="BT13" s="253"/>
      <c r="BU13" s="253"/>
      <c r="BV13" s="253"/>
      <c r="BW13" s="253"/>
      <c r="BX13" s="253"/>
      <c r="BY13" s="253"/>
      <c r="BZ13" s="253"/>
      <c r="CA13" s="253"/>
      <c r="CB13" s="253"/>
      <c r="CC13" s="253"/>
      <c r="CD13" s="253"/>
      <c r="CE13" s="253"/>
      <c r="CF13" s="253"/>
      <c r="CG13" s="253"/>
      <c r="CH13" s="253"/>
      <c r="CI13" s="253"/>
      <c r="CJ13" s="253"/>
      <c r="CK13" s="253"/>
      <c r="CL13" s="253"/>
      <c r="CM13" s="253"/>
      <c r="CN13" s="253"/>
      <c r="CO13" s="253"/>
      <c r="CP13" s="253"/>
      <c r="CQ13" s="253"/>
      <c r="CR13" s="253"/>
      <c r="CS13" s="253"/>
      <c r="CT13" s="253"/>
      <c r="CU13" s="253"/>
      <c r="CV13" s="253"/>
      <c r="CW13" s="253"/>
      <c r="CX13" s="253"/>
      <c r="CY13" s="253"/>
      <c r="CZ13" s="253"/>
      <c r="DA13" s="253"/>
      <c r="DB13" s="253"/>
      <c r="DC13" s="253"/>
      <c r="DD13" s="253"/>
      <c r="DE13" s="253"/>
      <c r="DF13" s="253"/>
      <c r="DG13" s="253"/>
      <c r="DH13" s="253"/>
      <c r="DI13" s="253"/>
      <c r="DJ13" s="253"/>
      <c r="DK13" s="253"/>
      <c r="DL13" s="253"/>
      <c r="DM13" s="253"/>
      <c r="DN13" s="253"/>
      <c r="DO13" s="253"/>
      <c r="DP13" s="253"/>
      <c r="DQ13" s="253"/>
      <c r="DR13" s="253"/>
      <c r="DS13" s="253"/>
      <c r="DT13" s="253"/>
      <c r="DU13" s="253"/>
      <c r="DV13" s="253"/>
      <c r="DW13" s="253"/>
      <c r="DX13" s="253"/>
      <c r="DY13" s="253"/>
      <c r="DZ13" s="253"/>
      <c r="EA13" s="253"/>
      <c r="EB13" s="253"/>
      <c r="EC13" s="253"/>
      <c r="ED13" s="253"/>
      <c r="EE13" s="253"/>
      <c r="EF13" s="253"/>
      <c r="EG13" s="253"/>
      <c r="EH13" s="253"/>
      <c r="EI13" s="253"/>
      <c r="EJ13" s="253"/>
      <c r="EK13" s="253"/>
      <c r="EL13" s="253"/>
      <c r="EM13" s="253"/>
      <c r="EN13" s="253"/>
      <c r="EO13" s="253"/>
      <c r="EP13" s="253"/>
      <c r="EQ13" s="253"/>
      <c r="ER13" s="253"/>
      <c r="ES13" s="253"/>
      <c r="ET13" s="253"/>
      <c r="EU13" s="253"/>
      <c r="EV13" s="253"/>
      <c r="EW13" s="253"/>
      <c r="EX13" s="253"/>
      <c r="EY13" s="253"/>
      <c r="EZ13" s="253"/>
      <c r="FA13" s="253"/>
      <c r="FB13" s="253"/>
      <c r="FC13" s="253"/>
      <c r="FD13" s="253"/>
      <c r="FE13" s="253"/>
      <c r="FF13" s="253"/>
      <c r="FG13" s="256"/>
      <c r="FH13" s="257" t="s">
        <v>892</v>
      </c>
      <c r="FI13" s="258" t="s">
        <v>389</v>
      </c>
      <c r="FJ13" s="258" t="s">
        <v>396</v>
      </c>
      <c r="FK13" s="258" t="s">
        <v>397</v>
      </c>
      <c r="FL13" s="259">
        <f t="shared" si="0"/>
        <v>0</v>
      </c>
      <c r="FM13" s="260" t="s">
        <v>398</v>
      </c>
      <c r="FN13" s="260"/>
    </row>
    <row r="14" spans="1:170" s="276" customFormat="1" ht="11.4" hidden="1">
      <c r="A14" s="251" t="s">
        <v>393</v>
      </c>
      <c r="B14" s="251" t="s">
        <v>385</v>
      </c>
      <c r="C14" s="251" t="s">
        <v>394</v>
      </c>
      <c r="D14" s="251" t="s">
        <v>1</v>
      </c>
      <c r="E14" s="252" t="s">
        <v>395</v>
      </c>
      <c r="F14" s="251" t="s">
        <v>388</v>
      </c>
      <c r="G14" s="251"/>
      <c r="H14" s="253"/>
      <c r="I14" s="253"/>
      <c r="J14" s="253"/>
      <c r="K14" s="253"/>
      <c r="L14" s="253"/>
      <c r="M14" s="253"/>
      <c r="N14" s="253"/>
      <c r="O14" s="253"/>
      <c r="P14" s="253"/>
      <c r="Q14" s="253"/>
      <c r="R14" s="253"/>
      <c r="S14" s="253"/>
      <c r="T14" s="253"/>
      <c r="U14" s="253"/>
      <c r="V14" s="255">
        <f>1000-1000</f>
        <v>0</v>
      </c>
      <c r="W14" s="253"/>
      <c r="X14" s="253"/>
      <c r="Y14" s="253"/>
      <c r="Z14" s="253"/>
      <c r="AA14" s="253"/>
      <c r="AB14" s="253"/>
      <c r="AC14" s="253"/>
      <c r="AD14" s="253"/>
      <c r="AE14" s="253"/>
      <c r="AF14" s="253"/>
      <c r="AG14" s="253"/>
      <c r="AH14" s="253"/>
      <c r="AI14" s="253"/>
      <c r="AJ14" s="253"/>
      <c r="AK14" s="253"/>
      <c r="AL14" s="253"/>
      <c r="AM14" s="253"/>
      <c r="AN14" s="253"/>
      <c r="AO14" s="253"/>
      <c r="AP14" s="253"/>
      <c r="AQ14" s="253"/>
      <c r="AR14" s="253"/>
      <c r="AS14" s="253"/>
      <c r="AT14" s="253"/>
      <c r="AU14" s="253"/>
      <c r="AV14" s="253"/>
      <c r="AW14" s="255">
        <f>500-500</f>
        <v>0</v>
      </c>
      <c r="AX14" s="253"/>
      <c r="AY14" s="253"/>
      <c r="AZ14" s="253"/>
      <c r="BA14" s="253"/>
      <c r="BB14" s="253"/>
      <c r="BC14" s="253"/>
      <c r="BD14" s="253"/>
      <c r="BE14" s="253"/>
      <c r="BF14" s="253"/>
      <c r="BG14" s="253"/>
      <c r="BH14" s="253"/>
      <c r="BI14" s="253"/>
      <c r="BJ14" s="253"/>
      <c r="BK14" s="253"/>
      <c r="BL14" s="253"/>
      <c r="BM14" s="253"/>
      <c r="BN14" s="253"/>
      <c r="BO14" s="253"/>
      <c r="BP14" s="253"/>
      <c r="BQ14" s="253"/>
      <c r="BR14" s="253"/>
      <c r="BS14" s="253"/>
      <c r="BT14" s="253"/>
      <c r="BU14" s="253"/>
      <c r="BV14" s="253"/>
      <c r="BW14" s="253"/>
      <c r="BX14" s="253"/>
      <c r="BY14" s="253"/>
      <c r="BZ14" s="253"/>
      <c r="CA14" s="253"/>
      <c r="CB14" s="253"/>
      <c r="CC14" s="253"/>
      <c r="CD14" s="253"/>
      <c r="CE14" s="253"/>
      <c r="CF14" s="253"/>
      <c r="CG14" s="253"/>
      <c r="CH14" s="253"/>
      <c r="CI14" s="253"/>
      <c r="CJ14" s="253"/>
      <c r="CK14" s="253"/>
      <c r="CL14" s="253"/>
      <c r="CM14" s="253"/>
      <c r="CN14" s="253"/>
      <c r="CO14" s="253"/>
      <c r="CP14" s="253"/>
      <c r="CQ14" s="253"/>
      <c r="CR14" s="253"/>
      <c r="CS14" s="253"/>
      <c r="CT14" s="253"/>
      <c r="CU14" s="253"/>
      <c r="CV14" s="253"/>
      <c r="CW14" s="253"/>
      <c r="CX14" s="253"/>
      <c r="CY14" s="253"/>
      <c r="CZ14" s="253"/>
      <c r="DA14" s="253"/>
      <c r="DB14" s="253"/>
      <c r="DC14" s="253"/>
      <c r="DD14" s="253"/>
      <c r="DE14" s="253"/>
      <c r="DF14" s="253"/>
      <c r="DG14" s="253"/>
      <c r="DH14" s="253"/>
      <c r="DI14" s="253"/>
      <c r="DJ14" s="253"/>
      <c r="DK14" s="253"/>
      <c r="DL14" s="253"/>
      <c r="DM14" s="253"/>
      <c r="DN14" s="253"/>
      <c r="DO14" s="253"/>
      <c r="DP14" s="253"/>
      <c r="DQ14" s="253"/>
      <c r="DR14" s="253"/>
      <c r="DS14" s="253"/>
      <c r="DT14" s="253"/>
      <c r="DU14" s="253"/>
      <c r="DV14" s="253"/>
      <c r="DW14" s="253"/>
      <c r="DX14" s="253"/>
      <c r="DY14" s="253"/>
      <c r="DZ14" s="253"/>
      <c r="EA14" s="253"/>
      <c r="EB14" s="253"/>
      <c r="EC14" s="253"/>
      <c r="ED14" s="253"/>
      <c r="EE14" s="253"/>
      <c r="EF14" s="253"/>
      <c r="EG14" s="253"/>
      <c r="EH14" s="253"/>
      <c r="EI14" s="253"/>
      <c r="EJ14" s="253"/>
      <c r="EK14" s="253"/>
      <c r="EL14" s="253"/>
      <c r="EM14" s="253"/>
      <c r="EN14" s="253"/>
      <c r="EO14" s="253"/>
      <c r="EP14" s="253"/>
      <c r="EQ14" s="255">
        <f>200-200</f>
        <v>0</v>
      </c>
      <c r="ER14" s="253"/>
      <c r="ES14" s="255">
        <f>300-300</f>
        <v>0</v>
      </c>
      <c r="ET14" s="255">
        <f>100-100</f>
        <v>0</v>
      </c>
      <c r="EU14" s="255">
        <f>100-100</f>
        <v>0</v>
      </c>
      <c r="EV14" s="253"/>
      <c r="EW14" s="255">
        <f>100-100</f>
        <v>0</v>
      </c>
      <c r="EX14" s="253"/>
      <c r="EY14" s="253"/>
      <c r="EZ14" s="253"/>
      <c r="FA14" s="255">
        <f>50-50</f>
        <v>0</v>
      </c>
      <c r="FB14" s="253"/>
      <c r="FC14" s="253"/>
      <c r="FD14" s="253"/>
      <c r="FE14" s="253"/>
      <c r="FF14" s="253"/>
      <c r="FG14" s="256"/>
      <c r="FH14" s="257" t="s">
        <v>892</v>
      </c>
      <c r="FI14" s="258" t="s">
        <v>389</v>
      </c>
      <c r="FJ14" s="258" t="s">
        <v>396</v>
      </c>
      <c r="FK14" s="258" t="s">
        <v>397</v>
      </c>
      <c r="FL14" s="259">
        <f t="shared" si="0"/>
        <v>0</v>
      </c>
      <c r="FM14" s="260" t="s">
        <v>398</v>
      </c>
      <c r="FN14" s="260"/>
    </row>
    <row r="15" spans="1:170" s="276" customFormat="1" ht="11.4" hidden="1">
      <c r="A15" s="251" t="s">
        <v>393</v>
      </c>
      <c r="B15" s="251" t="s">
        <v>385</v>
      </c>
      <c r="C15" s="251" t="s">
        <v>394</v>
      </c>
      <c r="D15" s="251" t="s">
        <v>291</v>
      </c>
      <c r="E15" s="252" t="s">
        <v>818</v>
      </c>
      <c r="F15" s="251" t="s">
        <v>388</v>
      </c>
      <c r="G15" s="251"/>
      <c r="H15" s="253"/>
      <c r="I15" s="253"/>
      <c r="J15" s="253"/>
      <c r="K15" s="253"/>
      <c r="L15" s="253"/>
      <c r="M15" s="253"/>
      <c r="N15" s="253"/>
      <c r="O15" s="253"/>
      <c r="P15" s="253"/>
      <c r="Q15" s="253"/>
      <c r="R15" s="253"/>
      <c r="S15" s="253"/>
      <c r="T15" s="253"/>
      <c r="U15" s="253"/>
      <c r="V15" s="253"/>
      <c r="W15" s="253"/>
      <c r="X15" s="253"/>
      <c r="Y15" s="253"/>
      <c r="Z15" s="253"/>
      <c r="AA15" s="253"/>
      <c r="AB15" s="253"/>
      <c r="AC15" s="253"/>
      <c r="AD15" s="253"/>
      <c r="AE15" s="253"/>
      <c r="AF15" s="253"/>
      <c r="AG15" s="254">
        <f>0+10</f>
        <v>10</v>
      </c>
      <c r="AH15" s="253"/>
      <c r="AI15" s="253"/>
      <c r="AJ15" s="255">
        <f>50-50</f>
        <v>0</v>
      </c>
      <c r="AK15" s="253"/>
      <c r="AL15" s="253"/>
      <c r="AM15" s="253"/>
      <c r="AN15" s="253"/>
      <c r="AO15" s="253"/>
      <c r="AP15" s="253"/>
      <c r="AQ15" s="253"/>
      <c r="AR15" s="253"/>
      <c r="AS15" s="253"/>
      <c r="AT15" s="253"/>
      <c r="AU15" s="253"/>
      <c r="AV15" s="253"/>
      <c r="AW15" s="253"/>
      <c r="AX15" s="253"/>
      <c r="AY15" s="253"/>
      <c r="AZ15" s="253"/>
      <c r="BA15" s="253"/>
      <c r="BB15" s="253"/>
      <c r="BC15" s="253"/>
      <c r="BD15" s="253"/>
      <c r="BE15" s="253"/>
      <c r="BF15" s="253"/>
      <c r="BG15" s="255">
        <f>50-50</f>
        <v>0</v>
      </c>
      <c r="BH15" s="253"/>
      <c r="BI15" s="253"/>
      <c r="BJ15" s="253"/>
      <c r="BK15" s="253"/>
      <c r="BL15" s="253"/>
      <c r="BM15" s="253"/>
      <c r="BN15" s="253"/>
      <c r="BO15" s="253"/>
      <c r="BP15" s="253"/>
      <c r="BQ15" s="253"/>
      <c r="BR15" s="253"/>
      <c r="BS15" s="253"/>
      <c r="BT15" s="253"/>
      <c r="BU15" s="253"/>
      <c r="BV15" s="253"/>
      <c r="BW15" s="253"/>
      <c r="BX15" s="253"/>
      <c r="BY15" s="253"/>
      <c r="BZ15" s="253"/>
      <c r="CA15" s="253"/>
      <c r="CB15" s="253"/>
      <c r="CC15" s="253"/>
      <c r="CD15" s="253"/>
      <c r="CE15" s="253"/>
      <c r="CF15" s="253"/>
      <c r="CG15" s="253"/>
      <c r="CH15" s="253"/>
      <c r="CI15" s="253"/>
      <c r="CJ15" s="253"/>
      <c r="CK15" s="253"/>
      <c r="CL15" s="253"/>
      <c r="CM15" s="253"/>
      <c r="CN15" s="253"/>
      <c r="CO15" s="253"/>
      <c r="CP15" s="253"/>
      <c r="CQ15" s="253"/>
      <c r="CR15" s="253"/>
      <c r="CS15" s="253"/>
      <c r="CT15" s="253"/>
      <c r="CU15" s="253"/>
      <c r="CV15" s="253"/>
      <c r="CW15" s="253"/>
      <c r="CX15" s="253"/>
      <c r="CY15" s="253"/>
      <c r="CZ15" s="253"/>
      <c r="DA15" s="253"/>
      <c r="DB15" s="253"/>
      <c r="DC15" s="253"/>
      <c r="DD15" s="253"/>
      <c r="DE15" s="253"/>
      <c r="DF15" s="253"/>
      <c r="DG15" s="253"/>
      <c r="DH15" s="253"/>
      <c r="DI15" s="253"/>
      <c r="DJ15" s="253"/>
      <c r="DK15" s="253"/>
      <c r="DL15" s="253"/>
      <c r="DM15" s="253"/>
      <c r="DN15" s="253"/>
      <c r="DO15" s="253"/>
      <c r="DP15" s="253"/>
      <c r="DQ15" s="253"/>
      <c r="DR15" s="253"/>
      <c r="DS15" s="253"/>
      <c r="DT15" s="253"/>
      <c r="DU15" s="253"/>
      <c r="DV15" s="253"/>
      <c r="DW15" s="253"/>
      <c r="DX15" s="253"/>
      <c r="DY15" s="253"/>
      <c r="DZ15" s="253"/>
      <c r="EA15" s="253"/>
      <c r="EB15" s="253"/>
      <c r="EC15" s="253"/>
      <c r="ED15" s="253"/>
      <c r="EE15" s="253"/>
      <c r="EF15" s="253"/>
      <c r="EG15" s="253"/>
      <c r="EH15" s="253"/>
      <c r="EI15" s="253"/>
      <c r="EJ15" s="253"/>
      <c r="EK15" s="253"/>
      <c r="EL15" s="253"/>
      <c r="EM15" s="253"/>
      <c r="EN15" s="253"/>
      <c r="EO15" s="253"/>
      <c r="EP15" s="253"/>
      <c r="EQ15" s="253"/>
      <c r="ER15" s="253"/>
      <c r="ES15" s="253"/>
      <c r="ET15" s="253"/>
      <c r="EU15" s="253"/>
      <c r="EV15" s="253"/>
      <c r="EW15" s="253"/>
      <c r="EX15" s="253"/>
      <c r="EY15" s="253"/>
      <c r="EZ15" s="253"/>
      <c r="FA15" s="253"/>
      <c r="FB15" s="253"/>
      <c r="FC15" s="253"/>
      <c r="FD15" s="253"/>
      <c r="FE15" s="253"/>
      <c r="FF15" s="253"/>
      <c r="FG15" s="256"/>
      <c r="FH15" s="257" t="s">
        <v>892</v>
      </c>
      <c r="FI15" s="258" t="s">
        <v>389</v>
      </c>
      <c r="FJ15" s="258"/>
      <c r="FK15" s="258" t="s">
        <v>819</v>
      </c>
      <c r="FL15" s="259">
        <f t="shared" si="0"/>
        <v>10</v>
      </c>
      <c r="FM15" s="260" t="s">
        <v>820</v>
      </c>
      <c r="FN15" s="260"/>
    </row>
    <row r="16" spans="1:170" s="276" customFormat="1" ht="11.4" hidden="1">
      <c r="A16" s="251" t="s">
        <v>393</v>
      </c>
      <c r="B16" s="251" t="s">
        <v>385</v>
      </c>
      <c r="C16" s="251" t="s">
        <v>394</v>
      </c>
      <c r="D16" s="251" t="s">
        <v>1</v>
      </c>
      <c r="E16" s="252" t="s">
        <v>818</v>
      </c>
      <c r="F16" s="251" t="s">
        <v>388</v>
      </c>
      <c r="G16" s="251"/>
      <c r="H16" s="253"/>
      <c r="I16" s="253"/>
      <c r="J16" s="253"/>
      <c r="K16" s="253"/>
      <c r="L16" s="253"/>
      <c r="M16" s="253"/>
      <c r="N16" s="253"/>
      <c r="O16" s="253"/>
      <c r="P16" s="253"/>
      <c r="Q16" s="253"/>
      <c r="R16" s="253"/>
      <c r="S16" s="253"/>
      <c r="T16" s="253"/>
      <c r="U16" s="253"/>
      <c r="V16" s="253"/>
      <c r="W16" s="253"/>
      <c r="X16" s="253"/>
      <c r="Y16" s="253"/>
      <c r="Z16" s="253"/>
      <c r="AA16" s="253"/>
      <c r="AB16" s="253"/>
      <c r="AC16" s="253"/>
      <c r="AD16" s="255">
        <f>50-50</f>
        <v>0</v>
      </c>
      <c r="AE16" s="253"/>
      <c r="AF16" s="253"/>
      <c r="AG16" s="255">
        <f>50-50</f>
        <v>0</v>
      </c>
      <c r="AH16" s="253"/>
      <c r="AI16" s="253"/>
      <c r="AJ16" s="253"/>
      <c r="AK16" s="253"/>
      <c r="AL16" s="253"/>
      <c r="AM16" s="253"/>
      <c r="AN16" s="253"/>
      <c r="AO16" s="253"/>
      <c r="AP16" s="253"/>
      <c r="AQ16" s="253"/>
      <c r="AR16" s="253"/>
      <c r="AS16" s="253"/>
      <c r="AT16" s="253"/>
      <c r="AU16" s="253"/>
      <c r="AV16" s="253"/>
      <c r="AW16" s="255">
        <f>50-50</f>
        <v>0</v>
      </c>
      <c r="AX16" s="253"/>
      <c r="AY16" s="253"/>
      <c r="AZ16" s="253"/>
      <c r="BA16" s="253"/>
      <c r="BB16" s="253"/>
      <c r="BC16" s="253"/>
      <c r="BD16" s="253"/>
      <c r="BE16" s="253"/>
      <c r="BF16" s="253"/>
      <c r="BG16" s="253"/>
      <c r="BH16" s="253"/>
      <c r="BI16" s="255">
        <f>20-20</f>
        <v>0</v>
      </c>
      <c r="BJ16" s="253"/>
      <c r="BK16" s="253"/>
      <c r="BL16" s="253"/>
      <c r="BM16" s="253"/>
      <c r="BN16" s="253"/>
      <c r="BO16" s="253"/>
      <c r="BP16" s="253"/>
      <c r="BQ16" s="253"/>
      <c r="BR16" s="253"/>
      <c r="BS16" s="253"/>
      <c r="BT16" s="253"/>
      <c r="BU16" s="253"/>
      <c r="BV16" s="253"/>
      <c r="BW16" s="253"/>
      <c r="BX16" s="253"/>
      <c r="BY16" s="253"/>
      <c r="BZ16" s="253"/>
      <c r="CA16" s="253"/>
      <c r="CB16" s="253"/>
      <c r="CC16" s="253"/>
      <c r="CD16" s="253"/>
      <c r="CE16" s="253"/>
      <c r="CF16" s="253"/>
      <c r="CG16" s="253"/>
      <c r="CH16" s="253"/>
      <c r="CI16" s="253"/>
      <c r="CJ16" s="253"/>
      <c r="CK16" s="253"/>
      <c r="CL16" s="253"/>
      <c r="CM16" s="253"/>
      <c r="CN16" s="253"/>
      <c r="CO16" s="253"/>
      <c r="CP16" s="253"/>
      <c r="CQ16" s="253"/>
      <c r="CR16" s="253"/>
      <c r="CS16" s="253"/>
      <c r="CT16" s="253"/>
      <c r="CU16" s="253"/>
      <c r="CV16" s="253"/>
      <c r="CW16" s="253"/>
      <c r="CX16" s="253"/>
      <c r="CY16" s="253"/>
      <c r="CZ16" s="253"/>
      <c r="DA16" s="253"/>
      <c r="DB16" s="253"/>
      <c r="DC16" s="253"/>
      <c r="DD16" s="253"/>
      <c r="DE16" s="253"/>
      <c r="DF16" s="253"/>
      <c r="DG16" s="253"/>
      <c r="DH16" s="253"/>
      <c r="DI16" s="253"/>
      <c r="DJ16" s="253"/>
      <c r="DK16" s="253"/>
      <c r="DL16" s="253"/>
      <c r="DM16" s="253"/>
      <c r="DN16" s="253"/>
      <c r="DO16" s="253"/>
      <c r="DP16" s="253"/>
      <c r="DQ16" s="253"/>
      <c r="DR16" s="253"/>
      <c r="DS16" s="253"/>
      <c r="DT16" s="253"/>
      <c r="DU16" s="253"/>
      <c r="DV16" s="253"/>
      <c r="DW16" s="253"/>
      <c r="DX16" s="253"/>
      <c r="DY16" s="253"/>
      <c r="DZ16" s="253"/>
      <c r="EA16" s="253"/>
      <c r="EB16" s="253"/>
      <c r="EC16" s="253"/>
      <c r="ED16" s="253"/>
      <c r="EE16" s="253"/>
      <c r="EF16" s="253"/>
      <c r="EG16" s="253"/>
      <c r="EH16" s="253"/>
      <c r="EI16" s="253"/>
      <c r="EJ16" s="253"/>
      <c r="EK16" s="253"/>
      <c r="EL16" s="253"/>
      <c r="EM16" s="253"/>
      <c r="EN16" s="253"/>
      <c r="EO16" s="253"/>
      <c r="EP16" s="253"/>
      <c r="EQ16" s="253"/>
      <c r="ER16" s="253"/>
      <c r="ES16" s="253"/>
      <c r="ET16" s="253"/>
      <c r="EU16" s="253"/>
      <c r="EV16" s="253"/>
      <c r="EW16" s="253"/>
      <c r="EX16" s="253"/>
      <c r="EY16" s="253"/>
      <c r="EZ16" s="253"/>
      <c r="FA16" s="253"/>
      <c r="FB16" s="253"/>
      <c r="FC16" s="253"/>
      <c r="FD16" s="253"/>
      <c r="FE16" s="253"/>
      <c r="FF16" s="253"/>
      <c r="FG16" s="256"/>
      <c r="FH16" s="257" t="s">
        <v>892</v>
      </c>
      <c r="FI16" s="258" t="s">
        <v>389</v>
      </c>
      <c r="FJ16" s="258"/>
      <c r="FK16" s="258" t="s">
        <v>819</v>
      </c>
      <c r="FL16" s="259">
        <f t="shared" si="0"/>
        <v>0</v>
      </c>
      <c r="FM16" s="260" t="s">
        <v>820</v>
      </c>
      <c r="FN16" s="260"/>
    </row>
    <row r="17" spans="1:170" s="276" customFormat="1" ht="11.4" hidden="1">
      <c r="A17" s="251" t="s">
        <v>393</v>
      </c>
      <c r="B17" s="251" t="s">
        <v>385</v>
      </c>
      <c r="C17" s="251" t="s">
        <v>394</v>
      </c>
      <c r="D17" s="251" t="s">
        <v>1</v>
      </c>
      <c r="E17" s="252" t="s">
        <v>399</v>
      </c>
      <c r="F17" s="251" t="s">
        <v>388</v>
      </c>
      <c r="G17" s="251"/>
      <c r="H17" s="253"/>
      <c r="I17" s="253"/>
      <c r="J17" s="253"/>
      <c r="K17" s="253"/>
      <c r="L17" s="253"/>
      <c r="M17" s="253"/>
      <c r="N17" s="253"/>
      <c r="O17" s="253"/>
      <c r="P17" s="253"/>
      <c r="Q17" s="253"/>
      <c r="R17" s="253"/>
      <c r="S17" s="253"/>
      <c r="T17" s="253"/>
      <c r="U17" s="253"/>
      <c r="V17" s="253"/>
      <c r="W17" s="253"/>
      <c r="X17" s="253"/>
      <c r="Y17" s="253"/>
      <c r="Z17" s="253"/>
      <c r="AA17" s="253"/>
      <c r="AB17" s="253"/>
      <c r="AC17" s="253"/>
      <c r="AD17" s="253"/>
      <c r="AE17" s="253"/>
      <c r="AF17" s="253"/>
      <c r="AG17" s="255">
        <f>1500-1500</f>
        <v>0</v>
      </c>
      <c r="AH17" s="253"/>
      <c r="AI17" s="253"/>
      <c r="AJ17" s="253"/>
      <c r="AK17" s="253"/>
      <c r="AL17" s="253"/>
      <c r="AM17" s="253"/>
      <c r="AN17" s="253"/>
      <c r="AO17" s="253"/>
      <c r="AP17" s="253"/>
      <c r="AQ17" s="253"/>
      <c r="AR17" s="253"/>
      <c r="AS17" s="253"/>
      <c r="AT17" s="253"/>
      <c r="AU17" s="253"/>
      <c r="AV17" s="253"/>
      <c r="AW17" s="253"/>
      <c r="AX17" s="253"/>
      <c r="AY17" s="253"/>
      <c r="AZ17" s="253"/>
      <c r="BA17" s="253"/>
      <c r="BB17" s="253"/>
      <c r="BC17" s="253"/>
      <c r="BD17" s="253"/>
      <c r="BE17" s="253"/>
      <c r="BF17" s="253"/>
      <c r="BG17" s="253"/>
      <c r="BH17" s="253"/>
      <c r="BI17" s="253"/>
      <c r="BJ17" s="253"/>
      <c r="BK17" s="253"/>
      <c r="BL17" s="253"/>
      <c r="BM17" s="253"/>
      <c r="BN17" s="253"/>
      <c r="BO17" s="253"/>
      <c r="BP17" s="253"/>
      <c r="BQ17" s="253"/>
      <c r="BR17" s="253"/>
      <c r="BS17" s="253"/>
      <c r="BT17" s="253"/>
      <c r="BU17" s="253"/>
      <c r="BV17" s="253"/>
      <c r="BW17" s="253"/>
      <c r="BX17" s="253"/>
      <c r="BY17" s="253"/>
      <c r="BZ17" s="253"/>
      <c r="CA17" s="253"/>
      <c r="CB17" s="253"/>
      <c r="CC17" s="253"/>
      <c r="CD17" s="253"/>
      <c r="CE17" s="253"/>
      <c r="CF17" s="253"/>
      <c r="CG17" s="253"/>
      <c r="CH17" s="253"/>
      <c r="CI17" s="253"/>
      <c r="CJ17" s="253"/>
      <c r="CK17" s="253"/>
      <c r="CL17" s="253"/>
      <c r="CM17" s="253"/>
      <c r="CN17" s="253"/>
      <c r="CO17" s="253"/>
      <c r="CP17" s="253"/>
      <c r="CQ17" s="253"/>
      <c r="CR17" s="253"/>
      <c r="CS17" s="253"/>
      <c r="CT17" s="253"/>
      <c r="CU17" s="253"/>
      <c r="CV17" s="253"/>
      <c r="CW17" s="253"/>
      <c r="CX17" s="253"/>
      <c r="CY17" s="253"/>
      <c r="CZ17" s="253"/>
      <c r="DA17" s="253"/>
      <c r="DB17" s="253"/>
      <c r="DC17" s="253"/>
      <c r="DD17" s="253"/>
      <c r="DE17" s="253"/>
      <c r="DF17" s="253"/>
      <c r="DG17" s="253"/>
      <c r="DH17" s="253"/>
      <c r="DI17" s="253"/>
      <c r="DJ17" s="253"/>
      <c r="DK17" s="253"/>
      <c r="DL17" s="253"/>
      <c r="DM17" s="253"/>
      <c r="DN17" s="253"/>
      <c r="DO17" s="253"/>
      <c r="DP17" s="253"/>
      <c r="DQ17" s="253"/>
      <c r="DR17" s="253"/>
      <c r="DS17" s="253"/>
      <c r="DT17" s="253"/>
      <c r="DU17" s="253"/>
      <c r="DV17" s="253"/>
      <c r="DW17" s="253"/>
      <c r="DX17" s="253"/>
      <c r="DY17" s="253"/>
      <c r="DZ17" s="253"/>
      <c r="EA17" s="253"/>
      <c r="EB17" s="253"/>
      <c r="EC17" s="253"/>
      <c r="ED17" s="253"/>
      <c r="EE17" s="253"/>
      <c r="EF17" s="253"/>
      <c r="EG17" s="253"/>
      <c r="EH17" s="253"/>
      <c r="EI17" s="253"/>
      <c r="EJ17" s="253"/>
      <c r="EK17" s="253"/>
      <c r="EL17" s="253"/>
      <c r="EM17" s="253"/>
      <c r="EN17" s="253"/>
      <c r="EO17" s="253"/>
      <c r="EP17" s="253"/>
      <c r="EQ17" s="253"/>
      <c r="ER17" s="253"/>
      <c r="ES17" s="253"/>
      <c r="ET17" s="253"/>
      <c r="EU17" s="253"/>
      <c r="EV17" s="253"/>
      <c r="EW17" s="253"/>
      <c r="EX17" s="253"/>
      <c r="EY17" s="253"/>
      <c r="EZ17" s="253"/>
      <c r="FA17" s="253"/>
      <c r="FB17" s="253"/>
      <c r="FC17" s="253"/>
      <c r="FD17" s="253"/>
      <c r="FE17" s="253"/>
      <c r="FF17" s="253"/>
      <c r="FG17" s="256"/>
      <c r="FH17" s="257" t="s">
        <v>892</v>
      </c>
      <c r="FI17" s="258" t="s">
        <v>389</v>
      </c>
      <c r="FJ17" s="258" t="s">
        <v>400</v>
      </c>
      <c r="FK17" s="258" t="s">
        <v>397</v>
      </c>
      <c r="FL17" s="259">
        <f t="shared" si="0"/>
        <v>0</v>
      </c>
      <c r="FM17" s="260" t="s">
        <v>398</v>
      </c>
      <c r="FN17" s="260"/>
    </row>
    <row r="18" spans="1:170" s="276" customFormat="1" ht="11.4" hidden="1">
      <c r="A18" s="251" t="s">
        <v>393</v>
      </c>
      <c r="B18" s="251" t="s">
        <v>385</v>
      </c>
      <c r="C18" s="251" t="s">
        <v>394</v>
      </c>
      <c r="D18" s="251" t="s">
        <v>291</v>
      </c>
      <c r="E18" s="252" t="s">
        <v>401</v>
      </c>
      <c r="F18" s="251" t="s">
        <v>388</v>
      </c>
      <c r="G18" s="251"/>
      <c r="H18" s="253"/>
      <c r="I18" s="255">
        <f>200-200</f>
        <v>0</v>
      </c>
      <c r="J18" s="253"/>
      <c r="K18" s="255">
        <f>200-200</f>
        <v>0</v>
      </c>
      <c r="L18" s="253"/>
      <c r="M18" s="253"/>
      <c r="N18" s="255">
        <f>80-80</f>
        <v>0</v>
      </c>
      <c r="O18" s="253"/>
      <c r="P18" s="253"/>
      <c r="Q18" s="253"/>
      <c r="R18" s="255">
        <f>600-600</f>
        <v>0</v>
      </c>
      <c r="S18" s="253"/>
      <c r="T18" s="253"/>
      <c r="U18" s="255">
        <f>600-600</f>
        <v>0</v>
      </c>
      <c r="V18" s="253"/>
      <c r="W18" s="253"/>
      <c r="X18" s="253"/>
      <c r="Y18" s="253"/>
      <c r="Z18" s="253"/>
      <c r="AA18" s="253"/>
      <c r="AB18" s="253"/>
      <c r="AC18" s="253"/>
      <c r="AD18" s="253"/>
      <c r="AE18" s="253"/>
      <c r="AF18" s="254">
        <f>0+10</f>
        <v>10</v>
      </c>
      <c r="AG18" s="253"/>
      <c r="AH18" s="253"/>
      <c r="AI18" s="255">
        <f>600-600</f>
        <v>0</v>
      </c>
      <c r="AJ18" s="255">
        <f>600-600</f>
        <v>0</v>
      </c>
      <c r="AK18" s="253"/>
      <c r="AL18" s="253"/>
      <c r="AM18" s="253"/>
      <c r="AN18" s="253"/>
      <c r="AO18" s="253"/>
      <c r="AP18" s="253"/>
      <c r="AQ18" s="253"/>
      <c r="AR18" s="253"/>
      <c r="AS18" s="255">
        <f>600-600</f>
        <v>0</v>
      </c>
      <c r="AT18" s="255">
        <f>600-600</f>
        <v>0</v>
      </c>
      <c r="AU18" s="253"/>
      <c r="AV18" s="253"/>
      <c r="AW18" s="253"/>
      <c r="AX18" s="253"/>
      <c r="AY18" s="253"/>
      <c r="AZ18" s="253"/>
      <c r="BA18" s="253"/>
      <c r="BB18" s="253"/>
      <c r="BC18" s="253"/>
      <c r="BD18" s="253"/>
      <c r="BE18" s="253"/>
      <c r="BF18" s="253"/>
      <c r="BG18" s="255">
        <f>600-600</f>
        <v>0</v>
      </c>
      <c r="BH18" s="253"/>
      <c r="BI18" s="253"/>
      <c r="BJ18" s="253"/>
      <c r="BK18" s="253"/>
      <c r="BL18" s="253"/>
      <c r="BM18" s="253"/>
      <c r="BN18" s="253"/>
      <c r="BO18" s="253"/>
      <c r="BP18" s="253"/>
      <c r="BQ18" s="253"/>
      <c r="BR18" s="253"/>
      <c r="BS18" s="253"/>
      <c r="BT18" s="253"/>
      <c r="BU18" s="253"/>
      <c r="BV18" s="253"/>
      <c r="BW18" s="253"/>
      <c r="BX18" s="253"/>
      <c r="BY18" s="253"/>
      <c r="BZ18" s="253"/>
      <c r="CA18" s="253"/>
      <c r="CB18" s="253"/>
      <c r="CC18" s="253"/>
      <c r="CD18" s="253"/>
      <c r="CE18" s="253"/>
      <c r="CF18" s="253"/>
      <c r="CG18" s="253"/>
      <c r="CH18" s="253"/>
      <c r="CI18" s="253"/>
      <c r="CJ18" s="253"/>
      <c r="CK18" s="253"/>
      <c r="CL18" s="253"/>
      <c r="CM18" s="253"/>
      <c r="CN18" s="253"/>
      <c r="CO18" s="253"/>
      <c r="CP18" s="253"/>
      <c r="CQ18" s="253"/>
      <c r="CR18" s="253"/>
      <c r="CS18" s="253"/>
      <c r="CT18" s="253"/>
      <c r="CU18" s="253"/>
      <c r="CV18" s="253"/>
      <c r="CW18" s="253"/>
      <c r="CX18" s="253"/>
      <c r="CY18" s="253"/>
      <c r="CZ18" s="253"/>
      <c r="DA18" s="253"/>
      <c r="DB18" s="253"/>
      <c r="DC18" s="253"/>
      <c r="DD18" s="253"/>
      <c r="DE18" s="253"/>
      <c r="DF18" s="253"/>
      <c r="DG18" s="253"/>
      <c r="DH18" s="253"/>
      <c r="DI18" s="253"/>
      <c r="DJ18" s="253"/>
      <c r="DK18" s="253"/>
      <c r="DL18" s="253"/>
      <c r="DM18" s="253"/>
      <c r="DN18" s="253"/>
      <c r="DO18" s="253"/>
      <c r="DP18" s="253"/>
      <c r="DQ18" s="253"/>
      <c r="DR18" s="253"/>
      <c r="DS18" s="253"/>
      <c r="DT18" s="255">
        <f>200-200</f>
        <v>0</v>
      </c>
      <c r="DU18" s="255">
        <f>200-200</f>
        <v>0</v>
      </c>
      <c r="DV18" s="253"/>
      <c r="DW18" s="253"/>
      <c r="DX18" s="253"/>
      <c r="DY18" s="253"/>
      <c r="DZ18" s="253"/>
      <c r="EA18" s="253"/>
      <c r="EB18" s="253"/>
      <c r="EC18" s="253"/>
      <c r="ED18" s="253"/>
      <c r="EE18" s="253"/>
      <c r="EF18" s="253"/>
      <c r="EG18" s="253"/>
      <c r="EH18" s="253"/>
      <c r="EI18" s="253"/>
      <c r="EJ18" s="253"/>
      <c r="EK18" s="253"/>
      <c r="EL18" s="253"/>
      <c r="EM18" s="253"/>
      <c r="EN18" s="253"/>
      <c r="EO18" s="253"/>
      <c r="EP18" s="253"/>
      <c r="EQ18" s="253"/>
      <c r="ER18" s="253"/>
      <c r="ES18" s="253"/>
      <c r="ET18" s="253"/>
      <c r="EU18" s="253"/>
      <c r="EV18" s="253"/>
      <c r="EW18" s="253"/>
      <c r="EX18" s="253"/>
      <c r="EY18" s="253"/>
      <c r="EZ18" s="253"/>
      <c r="FA18" s="253"/>
      <c r="FB18" s="253"/>
      <c r="FC18" s="253"/>
      <c r="FD18" s="253"/>
      <c r="FE18" s="253"/>
      <c r="FF18" s="253"/>
      <c r="FG18" s="256"/>
      <c r="FH18" s="257" t="s">
        <v>892</v>
      </c>
      <c r="FI18" s="258" t="s">
        <v>389</v>
      </c>
      <c r="FJ18" s="258"/>
      <c r="FK18" s="258" t="s">
        <v>402</v>
      </c>
      <c r="FL18" s="259">
        <f t="shared" si="0"/>
        <v>10</v>
      </c>
      <c r="FM18" s="260" t="s">
        <v>403</v>
      </c>
      <c r="FN18" s="260"/>
    </row>
    <row r="19" spans="1:170" s="276" customFormat="1" ht="11.4" hidden="1">
      <c r="A19" s="251" t="s">
        <v>393</v>
      </c>
      <c r="B19" s="251" t="s">
        <v>385</v>
      </c>
      <c r="C19" s="251" t="s">
        <v>394</v>
      </c>
      <c r="D19" s="251" t="s">
        <v>1</v>
      </c>
      <c r="E19" s="252" t="s">
        <v>401</v>
      </c>
      <c r="F19" s="251" t="s">
        <v>388</v>
      </c>
      <c r="G19" s="251"/>
      <c r="H19" s="253"/>
      <c r="I19" s="253"/>
      <c r="J19" s="253"/>
      <c r="K19" s="253"/>
      <c r="L19" s="255">
        <f>200-200</f>
        <v>0</v>
      </c>
      <c r="M19" s="255">
        <f>40-40</f>
        <v>0</v>
      </c>
      <c r="N19" s="253"/>
      <c r="O19" s="253"/>
      <c r="P19" s="254">
        <f>80-80+10</f>
        <v>10</v>
      </c>
      <c r="Q19" s="255">
        <f>40-40</f>
        <v>0</v>
      </c>
      <c r="R19" s="253"/>
      <c r="S19" s="253"/>
      <c r="T19" s="255">
        <f>600-600</f>
        <v>0</v>
      </c>
      <c r="U19" s="253"/>
      <c r="V19" s="255">
        <f>600-600</f>
        <v>0</v>
      </c>
      <c r="W19" s="255">
        <f>600-600</f>
        <v>0</v>
      </c>
      <c r="X19" s="253"/>
      <c r="Y19" s="253"/>
      <c r="Z19" s="254">
        <f>600-600+8</f>
        <v>8</v>
      </c>
      <c r="AA19" s="253"/>
      <c r="AB19" s="255">
        <f t="shared" ref="AB19:AH19" si="1">600-600</f>
        <v>0</v>
      </c>
      <c r="AC19" s="255">
        <f t="shared" si="1"/>
        <v>0</v>
      </c>
      <c r="AD19" s="255">
        <f t="shared" si="1"/>
        <v>0</v>
      </c>
      <c r="AE19" s="254">
        <f>600-600+10</f>
        <v>10</v>
      </c>
      <c r="AF19" s="255">
        <f t="shared" si="1"/>
        <v>0</v>
      </c>
      <c r="AG19" s="255">
        <f t="shared" si="1"/>
        <v>0</v>
      </c>
      <c r="AH19" s="255">
        <f t="shared" si="1"/>
        <v>0</v>
      </c>
      <c r="AI19" s="253"/>
      <c r="AJ19" s="253"/>
      <c r="AK19" s="255">
        <f>600-600</f>
        <v>0</v>
      </c>
      <c r="AL19" s="253"/>
      <c r="AM19" s="253"/>
      <c r="AN19" s="253"/>
      <c r="AO19" s="255">
        <f>600-600</f>
        <v>0</v>
      </c>
      <c r="AP19" s="253"/>
      <c r="AQ19" s="253"/>
      <c r="AR19" s="253"/>
      <c r="AS19" s="253"/>
      <c r="AT19" s="253"/>
      <c r="AU19" s="253"/>
      <c r="AV19" s="253"/>
      <c r="AW19" s="255">
        <f>600-600</f>
        <v>0</v>
      </c>
      <c r="AX19" s="253"/>
      <c r="AY19" s="253"/>
      <c r="AZ19" s="253"/>
      <c r="BA19" s="253"/>
      <c r="BB19" s="253"/>
      <c r="BC19" s="255">
        <f>600-600</f>
        <v>0</v>
      </c>
      <c r="BD19" s="253"/>
      <c r="BE19" s="253"/>
      <c r="BF19" s="253"/>
      <c r="BG19" s="253"/>
      <c r="BH19" s="255">
        <f>600-600</f>
        <v>0</v>
      </c>
      <c r="BI19" s="255">
        <f>600-600</f>
        <v>0</v>
      </c>
      <c r="BJ19" s="253"/>
      <c r="BK19" s="253"/>
      <c r="BL19" s="253"/>
      <c r="BM19" s="253"/>
      <c r="BN19" s="253"/>
      <c r="BO19" s="253"/>
      <c r="BP19" s="253"/>
      <c r="BQ19" s="253"/>
      <c r="BR19" s="253"/>
      <c r="BS19" s="253"/>
      <c r="BT19" s="253"/>
      <c r="BU19" s="253"/>
      <c r="BV19" s="253"/>
      <c r="BW19" s="253"/>
      <c r="BX19" s="253"/>
      <c r="BY19" s="253"/>
      <c r="BZ19" s="253"/>
      <c r="CA19" s="253"/>
      <c r="CB19" s="253"/>
      <c r="CC19" s="253"/>
      <c r="CD19" s="253"/>
      <c r="CE19" s="253"/>
      <c r="CF19" s="253"/>
      <c r="CG19" s="253"/>
      <c r="CH19" s="253"/>
      <c r="CI19" s="253"/>
      <c r="CJ19" s="253"/>
      <c r="CK19" s="253"/>
      <c r="CL19" s="253"/>
      <c r="CM19" s="253"/>
      <c r="CN19" s="253"/>
      <c r="CO19" s="253"/>
      <c r="CP19" s="253"/>
      <c r="CQ19" s="253"/>
      <c r="CR19" s="253"/>
      <c r="CS19" s="253"/>
      <c r="CT19" s="253"/>
      <c r="CU19" s="253"/>
      <c r="CV19" s="253"/>
      <c r="CW19" s="253"/>
      <c r="CX19" s="253"/>
      <c r="CY19" s="253"/>
      <c r="CZ19" s="253"/>
      <c r="DA19" s="253"/>
      <c r="DB19" s="253"/>
      <c r="DC19" s="253"/>
      <c r="DD19" s="253"/>
      <c r="DE19" s="253"/>
      <c r="DF19" s="253"/>
      <c r="DG19" s="253"/>
      <c r="DH19" s="253"/>
      <c r="DI19" s="253"/>
      <c r="DJ19" s="253"/>
      <c r="DK19" s="253"/>
      <c r="DL19" s="253"/>
      <c r="DM19" s="253"/>
      <c r="DN19" s="253"/>
      <c r="DO19" s="253"/>
      <c r="DP19" s="253"/>
      <c r="DQ19" s="253"/>
      <c r="DR19" s="253"/>
      <c r="DS19" s="253"/>
      <c r="DT19" s="253"/>
      <c r="DU19" s="253"/>
      <c r="DV19" s="253"/>
      <c r="DW19" s="253"/>
      <c r="DX19" s="253"/>
      <c r="DY19" s="253"/>
      <c r="DZ19" s="253"/>
      <c r="EA19" s="253"/>
      <c r="EB19" s="255">
        <f t="shared" ref="EB19:EI19" si="2">100-100</f>
        <v>0</v>
      </c>
      <c r="EC19" s="255">
        <f t="shared" si="2"/>
        <v>0</v>
      </c>
      <c r="ED19" s="255">
        <f t="shared" si="2"/>
        <v>0</v>
      </c>
      <c r="EE19" s="255">
        <f t="shared" si="2"/>
        <v>0</v>
      </c>
      <c r="EF19" s="255">
        <f t="shared" si="2"/>
        <v>0</v>
      </c>
      <c r="EG19" s="255">
        <f t="shared" si="2"/>
        <v>0</v>
      </c>
      <c r="EH19" s="255">
        <f t="shared" si="2"/>
        <v>0</v>
      </c>
      <c r="EI19" s="255">
        <f t="shared" si="2"/>
        <v>0</v>
      </c>
      <c r="EJ19" s="253"/>
      <c r="EK19" s="253"/>
      <c r="EL19" s="253"/>
      <c r="EM19" s="253"/>
      <c r="EN19" s="253"/>
      <c r="EO19" s="255">
        <f>50-50</f>
        <v>0</v>
      </c>
      <c r="EP19" s="255">
        <f>50-50</f>
        <v>0</v>
      </c>
      <c r="EQ19" s="255">
        <f>50-50</f>
        <v>0</v>
      </c>
      <c r="ER19" s="253"/>
      <c r="ES19" s="255">
        <f>50-50</f>
        <v>0</v>
      </c>
      <c r="ET19" s="255">
        <f>50-50</f>
        <v>0</v>
      </c>
      <c r="EU19" s="255">
        <f>50-50</f>
        <v>0</v>
      </c>
      <c r="EV19" s="253"/>
      <c r="EW19" s="255">
        <f>50-50</f>
        <v>0</v>
      </c>
      <c r="EX19" s="255">
        <f>50-50</f>
        <v>0</v>
      </c>
      <c r="EY19" s="253"/>
      <c r="EZ19" s="253"/>
      <c r="FA19" s="255">
        <f>50-50</f>
        <v>0</v>
      </c>
      <c r="FB19" s="253"/>
      <c r="FC19" s="253"/>
      <c r="FD19" s="253"/>
      <c r="FE19" s="253"/>
      <c r="FF19" s="253"/>
      <c r="FG19" s="256"/>
      <c r="FH19" s="257" t="s">
        <v>892</v>
      </c>
      <c r="FI19" s="258" t="s">
        <v>389</v>
      </c>
      <c r="FJ19" s="258"/>
      <c r="FK19" s="258" t="s">
        <v>402</v>
      </c>
      <c r="FL19" s="259">
        <f t="shared" si="0"/>
        <v>28</v>
      </c>
      <c r="FM19" s="260" t="s">
        <v>403</v>
      </c>
      <c r="FN19" s="260"/>
    </row>
    <row r="20" spans="1:170" s="276" customFormat="1" ht="11.4" hidden="1">
      <c r="A20" s="251" t="s">
        <v>393</v>
      </c>
      <c r="B20" s="251" t="s">
        <v>385</v>
      </c>
      <c r="C20" s="251" t="s">
        <v>394</v>
      </c>
      <c r="D20" s="251" t="s">
        <v>293</v>
      </c>
      <c r="E20" s="252" t="s">
        <v>401</v>
      </c>
      <c r="F20" s="251" t="s">
        <v>388</v>
      </c>
      <c r="G20" s="251"/>
      <c r="H20" s="253"/>
      <c r="I20" s="253"/>
      <c r="J20" s="255">
        <f>200-200</f>
        <v>0</v>
      </c>
      <c r="K20" s="253"/>
      <c r="L20" s="253"/>
      <c r="M20" s="253"/>
      <c r="N20" s="253"/>
      <c r="O20" s="253"/>
      <c r="P20" s="253"/>
      <c r="Q20" s="253"/>
      <c r="R20" s="253"/>
      <c r="S20" s="253"/>
      <c r="T20" s="253"/>
      <c r="U20" s="253"/>
      <c r="V20" s="253"/>
      <c r="W20" s="253"/>
      <c r="X20" s="253"/>
      <c r="Y20" s="253"/>
      <c r="Z20" s="253"/>
      <c r="AA20" s="253"/>
      <c r="AB20" s="253"/>
      <c r="AC20" s="253"/>
      <c r="AD20" s="253"/>
      <c r="AE20" s="253"/>
      <c r="AF20" s="253"/>
      <c r="AG20" s="253"/>
      <c r="AH20" s="253"/>
      <c r="AI20" s="253"/>
      <c r="AJ20" s="253"/>
      <c r="AK20" s="253"/>
      <c r="AL20" s="253"/>
      <c r="AM20" s="253"/>
      <c r="AN20" s="253"/>
      <c r="AO20" s="253"/>
      <c r="AP20" s="253"/>
      <c r="AQ20" s="253"/>
      <c r="AR20" s="253"/>
      <c r="AS20" s="253"/>
      <c r="AT20" s="253"/>
      <c r="AU20" s="253"/>
      <c r="AV20" s="253"/>
      <c r="AW20" s="253"/>
      <c r="AX20" s="253"/>
      <c r="AY20" s="253"/>
      <c r="AZ20" s="253"/>
      <c r="BA20" s="253"/>
      <c r="BB20" s="253"/>
      <c r="BC20" s="253"/>
      <c r="BD20" s="253"/>
      <c r="BE20" s="253"/>
      <c r="BF20" s="253"/>
      <c r="BG20" s="253"/>
      <c r="BH20" s="253"/>
      <c r="BI20" s="253"/>
      <c r="BJ20" s="253"/>
      <c r="BK20" s="253"/>
      <c r="BL20" s="253"/>
      <c r="BM20" s="253"/>
      <c r="BN20" s="253"/>
      <c r="BO20" s="253"/>
      <c r="BP20" s="253"/>
      <c r="BQ20" s="253"/>
      <c r="BR20" s="253"/>
      <c r="BS20" s="253"/>
      <c r="BT20" s="253"/>
      <c r="BU20" s="253"/>
      <c r="BV20" s="253"/>
      <c r="BW20" s="253"/>
      <c r="BX20" s="253"/>
      <c r="BY20" s="253"/>
      <c r="BZ20" s="253"/>
      <c r="CA20" s="253"/>
      <c r="CB20" s="253"/>
      <c r="CC20" s="253"/>
      <c r="CD20" s="253"/>
      <c r="CE20" s="253"/>
      <c r="CF20" s="253"/>
      <c r="CG20" s="253"/>
      <c r="CH20" s="253"/>
      <c r="CI20" s="253"/>
      <c r="CJ20" s="253"/>
      <c r="CK20" s="253"/>
      <c r="CL20" s="253"/>
      <c r="CM20" s="253"/>
      <c r="CN20" s="253"/>
      <c r="CO20" s="253"/>
      <c r="CP20" s="253"/>
      <c r="CQ20" s="253"/>
      <c r="CR20" s="253"/>
      <c r="CS20" s="253"/>
      <c r="CT20" s="253"/>
      <c r="CU20" s="253"/>
      <c r="CV20" s="253"/>
      <c r="CW20" s="253"/>
      <c r="CX20" s="253"/>
      <c r="CY20" s="253"/>
      <c r="CZ20" s="253"/>
      <c r="DA20" s="253"/>
      <c r="DB20" s="253"/>
      <c r="DC20" s="253"/>
      <c r="DD20" s="253"/>
      <c r="DE20" s="253"/>
      <c r="DF20" s="253"/>
      <c r="DG20" s="253"/>
      <c r="DH20" s="253"/>
      <c r="DI20" s="253"/>
      <c r="DJ20" s="253"/>
      <c r="DK20" s="253"/>
      <c r="DL20" s="253"/>
      <c r="DM20" s="253"/>
      <c r="DN20" s="253"/>
      <c r="DO20" s="253"/>
      <c r="DP20" s="253"/>
      <c r="DQ20" s="253"/>
      <c r="DR20" s="253"/>
      <c r="DS20" s="253"/>
      <c r="DT20" s="253"/>
      <c r="DU20" s="253"/>
      <c r="DV20" s="253"/>
      <c r="DW20" s="253"/>
      <c r="DX20" s="253"/>
      <c r="DY20" s="253"/>
      <c r="DZ20" s="253"/>
      <c r="EA20" s="253"/>
      <c r="EB20" s="253"/>
      <c r="EC20" s="253"/>
      <c r="ED20" s="253"/>
      <c r="EE20" s="253"/>
      <c r="EF20" s="253"/>
      <c r="EG20" s="253"/>
      <c r="EH20" s="253"/>
      <c r="EI20" s="253"/>
      <c r="EJ20" s="253"/>
      <c r="EK20" s="253"/>
      <c r="EL20" s="253"/>
      <c r="EM20" s="253"/>
      <c r="EN20" s="253"/>
      <c r="EO20" s="253"/>
      <c r="EP20" s="253"/>
      <c r="EQ20" s="253"/>
      <c r="ER20" s="255">
        <f>50-50</f>
        <v>0</v>
      </c>
      <c r="ES20" s="253"/>
      <c r="ET20" s="253"/>
      <c r="EU20" s="253"/>
      <c r="EV20" s="255">
        <f>50-50</f>
        <v>0</v>
      </c>
      <c r="EW20" s="253"/>
      <c r="EX20" s="253"/>
      <c r="EY20" s="253"/>
      <c r="EZ20" s="255">
        <f>50-50</f>
        <v>0</v>
      </c>
      <c r="FA20" s="253"/>
      <c r="FB20" s="253"/>
      <c r="FC20" s="253"/>
      <c r="FD20" s="253"/>
      <c r="FE20" s="253"/>
      <c r="FF20" s="253"/>
      <c r="FG20" s="256"/>
      <c r="FH20" s="257" t="s">
        <v>892</v>
      </c>
      <c r="FI20" s="258" t="s">
        <v>389</v>
      </c>
      <c r="FJ20" s="258"/>
      <c r="FK20" s="258" t="s">
        <v>402</v>
      </c>
      <c r="FL20" s="259">
        <f t="shared" si="0"/>
        <v>0</v>
      </c>
      <c r="FM20" s="260" t="s">
        <v>403</v>
      </c>
      <c r="FN20" s="260"/>
    </row>
    <row r="21" spans="1:170" s="276" customFormat="1" ht="11.4" hidden="1">
      <c r="A21" s="251" t="s">
        <v>393</v>
      </c>
      <c r="B21" s="251" t="s">
        <v>385</v>
      </c>
      <c r="C21" s="251" t="s">
        <v>394</v>
      </c>
      <c r="D21" s="251" t="s">
        <v>291</v>
      </c>
      <c r="E21" s="252" t="s">
        <v>821</v>
      </c>
      <c r="F21" s="251" t="s">
        <v>388</v>
      </c>
      <c r="G21" s="251"/>
      <c r="H21" s="253"/>
      <c r="I21" s="253"/>
      <c r="J21" s="253"/>
      <c r="K21" s="253"/>
      <c r="L21" s="253"/>
      <c r="M21" s="253"/>
      <c r="N21" s="253"/>
      <c r="O21" s="253"/>
      <c r="P21" s="253"/>
      <c r="Q21" s="253"/>
      <c r="R21" s="253"/>
      <c r="S21" s="253"/>
      <c r="T21" s="253"/>
      <c r="U21" s="253"/>
      <c r="V21" s="253"/>
      <c r="W21" s="253"/>
      <c r="X21" s="253"/>
      <c r="Y21" s="253"/>
      <c r="Z21" s="253"/>
      <c r="AA21" s="253"/>
      <c r="AB21" s="253"/>
      <c r="AC21" s="253"/>
      <c r="AD21" s="253"/>
      <c r="AE21" s="253"/>
      <c r="AF21" s="253"/>
      <c r="AG21" s="253"/>
      <c r="AH21" s="253"/>
      <c r="AI21" s="253"/>
      <c r="AJ21" s="255">
        <f>50-50</f>
        <v>0</v>
      </c>
      <c r="AK21" s="253"/>
      <c r="AL21" s="253"/>
      <c r="AM21" s="253"/>
      <c r="AN21" s="253"/>
      <c r="AO21" s="253"/>
      <c r="AP21" s="253"/>
      <c r="AQ21" s="253"/>
      <c r="AR21" s="253"/>
      <c r="AS21" s="253"/>
      <c r="AT21" s="253"/>
      <c r="AU21" s="253"/>
      <c r="AV21" s="253"/>
      <c r="AW21" s="253"/>
      <c r="AX21" s="253"/>
      <c r="AY21" s="253"/>
      <c r="AZ21" s="253"/>
      <c r="BA21" s="253"/>
      <c r="BB21" s="253"/>
      <c r="BC21" s="253"/>
      <c r="BD21" s="253"/>
      <c r="BE21" s="253"/>
      <c r="BF21" s="253"/>
      <c r="BG21" s="255">
        <f>50-50</f>
        <v>0</v>
      </c>
      <c r="BH21" s="253"/>
      <c r="BI21" s="253"/>
      <c r="BJ21" s="253"/>
      <c r="BK21" s="253"/>
      <c r="BL21" s="253"/>
      <c r="BM21" s="253"/>
      <c r="BN21" s="253"/>
      <c r="BO21" s="253"/>
      <c r="BP21" s="253"/>
      <c r="BQ21" s="253"/>
      <c r="BR21" s="253"/>
      <c r="BS21" s="253"/>
      <c r="BT21" s="253"/>
      <c r="BU21" s="253"/>
      <c r="BV21" s="253"/>
      <c r="BW21" s="253"/>
      <c r="BX21" s="253"/>
      <c r="BY21" s="253"/>
      <c r="BZ21" s="253"/>
      <c r="CA21" s="253"/>
      <c r="CB21" s="253"/>
      <c r="CC21" s="253"/>
      <c r="CD21" s="253"/>
      <c r="CE21" s="253"/>
      <c r="CF21" s="253"/>
      <c r="CG21" s="253"/>
      <c r="CH21" s="253"/>
      <c r="CI21" s="253"/>
      <c r="CJ21" s="253"/>
      <c r="CK21" s="253"/>
      <c r="CL21" s="253"/>
      <c r="CM21" s="253"/>
      <c r="CN21" s="253"/>
      <c r="CO21" s="253"/>
      <c r="CP21" s="253"/>
      <c r="CQ21" s="253"/>
      <c r="CR21" s="253"/>
      <c r="CS21" s="253"/>
      <c r="CT21" s="253"/>
      <c r="CU21" s="253"/>
      <c r="CV21" s="253"/>
      <c r="CW21" s="253"/>
      <c r="CX21" s="253"/>
      <c r="CY21" s="253"/>
      <c r="CZ21" s="253"/>
      <c r="DA21" s="253"/>
      <c r="DB21" s="253"/>
      <c r="DC21" s="253"/>
      <c r="DD21" s="253"/>
      <c r="DE21" s="253"/>
      <c r="DF21" s="253"/>
      <c r="DG21" s="253"/>
      <c r="DH21" s="253"/>
      <c r="DI21" s="253"/>
      <c r="DJ21" s="253"/>
      <c r="DK21" s="253"/>
      <c r="DL21" s="253"/>
      <c r="DM21" s="253"/>
      <c r="DN21" s="253"/>
      <c r="DO21" s="253"/>
      <c r="DP21" s="253"/>
      <c r="DQ21" s="253"/>
      <c r="DR21" s="253"/>
      <c r="DS21" s="253"/>
      <c r="DT21" s="253"/>
      <c r="DU21" s="253"/>
      <c r="DV21" s="253"/>
      <c r="DW21" s="253"/>
      <c r="DX21" s="253"/>
      <c r="DY21" s="253"/>
      <c r="DZ21" s="253"/>
      <c r="EA21" s="253"/>
      <c r="EB21" s="253"/>
      <c r="EC21" s="253"/>
      <c r="ED21" s="253"/>
      <c r="EE21" s="253"/>
      <c r="EF21" s="253"/>
      <c r="EG21" s="253"/>
      <c r="EH21" s="253"/>
      <c r="EI21" s="253"/>
      <c r="EJ21" s="253"/>
      <c r="EK21" s="253"/>
      <c r="EL21" s="253"/>
      <c r="EM21" s="253"/>
      <c r="EN21" s="253"/>
      <c r="EO21" s="253"/>
      <c r="EP21" s="253"/>
      <c r="EQ21" s="253"/>
      <c r="ER21" s="253"/>
      <c r="ES21" s="253"/>
      <c r="ET21" s="253"/>
      <c r="EU21" s="253"/>
      <c r="EV21" s="253"/>
      <c r="EW21" s="253"/>
      <c r="EX21" s="253"/>
      <c r="EY21" s="253"/>
      <c r="EZ21" s="253"/>
      <c r="FA21" s="253"/>
      <c r="FB21" s="253"/>
      <c r="FC21" s="253"/>
      <c r="FD21" s="253"/>
      <c r="FE21" s="253"/>
      <c r="FF21" s="253"/>
      <c r="FG21" s="256"/>
      <c r="FH21" s="257" t="s">
        <v>892</v>
      </c>
      <c r="FI21" s="258" t="s">
        <v>389</v>
      </c>
      <c r="FJ21" s="258"/>
      <c r="FK21" s="258" t="s">
        <v>822</v>
      </c>
      <c r="FL21" s="259">
        <f t="shared" si="0"/>
        <v>0</v>
      </c>
      <c r="FM21" s="260" t="s">
        <v>820</v>
      </c>
      <c r="FN21" s="260"/>
    </row>
    <row r="22" spans="1:170" s="276" customFormat="1" ht="11.4" hidden="1">
      <c r="A22" s="251" t="s">
        <v>393</v>
      </c>
      <c r="B22" s="251" t="s">
        <v>385</v>
      </c>
      <c r="C22" s="251" t="s">
        <v>394</v>
      </c>
      <c r="D22" s="251" t="s">
        <v>1</v>
      </c>
      <c r="E22" s="252" t="s">
        <v>821</v>
      </c>
      <c r="F22" s="251" t="s">
        <v>388</v>
      </c>
      <c r="G22" s="251"/>
      <c r="H22" s="253"/>
      <c r="I22" s="253"/>
      <c r="J22" s="253"/>
      <c r="K22" s="253"/>
      <c r="L22" s="253"/>
      <c r="M22" s="253"/>
      <c r="N22" s="253"/>
      <c r="O22" s="253"/>
      <c r="P22" s="253"/>
      <c r="Q22" s="253"/>
      <c r="R22" s="253"/>
      <c r="S22" s="253"/>
      <c r="T22" s="253"/>
      <c r="U22" s="253"/>
      <c r="V22" s="253"/>
      <c r="W22" s="253"/>
      <c r="X22" s="253"/>
      <c r="Y22" s="253"/>
      <c r="Z22" s="253"/>
      <c r="AA22" s="253"/>
      <c r="AB22" s="253"/>
      <c r="AC22" s="253"/>
      <c r="AD22" s="254">
        <f>200-200+10</f>
        <v>10</v>
      </c>
      <c r="AE22" s="253"/>
      <c r="AF22" s="253"/>
      <c r="AG22" s="255">
        <f>50-50</f>
        <v>0</v>
      </c>
      <c r="AH22" s="253"/>
      <c r="AI22" s="253"/>
      <c r="AJ22" s="253"/>
      <c r="AK22" s="253"/>
      <c r="AL22" s="253"/>
      <c r="AM22" s="253"/>
      <c r="AN22" s="253"/>
      <c r="AO22" s="255">
        <f>50-50</f>
        <v>0</v>
      </c>
      <c r="AP22" s="253"/>
      <c r="AQ22" s="253"/>
      <c r="AR22" s="253"/>
      <c r="AS22" s="253"/>
      <c r="AT22" s="253"/>
      <c r="AU22" s="253"/>
      <c r="AV22" s="253"/>
      <c r="AW22" s="255">
        <f>100-100</f>
        <v>0</v>
      </c>
      <c r="AX22" s="253"/>
      <c r="AY22" s="253"/>
      <c r="AZ22" s="253"/>
      <c r="BA22" s="253"/>
      <c r="BB22" s="253"/>
      <c r="BC22" s="253"/>
      <c r="BD22" s="253"/>
      <c r="BE22" s="253"/>
      <c r="BF22" s="253"/>
      <c r="BG22" s="253"/>
      <c r="BH22" s="253"/>
      <c r="BI22" s="255">
        <f>50-50</f>
        <v>0</v>
      </c>
      <c r="BJ22" s="253"/>
      <c r="BK22" s="253"/>
      <c r="BL22" s="253"/>
      <c r="BM22" s="253"/>
      <c r="BN22" s="253"/>
      <c r="BO22" s="253"/>
      <c r="BP22" s="253"/>
      <c r="BQ22" s="253"/>
      <c r="BR22" s="253"/>
      <c r="BS22" s="253"/>
      <c r="BT22" s="253"/>
      <c r="BU22" s="253"/>
      <c r="BV22" s="253"/>
      <c r="BW22" s="253"/>
      <c r="BX22" s="253"/>
      <c r="BY22" s="253"/>
      <c r="BZ22" s="253"/>
      <c r="CA22" s="253"/>
      <c r="CB22" s="253"/>
      <c r="CC22" s="253"/>
      <c r="CD22" s="253"/>
      <c r="CE22" s="253"/>
      <c r="CF22" s="253"/>
      <c r="CG22" s="253"/>
      <c r="CH22" s="253"/>
      <c r="CI22" s="253"/>
      <c r="CJ22" s="253"/>
      <c r="CK22" s="253"/>
      <c r="CL22" s="253"/>
      <c r="CM22" s="253"/>
      <c r="CN22" s="253"/>
      <c r="CO22" s="253"/>
      <c r="CP22" s="253"/>
      <c r="CQ22" s="253"/>
      <c r="CR22" s="253"/>
      <c r="CS22" s="253"/>
      <c r="CT22" s="253"/>
      <c r="CU22" s="253"/>
      <c r="CV22" s="253"/>
      <c r="CW22" s="253"/>
      <c r="CX22" s="253"/>
      <c r="CY22" s="253"/>
      <c r="CZ22" s="253"/>
      <c r="DA22" s="253"/>
      <c r="DB22" s="253"/>
      <c r="DC22" s="253"/>
      <c r="DD22" s="253"/>
      <c r="DE22" s="253"/>
      <c r="DF22" s="253"/>
      <c r="DG22" s="253"/>
      <c r="DH22" s="253"/>
      <c r="DI22" s="253"/>
      <c r="DJ22" s="253"/>
      <c r="DK22" s="253"/>
      <c r="DL22" s="253"/>
      <c r="DM22" s="253"/>
      <c r="DN22" s="253"/>
      <c r="DO22" s="253"/>
      <c r="DP22" s="253"/>
      <c r="DQ22" s="253"/>
      <c r="DR22" s="253"/>
      <c r="DS22" s="253"/>
      <c r="DT22" s="253"/>
      <c r="DU22" s="253"/>
      <c r="DV22" s="253"/>
      <c r="DW22" s="253"/>
      <c r="DX22" s="253"/>
      <c r="DY22" s="253"/>
      <c r="DZ22" s="253"/>
      <c r="EA22" s="253"/>
      <c r="EB22" s="253"/>
      <c r="EC22" s="253"/>
      <c r="ED22" s="253"/>
      <c r="EE22" s="253"/>
      <c r="EF22" s="253"/>
      <c r="EG22" s="253"/>
      <c r="EH22" s="253"/>
      <c r="EI22" s="253"/>
      <c r="EJ22" s="253"/>
      <c r="EK22" s="253"/>
      <c r="EL22" s="253"/>
      <c r="EM22" s="253"/>
      <c r="EN22" s="253"/>
      <c r="EO22" s="253"/>
      <c r="EP22" s="253"/>
      <c r="EQ22" s="253"/>
      <c r="ER22" s="253"/>
      <c r="ES22" s="253"/>
      <c r="ET22" s="253"/>
      <c r="EU22" s="253"/>
      <c r="EV22" s="253"/>
      <c r="EW22" s="253"/>
      <c r="EX22" s="253"/>
      <c r="EY22" s="253"/>
      <c r="EZ22" s="253"/>
      <c r="FA22" s="253"/>
      <c r="FB22" s="253"/>
      <c r="FC22" s="253"/>
      <c r="FD22" s="253"/>
      <c r="FE22" s="253"/>
      <c r="FF22" s="253"/>
      <c r="FG22" s="256"/>
      <c r="FH22" s="257" t="s">
        <v>892</v>
      </c>
      <c r="FI22" s="258" t="s">
        <v>389</v>
      </c>
      <c r="FJ22" s="258"/>
      <c r="FK22" s="258" t="s">
        <v>822</v>
      </c>
      <c r="FL22" s="259">
        <f t="shared" si="0"/>
        <v>10</v>
      </c>
      <c r="FM22" s="260" t="s">
        <v>820</v>
      </c>
      <c r="FN22" s="260"/>
    </row>
    <row r="23" spans="1:170" s="276" customFormat="1" ht="11.4" hidden="1">
      <c r="A23" s="251" t="s">
        <v>393</v>
      </c>
      <c r="B23" s="251" t="s">
        <v>385</v>
      </c>
      <c r="C23" s="251" t="s">
        <v>394</v>
      </c>
      <c r="D23" s="251" t="s">
        <v>291</v>
      </c>
      <c r="E23" s="252" t="s">
        <v>823</v>
      </c>
      <c r="F23" s="251" t="s">
        <v>388</v>
      </c>
      <c r="G23" s="251"/>
      <c r="H23" s="253"/>
      <c r="I23" s="253"/>
      <c r="J23" s="253"/>
      <c r="K23" s="253"/>
      <c r="L23" s="253"/>
      <c r="M23" s="253"/>
      <c r="N23" s="253"/>
      <c r="O23" s="253"/>
      <c r="P23" s="253"/>
      <c r="Q23" s="253"/>
      <c r="R23" s="253"/>
      <c r="S23" s="253"/>
      <c r="T23" s="253"/>
      <c r="U23" s="253"/>
      <c r="V23" s="253"/>
      <c r="W23" s="253"/>
      <c r="X23" s="253"/>
      <c r="Y23" s="253"/>
      <c r="Z23" s="253"/>
      <c r="AA23" s="253"/>
      <c r="AB23" s="253"/>
      <c r="AC23" s="253"/>
      <c r="AD23" s="253"/>
      <c r="AE23" s="253"/>
      <c r="AF23" s="253"/>
      <c r="AG23" s="253"/>
      <c r="AH23" s="253"/>
      <c r="AI23" s="253"/>
      <c r="AJ23" s="255">
        <f>100-100</f>
        <v>0</v>
      </c>
      <c r="AK23" s="253"/>
      <c r="AL23" s="253"/>
      <c r="AM23" s="253"/>
      <c r="AN23" s="253"/>
      <c r="AO23" s="253"/>
      <c r="AP23" s="253"/>
      <c r="AQ23" s="253"/>
      <c r="AR23" s="253"/>
      <c r="AS23" s="253"/>
      <c r="AT23" s="253"/>
      <c r="AU23" s="253"/>
      <c r="AV23" s="253"/>
      <c r="AW23" s="253"/>
      <c r="AX23" s="253"/>
      <c r="AY23" s="253"/>
      <c r="AZ23" s="253"/>
      <c r="BA23" s="253"/>
      <c r="BB23" s="253"/>
      <c r="BC23" s="253"/>
      <c r="BD23" s="253"/>
      <c r="BE23" s="253"/>
      <c r="BF23" s="253"/>
      <c r="BG23" s="255">
        <f>50-50</f>
        <v>0</v>
      </c>
      <c r="BH23" s="253"/>
      <c r="BI23" s="253"/>
      <c r="BJ23" s="253"/>
      <c r="BK23" s="253"/>
      <c r="BL23" s="253"/>
      <c r="BM23" s="253"/>
      <c r="BN23" s="253"/>
      <c r="BO23" s="253"/>
      <c r="BP23" s="253"/>
      <c r="BQ23" s="253"/>
      <c r="BR23" s="253"/>
      <c r="BS23" s="253"/>
      <c r="BT23" s="253"/>
      <c r="BU23" s="253"/>
      <c r="BV23" s="253"/>
      <c r="BW23" s="253"/>
      <c r="BX23" s="253"/>
      <c r="BY23" s="253"/>
      <c r="BZ23" s="253"/>
      <c r="CA23" s="253"/>
      <c r="CB23" s="253"/>
      <c r="CC23" s="253"/>
      <c r="CD23" s="253"/>
      <c r="CE23" s="253"/>
      <c r="CF23" s="253"/>
      <c r="CG23" s="253"/>
      <c r="CH23" s="253"/>
      <c r="CI23" s="253"/>
      <c r="CJ23" s="253"/>
      <c r="CK23" s="253"/>
      <c r="CL23" s="253"/>
      <c r="CM23" s="253"/>
      <c r="CN23" s="253"/>
      <c r="CO23" s="253"/>
      <c r="CP23" s="253"/>
      <c r="CQ23" s="253"/>
      <c r="CR23" s="253"/>
      <c r="CS23" s="253"/>
      <c r="CT23" s="253"/>
      <c r="CU23" s="253"/>
      <c r="CV23" s="253"/>
      <c r="CW23" s="253"/>
      <c r="CX23" s="253"/>
      <c r="CY23" s="253"/>
      <c r="CZ23" s="253"/>
      <c r="DA23" s="253"/>
      <c r="DB23" s="253"/>
      <c r="DC23" s="253"/>
      <c r="DD23" s="253"/>
      <c r="DE23" s="253"/>
      <c r="DF23" s="253"/>
      <c r="DG23" s="253"/>
      <c r="DH23" s="253"/>
      <c r="DI23" s="253"/>
      <c r="DJ23" s="253"/>
      <c r="DK23" s="253"/>
      <c r="DL23" s="253"/>
      <c r="DM23" s="253"/>
      <c r="DN23" s="253"/>
      <c r="DO23" s="253"/>
      <c r="DP23" s="253"/>
      <c r="DQ23" s="253"/>
      <c r="DR23" s="253"/>
      <c r="DS23" s="253"/>
      <c r="DT23" s="253"/>
      <c r="DU23" s="253"/>
      <c r="DV23" s="253"/>
      <c r="DW23" s="253"/>
      <c r="DX23" s="253"/>
      <c r="DY23" s="253"/>
      <c r="DZ23" s="253"/>
      <c r="EA23" s="253"/>
      <c r="EB23" s="253"/>
      <c r="EC23" s="253"/>
      <c r="ED23" s="253"/>
      <c r="EE23" s="253"/>
      <c r="EF23" s="253"/>
      <c r="EG23" s="253"/>
      <c r="EH23" s="253"/>
      <c r="EI23" s="253"/>
      <c r="EJ23" s="253"/>
      <c r="EK23" s="253"/>
      <c r="EL23" s="253"/>
      <c r="EM23" s="253"/>
      <c r="EN23" s="253"/>
      <c r="EO23" s="253"/>
      <c r="EP23" s="253"/>
      <c r="EQ23" s="253"/>
      <c r="ER23" s="253"/>
      <c r="ES23" s="253"/>
      <c r="ET23" s="253"/>
      <c r="EU23" s="253"/>
      <c r="EV23" s="253"/>
      <c r="EW23" s="253"/>
      <c r="EX23" s="253"/>
      <c r="EY23" s="253"/>
      <c r="EZ23" s="253"/>
      <c r="FA23" s="253"/>
      <c r="FB23" s="253"/>
      <c r="FC23" s="253"/>
      <c r="FD23" s="253"/>
      <c r="FE23" s="253"/>
      <c r="FF23" s="253"/>
      <c r="FG23" s="256"/>
      <c r="FH23" s="257" t="s">
        <v>892</v>
      </c>
      <c r="FI23" s="258" t="s">
        <v>389</v>
      </c>
      <c r="FJ23" s="258"/>
      <c r="FK23" s="258" t="s">
        <v>824</v>
      </c>
      <c r="FL23" s="259">
        <f t="shared" si="0"/>
        <v>0</v>
      </c>
      <c r="FM23" s="260" t="s">
        <v>820</v>
      </c>
      <c r="FN23" s="260"/>
    </row>
    <row r="24" spans="1:170" s="276" customFormat="1" ht="11.4" hidden="1">
      <c r="A24" s="251" t="s">
        <v>393</v>
      </c>
      <c r="B24" s="251" t="s">
        <v>385</v>
      </c>
      <c r="C24" s="251" t="s">
        <v>394</v>
      </c>
      <c r="D24" s="251" t="s">
        <v>1</v>
      </c>
      <c r="E24" s="252" t="s">
        <v>823</v>
      </c>
      <c r="F24" s="251" t="s">
        <v>388</v>
      </c>
      <c r="G24" s="251"/>
      <c r="H24" s="253"/>
      <c r="I24" s="253"/>
      <c r="J24" s="253"/>
      <c r="K24" s="253"/>
      <c r="L24" s="253"/>
      <c r="M24" s="253"/>
      <c r="N24" s="253"/>
      <c r="O24" s="253"/>
      <c r="P24" s="253"/>
      <c r="Q24" s="253"/>
      <c r="R24" s="253"/>
      <c r="S24" s="253"/>
      <c r="T24" s="253"/>
      <c r="U24" s="253"/>
      <c r="V24" s="253"/>
      <c r="W24" s="253"/>
      <c r="X24" s="253"/>
      <c r="Y24" s="253"/>
      <c r="Z24" s="253"/>
      <c r="AA24" s="253"/>
      <c r="AB24" s="253"/>
      <c r="AC24" s="253"/>
      <c r="AD24" s="255">
        <f>100-100</f>
        <v>0</v>
      </c>
      <c r="AE24" s="253"/>
      <c r="AF24" s="253"/>
      <c r="AG24" s="253"/>
      <c r="AH24" s="253"/>
      <c r="AI24" s="253"/>
      <c r="AJ24" s="253"/>
      <c r="AK24" s="253"/>
      <c r="AL24" s="253"/>
      <c r="AM24" s="253"/>
      <c r="AN24" s="253"/>
      <c r="AO24" s="255">
        <f>50-50</f>
        <v>0</v>
      </c>
      <c r="AP24" s="253"/>
      <c r="AQ24" s="253"/>
      <c r="AR24" s="253"/>
      <c r="AS24" s="253"/>
      <c r="AT24" s="253"/>
      <c r="AU24" s="253"/>
      <c r="AV24" s="253"/>
      <c r="AW24" s="255">
        <f>100-100</f>
        <v>0</v>
      </c>
      <c r="AX24" s="253"/>
      <c r="AY24" s="253"/>
      <c r="AZ24" s="253"/>
      <c r="BA24" s="253"/>
      <c r="BB24" s="253"/>
      <c r="BC24" s="253"/>
      <c r="BD24" s="253"/>
      <c r="BE24" s="253"/>
      <c r="BF24" s="253"/>
      <c r="BG24" s="253"/>
      <c r="BH24" s="253"/>
      <c r="BI24" s="255">
        <f>50-50</f>
        <v>0</v>
      </c>
      <c r="BJ24" s="253"/>
      <c r="BK24" s="253"/>
      <c r="BL24" s="253"/>
      <c r="BM24" s="253"/>
      <c r="BN24" s="253"/>
      <c r="BO24" s="253"/>
      <c r="BP24" s="253"/>
      <c r="BQ24" s="253"/>
      <c r="BR24" s="253"/>
      <c r="BS24" s="253"/>
      <c r="BT24" s="253"/>
      <c r="BU24" s="253"/>
      <c r="BV24" s="253"/>
      <c r="BW24" s="253"/>
      <c r="BX24" s="253"/>
      <c r="BY24" s="253"/>
      <c r="BZ24" s="253"/>
      <c r="CA24" s="253"/>
      <c r="CB24" s="253"/>
      <c r="CC24" s="253"/>
      <c r="CD24" s="253"/>
      <c r="CE24" s="253"/>
      <c r="CF24" s="253"/>
      <c r="CG24" s="253"/>
      <c r="CH24" s="253"/>
      <c r="CI24" s="253"/>
      <c r="CJ24" s="253"/>
      <c r="CK24" s="253"/>
      <c r="CL24" s="253"/>
      <c r="CM24" s="253"/>
      <c r="CN24" s="253"/>
      <c r="CO24" s="253"/>
      <c r="CP24" s="253"/>
      <c r="CQ24" s="253"/>
      <c r="CR24" s="253"/>
      <c r="CS24" s="253"/>
      <c r="CT24" s="253"/>
      <c r="CU24" s="253"/>
      <c r="CV24" s="253"/>
      <c r="CW24" s="253"/>
      <c r="CX24" s="253"/>
      <c r="CY24" s="253"/>
      <c r="CZ24" s="253"/>
      <c r="DA24" s="253"/>
      <c r="DB24" s="253"/>
      <c r="DC24" s="253"/>
      <c r="DD24" s="253"/>
      <c r="DE24" s="253"/>
      <c r="DF24" s="253"/>
      <c r="DG24" s="253"/>
      <c r="DH24" s="253"/>
      <c r="DI24" s="253"/>
      <c r="DJ24" s="253"/>
      <c r="DK24" s="253"/>
      <c r="DL24" s="253"/>
      <c r="DM24" s="253"/>
      <c r="DN24" s="253"/>
      <c r="DO24" s="253"/>
      <c r="DP24" s="253"/>
      <c r="DQ24" s="253"/>
      <c r="DR24" s="253"/>
      <c r="DS24" s="253"/>
      <c r="DT24" s="253"/>
      <c r="DU24" s="253"/>
      <c r="DV24" s="253"/>
      <c r="DW24" s="253"/>
      <c r="DX24" s="253"/>
      <c r="DY24" s="253"/>
      <c r="DZ24" s="253"/>
      <c r="EA24" s="253"/>
      <c r="EB24" s="253"/>
      <c r="EC24" s="253"/>
      <c r="ED24" s="253"/>
      <c r="EE24" s="253"/>
      <c r="EF24" s="253"/>
      <c r="EG24" s="253"/>
      <c r="EH24" s="253"/>
      <c r="EI24" s="253"/>
      <c r="EJ24" s="253"/>
      <c r="EK24" s="253"/>
      <c r="EL24" s="253"/>
      <c r="EM24" s="253"/>
      <c r="EN24" s="253"/>
      <c r="EO24" s="253"/>
      <c r="EP24" s="253"/>
      <c r="EQ24" s="253"/>
      <c r="ER24" s="253"/>
      <c r="ES24" s="253"/>
      <c r="ET24" s="253"/>
      <c r="EU24" s="253"/>
      <c r="EV24" s="253"/>
      <c r="EW24" s="253"/>
      <c r="EX24" s="253"/>
      <c r="EY24" s="253"/>
      <c r="EZ24" s="253"/>
      <c r="FA24" s="253"/>
      <c r="FB24" s="253"/>
      <c r="FC24" s="253"/>
      <c r="FD24" s="253"/>
      <c r="FE24" s="253"/>
      <c r="FF24" s="253"/>
      <c r="FG24" s="256"/>
      <c r="FH24" s="257" t="s">
        <v>892</v>
      </c>
      <c r="FI24" s="258" t="s">
        <v>389</v>
      </c>
      <c r="FJ24" s="258"/>
      <c r="FK24" s="258" t="s">
        <v>824</v>
      </c>
      <c r="FL24" s="259">
        <f t="shared" si="0"/>
        <v>0</v>
      </c>
      <c r="FM24" s="260" t="s">
        <v>820</v>
      </c>
      <c r="FN24" s="260"/>
    </row>
    <row r="25" spans="1:170" s="276" customFormat="1" ht="11.4" hidden="1">
      <c r="A25" s="251" t="s">
        <v>393</v>
      </c>
      <c r="B25" s="251" t="s">
        <v>385</v>
      </c>
      <c r="C25" s="251" t="s">
        <v>394</v>
      </c>
      <c r="D25" s="251" t="s">
        <v>291</v>
      </c>
      <c r="E25" s="252" t="s">
        <v>825</v>
      </c>
      <c r="F25" s="251" t="s">
        <v>388</v>
      </c>
      <c r="G25" s="251"/>
      <c r="H25" s="253"/>
      <c r="I25" s="253"/>
      <c r="J25" s="253"/>
      <c r="K25" s="253"/>
      <c r="L25" s="253"/>
      <c r="M25" s="253"/>
      <c r="N25" s="253"/>
      <c r="O25" s="253"/>
      <c r="P25" s="253"/>
      <c r="Q25" s="253"/>
      <c r="R25" s="253"/>
      <c r="S25" s="253"/>
      <c r="T25" s="253"/>
      <c r="U25" s="253"/>
      <c r="V25" s="253"/>
      <c r="W25" s="253"/>
      <c r="X25" s="253"/>
      <c r="Y25" s="253"/>
      <c r="Z25" s="253"/>
      <c r="AA25" s="253"/>
      <c r="AB25" s="253"/>
      <c r="AC25" s="253"/>
      <c r="AD25" s="253"/>
      <c r="AE25" s="253"/>
      <c r="AF25" s="253"/>
      <c r="AG25" s="253"/>
      <c r="AH25" s="253"/>
      <c r="AI25" s="253"/>
      <c r="AJ25" s="255">
        <f>10-10</f>
        <v>0</v>
      </c>
      <c r="AK25" s="253"/>
      <c r="AL25" s="253"/>
      <c r="AM25" s="253"/>
      <c r="AN25" s="253"/>
      <c r="AO25" s="253"/>
      <c r="AP25" s="253"/>
      <c r="AQ25" s="253"/>
      <c r="AR25" s="253"/>
      <c r="AS25" s="253"/>
      <c r="AT25" s="255">
        <f>40-40</f>
        <v>0</v>
      </c>
      <c r="AU25" s="253"/>
      <c r="AV25" s="253"/>
      <c r="AW25" s="253"/>
      <c r="AX25" s="253"/>
      <c r="AY25" s="253"/>
      <c r="AZ25" s="253"/>
      <c r="BA25" s="253"/>
      <c r="BB25" s="253"/>
      <c r="BC25" s="253"/>
      <c r="BD25" s="253"/>
      <c r="BE25" s="253"/>
      <c r="BF25" s="253"/>
      <c r="BG25" s="255">
        <f>40-40</f>
        <v>0</v>
      </c>
      <c r="BH25" s="253"/>
      <c r="BI25" s="253"/>
      <c r="BJ25" s="253"/>
      <c r="BK25" s="253"/>
      <c r="BL25" s="253"/>
      <c r="BM25" s="253"/>
      <c r="BN25" s="253"/>
      <c r="BO25" s="253"/>
      <c r="BP25" s="253"/>
      <c r="BQ25" s="253"/>
      <c r="BR25" s="253"/>
      <c r="BS25" s="253"/>
      <c r="BT25" s="253"/>
      <c r="BU25" s="253"/>
      <c r="BV25" s="253"/>
      <c r="BW25" s="253"/>
      <c r="BX25" s="253"/>
      <c r="BY25" s="253"/>
      <c r="BZ25" s="253"/>
      <c r="CA25" s="253"/>
      <c r="CB25" s="253"/>
      <c r="CC25" s="253"/>
      <c r="CD25" s="253"/>
      <c r="CE25" s="253"/>
      <c r="CF25" s="253"/>
      <c r="CG25" s="253"/>
      <c r="CH25" s="253"/>
      <c r="CI25" s="253"/>
      <c r="CJ25" s="253"/>
      <c r="CK25" s="253"/>
      <c r="CL25" s="253"/>
      <c r="CM25" s="253"/>
      <c r="CN25" s="253"/>
      <c r="CO25" s="253"/>
      <c r="CP25" s="253"/>
      <c r="CQ25" s="253"/>
      <c r="CR25" s="253"/>
      <c r="CS25" s="253"/>
      <c r="CT25" s="253"/>
      <c r="CU25" s="253"/>
      <c r="CV25" s="253"/>
      <c r="CW25" s="253"/>
      <c r="CX25" s="253"/>
      <c r="CY25" s="253"/>
      <c r="CZ25" s="253"/>
      <c r="DA25" s="253"/>
      <c r="DB25" s="253"/>
      <c r="DC25" s="253"/>
      <c r="DD25" s="253"/>
      <c r="DE25" s="253"/>
      <c r="DF25" s="253"/>
      <c r="DG25" s="253"/>
      <c r="DH25" s="253"/>
      <c r="DI25" s="253"/>
      <c r="DJ25" s="253"/>
      <c r="DK25" s="253"/>
      <c r="DL25" s="253"/>
      <c r="DM25" s="253"/>
      <c r="DN25" s="253"/>
      <c r="DO25" s="253"/>
      <c r="DP25" s="253"/>
      <c r="DQ25" s="253"/>
      <c r="DR25" s="253"/>
      <c r="DS25" s="253"/>
      <c r="DT25" s="253"/>
      <c r="DU25" s="253"/>
      <c r="DV25" s="253"/>
      <c r="DW25" s="253"/>
      <c r="DX25" s="253"/>
      <c r="DY25" s="253"/>
      <c r="DZ25" s="253"/>
      <c r="EA25" s="253"/>
      <c r="EB25" s="253"/>
      <c r="EC25" s="253"/>
      <c r="ED25" s="253"/>
      <c r="EE25" s="253"/>
      <c r="EF25" s="253"/>
      <c r="EG25" s="253"/>
      <c r="EH25" s="253"/>
      <c r="EI25" s="253"/>
      <c r="EJ25" s="253"/>
      <c r="EK25" s="253"/>
      <c r="EL25" s="253"/>
      <c r="EM25" s="253"/>
      <c r="EN25" s="253"/>
      <c r="EO25" s="253"/>
      <c r="EP25" s="253"/>
      <c r="EQ25" s="253"/>
      <c r="ER25" s="253"/>
      <c r="ES25" s="253"/>
      <c r="ET25" s="253"/>
      <c r="EU25" s="253"/>
      <c r="EV25" s="253"/>
      <c r="EW25" s="253"/>
      <c r="EX25" s="253"/>
      <c r="EY25" s="253"/>
      <c r="EZ25" s="253"/>
      <c r="FA25" s="253"/>
      <c r="FB25" s="253"/>
      <c r="FC25" s="253"/>
      <c r="FD25" s="253"/>
      <c r="FE25" s="253"/>
      <c r="FF25" s="253"/>
      <c r="FG25" s="256"/>
      <c r="FH25" s="257" t="s">
        <v>892</v>
      </c>
      <c r="FI25" s="258" t="s">
        <v>389</v>
      </c>
      <c r="FJ25" s="258"/>
      <c r="FK25" s="258" t="s">
        <v>826</v>
      </c>
      <c r="FL25" s="259">
        <f t="shared" si="0"/>
        <v>0</v>
      </c>
      <c r="FM25" s="260" t="s">
        <v>820</v>
      </c>
      <c r="FN25" s="260"/>
    </row>
    <row r="26" spans="1:170" s="276" customFormat="1" ht="11.4" hidden="1">
      <c r="A26" s="251" t="s">
        <v>393</v>
      </c>
      <c r="B26" s="251" t="s">
        <v>385</v>
      </c>
      <c r="C26" s="251" t="s">
        <v>394</v>
      </c>
      <c r="D26" s="251" t="s">
        <v>1</v>
      </c>
      <c r="E26" s="252" t="s">
        <v>825</v>
      </c>
      <c r="F26" s="251" t="s">
        <v>388</v>
      </c>
      <c r="G26" s="251"/>
      <c r="H26" s="253"/>
      <c r="I26" s="253"/>
      <c r="J26" s="253"/>
      <c r="K26" s="253"/>
      <c r="L26" s="253"/>
      <c r="M26" s="253"/>
      <c r="N26" s="253"/>
      <c r="O26" s="253"/>
      <c r="P26" s="253"/>
      <c r="Q26" s="253"/>
      <c r="R26" s="253"/>
      <c r="S26" s="253"/>
      <c r="T26" s="253"/>
      <c r="U26" s="253"/>
      <c r="V26" s="253"/>
      <c r="W26" s="253"/>
      <c r="X26" s="253"/>
      <c r="Y26" s="253"/>
      <c r="Z26" s="253"/>
      <c r="AA26" s="253"/>
      <c r="AB26" s="253"/>
      <c r="AC26" s="253"/>
      <c r="AD26" s="255">
        <f>10-10</f>
        <v>0</v>
      </c>
      <c r="AE26" s="253"/>
      <c r="AF26" s="253"/>
      <c r="AG26" s="255">
        <f>10-10</f>
        <v>0</v>
      </c>
      <c r="AH26" s="253"/>
      <c r="AI26" s="253"/>
      <c r="AJ26" s="253"/>
      <c r="AK26" s="253"/>
      <c r="AL26" s="253"/>
      <c r="AM26" s="253"/>
      <c r="AN26" s="253"/>
      <c r="AO26" s="253"/>
      <c r="AP26" s="253"/>
      <c r="AQ26" s="253"/>
      <c r="AR26" s="253"/>
      <c r="AS26" s="253"/>
      <c r="AT26" s="253"/>
      <c r="AU26" s="253"/>
      <c r="AV26" s="253"/>
      <c r="AW26" s="255">
        <f>40-40</f>
        <v>0</v>
      </c>
      <c r="AX26" s="253"/>
      <c r="AY26" s="253"/>
      <c r="AZ26" s="253"/>
      <c r="BA26" s="253"/>
      <c r="BB26" s="253"/>
      <c r="BC26" s="253"/>
      <c r="BD26" s="253"/>
      <c r="BE26" s="253"/>
      <c r="BF26" s="253"/>
      <c r="BG26" s="253"/>
      <c r="BH26" s="253"/>
      <c r="BI26" s="255">
        <f>40-40</f>
        <v>0</v>
      </c>
      <c r="BJ26" s="253"/>
      <c r="BK26" s="253"/>
      <c r="BL26" s="253"/>
      <c r="BM26" s="253"/>
      <c r="BN26" s="253"/>
      <c r="BO26" s="253"/>
      <c r="BP26" s="253"/>
      <c r="BQ26" s="253"/>
      <c r="BR26" s="253"/>
      <c r="BS26" s="253"/>
      <c r="BT26" s="253"/>
      <c r="BU26" s="253"/>
      <c r="BV26" s="253"/>
      <c r="BW26" s="253"/>
      <c r="BX26" s="253"/>
      <c r="BY26" s="253"/>
      <c r="BZ26" s="253"/>
      <c r="CA26" s="253"/>
      <c r="CB26" s="253"/>
      <c r="CC26" s="253"/>
      <c r="CD26" s="253"/>
      <c r="CE26" s="253"/>
      <c r="CF26" s="253"/>
      <c r="CG26" s="253"/>
      <c r="CH26" s="253"/>
      <c r="CI26" s="253"/>
      <c r="CJ26" s="253"/>
      <c r="CK26" s="253"/>
      <c r="CL26" s="253"/>
      <c r="CM26" s="253"/>
      <c r="CN26" s="253"/>
      <c r="CO26" s="253"/>
      <c r="CP26" s="253"/>
      <c r="CQ26" s="253"/>
      <c r="CR26" s="253"/>
      <c r="CS26" s="253"/>
      <c r="CT26" s="253"/>
      <c r="CU26" s="253"/>
      <c r="CV26" s="253"/>
      <c r="CW26" s="253"/>
      <c r="CX26" s="253"/>
      <c r="CY26" s="253"/>
      <c r="CZ26" s="253"/>
      <c r="DA26" s="253"/>
      <c r="DB26" s="253"/>
      <c r="DC26" s="253"/>
      <c r="DD26" s="253"/>
      <c r="DE26" s="253"/>
      <c r="DF26" s="253"/>
      <c r="DG26" s="253"/>
      <c r="DH26" s="253"/>
      <c r="DI26" s="253"/>
      <c r="DJ26" s="253"/>
      <c r="DK26" s="253"/>
      <c r="DL26" s="253"/>
      <c r="DM26" s="253"/>
      <c r="DN26" s="253"/>
      <c r="DO26" s="253"/>
      <c r="DP26" s="253"/>
      <c r="DQ26" s="253"/>
      <c r="DR26" s="253"/>
      <c r="DS26" s="253"/>
      <c r="DT26" s="253"/>
      <c r="DU26" s="253"/>
      <c r="DV26" s="253"/>
      <c r="DW26" s="253"/>
      <c r="DX26" s="253"/>
      <c r="DY26" s="253"/>
      <c r="DZ26" s="253"/>
      <c r="EA26" s="253"/>
      <c r="EB26" s="253"/>
      <c r="EC26" s="253"/>
      <c r="ED26" s="253"/>
      <c r="EE26" s="253"/>
      <c r="EF26" s="253"/>
      <c r="EG26" s="253"/>
      <c r="EH26" s="253"/>
      <c r="EI26" s="253"/>
      <c r="EJ26" s="253"/>
      <c r="EK26" s="253"/>
      <c r="EL26" s="253"/>
      <c r="EM26" s="253"/>
      <c r="EN26" s="253"/>
      <c r="EO26" s="253"/>
      <c r="EP26" s="253"/>
      <c r="EQ26" s="253"/>
      <c r="ER26" s="253"/>
      <c r="ES26" s="253"/>
      <c r="ET26" s="253"/>
      <c r="EU26" s="253"/>
      <c r="EV26" s="253"/>
      <c r="EW26" s="253"/>
      <c r="EX26" s="253"/>
      <c r="EY26" s="253"/>
      <c r="EZ26" s="253"/>
      <c r="FA26" s="253"/>
      <c r="FB26" s="253"/>
      <c r="FC26" s="253"/>
      <c r="FD26" s="253"/>
      <c r="FE26" s="253"/>
      <c r="FF26" s="253"/>
      <c r="FG26" s="256"/>
      <c r="FH26" s="257" t="s">
        <v>892</v>
      </c>
      <c r="FI26" s="258" t="s">
        <v>389</v>
      </c>
      <c r="FJ26" s="258"/>
      <c r="FK26" s="258" t="s">
        <v>826</v>
      </c>
      <c r="FL26" s="259">
        <f t="shared" si="0"/>
        <v>0</v>
      </c>
      <c r="FM26" s="260" t="s">
        <v>820</v>
      </c>
      <c r="FN26" s="260"/>
    </row>
    <row r="27" spans="1:170" s="276" customFormat="1" ht="11.4" hidden="1">
      <c r="A27" s="251" t="s">
        <v>393</v>
      </c>
      <c r="B27" s="251" t="s">
        <v>385</v>
      </c>
      <c r="C27" s="251" t="s">
        <v>394</v>
      </c>
      <c r="D27" s="251" t="s">
        <v>291</v>
      </c>
      <c r="E27" s="252" t="s">
        <v>827</v>
      </c>
      <c r="F27" s="251" t="s">
        <v>388</v>
      </c>
      <c r="G27" s="251"/>
      <c r="H27" s="253"/>
      <c r="I27" s="253"/>
      <c r="J27" s="253"/>
      <c r="K27" s="253"/>
      <c r="L27" s="253"/>
      <c r="M27" s="253"/>
      <c r="N27" s="253"/>
      <c r="O27" s="253"/>
      <c r="P27" s="253"/>
      <c r="Q27" s="253"/>
      <c r="R27" s="253"/>
      <c r="S27" s="253"/>
      <c r="T27" s="253"/>
      <c r="U27" s="253"/>
      <c r="V27" s="253"/>
      <c r="W27" s="253"/>
      <c r="X27" s="253"/>
      <c r="Y27" s="253"/>
      <c r="Z27" s="253"/>
      <c r="AA27" s="253"/>
      <c r="AB27" s="253"/>
      <c r="AC27" s="253"/>
      <c r="AD27" s="253"/>
      <c r="AE27" s="253"/>
      <c r="AF27" s="253"/>
      <c r="AG27" s="253"/>
      <c r="AH27" s="253"/>
      <c r="AI27" s="253"/>
      <c r="AJ27" s="255">
        <f>1000-1000</f>
        <v>0</v>
      </c>
      <c r="AK27" s="253"/>
      <c r="AL27" s="253"/>
      <c r="AM27" s="253"/>
      <c r="AN27" s="253"/>
      <c r="AO27" s="253"/>
      <c r="AP27" s="253"/>
      <c r="AQ27" s="253"/>
      <c r="AR27" s="253"/>
      <c r="AS27" s="255">
        <f>1000-1000</f>
        <v>0</v>
      </c>
      <c r="AT27" s="255">
        <f>1000-1000</f>
        <v>0</v>
      </c>
      <c r="AU27" s="253"/>
      <c r="AV27" s="253"/>
      <c r="AW27" s="253"/>
      <c r="AX27" s="253"/>
      <c r="AY27" s="253"/>
      <c r="AZ27" s="253"/>
      <c r="BA27" s="253"/>
      <c r="BB27" s="253"/>
      <c r="BC27" s="253"/>
      <c r="BD27" s="253"/>
      <c r="BE27" s="253"/>
      <c r="BF27" s="253"/>
      <c r="BG27" s="253"/>
      <c r="BH27" s="253"/>
      <c r="BI27" s="253"/>
      <c r="BJ27" s="253"/>
      <c r="BK27" s="253"/>
      <c r="BL27" s="253"/>
      <c r="BM27" s="253"/>
      <c r="BN27" s="253"/>
      <c r="BO27" s="253"/>
      <c r="BP27" s="253"/>
      <c r="BQ27" s="253"/>
      <c r="BR27" s="253"/>
      <c r="BS27" s="253"/>
      <c r="BT27" s="253"/>
      <c r="BU27" s="253"/>
      <c r="BV27" s="253"/>
      <c r="BW27" s="253"/>
      <c r="BX27" s="253"/>
      <c r="BY27" s="253"/>
      <c r="BZ27" s="253"/>
      <c r="CA27" s="253"/>
      <c r="CB27" s="253"/>
      <c r="CC27" s="253"/>
      <c r="CD27" s="253"/>
      <c r="CE27" s="253"/>
      <c r="CF27" s="253"/>
      <c r="CG27" s="253"/>
      <c r="CH27" s="253"/>
      <c r="CI27" s="253"/>
      <c r="CJ27" s="253"/>
      <c r="CK27" s="253"/>
      <c r="CL27" s="253"/>
      <c r="CM27" s="253"/>
      <c r="CN27" s="253"/>
      <c r="CO27" s="253"/>
      <c r="CP27" s="253"/>
      <c r="CQ27" s="253"/>
      <c r="CR27" s="253"/>
      <c r="CS27" s="253"/>
      <c r="CT27" s="253"/>
      <c r="CU27" s="253"/>
      <c r="CV27" s="253"/>
      <c r="CW27" s="253"/>
      <c r="CX27" s="253"/>
      <c r="CY27" s="253"/>
      <c r="CZ27" s="253"/>
      <c r="DA27" s="253"/>
      <c r="DB27" s="253"/>
      <c r="DC27" s="253"/>
      <c r="DD27" s="253"/>
      <c r="DE27" s="253"/>
      <c r="DF27" s="253"/>
      <c r="DG27" s="253"/>
      <c r="DH27" s="253"/>
      <c r="DI27" s="253"/>
      <c r="DJ27" s="253"/>
      <c r="DK27" s="253"/>
      <c r="DL27" s="253"/>
      <c r="DM27" s="253"/>
      <c r="DN27" s="253"/>
      <c r="DO27" s="253"/>
      <c r="DP27" s="253"/>
      <c r="DQ27" s="253"/>
      <c r="DR27" s="253"/>
      <c r="DS27" s="253"/>
      <c r="DT27" s="253"/>
      <c r="DU27" s="253"/>
      <c r="DV27" s="253"/>
      <c r="DW27" s="253"/>
      <c r="DX27" s="253"/>
      <c r="DY27" s="253"/>
      <c r="DZ27" s="253"/>
      <c r="EA27" s="253"/>
      <c r="EB27" s="253"/>
      <c r="EC27" s="253"/>
      <c r="ED27" s="253"/>
      <c r="EE27" s="253"/>
      <c r="EF27" s="253"/>
      <c r="EG27" s="253"/>
      <c r="EH27" s="253"/>
      <c r="EI27" s="253"/>
      <c r="EJ27" s="253"/>
      <c r="EK27" s="253"/>
      <c r="EL27" s="253"/>
      <c r="EM27" s="253"/>
      <c r="EN27" s="253"/>
      <c r="EO27" s="253"/>
      <c r="EP27" s="253"/>
      <c r="EQ27" s="253"/>
      <c r="ER27" s="253"/>
      <c r="ES27" s="253"/>
      <c r="ET27" s="253"/>
      <c r="EU27" s="253"/>
      <c r="EV27" s="253"/>
      <c r="EW27" s="253"/>
      <c r="EX27" s="253"/>
      <c r="EY27" s="253"/>
      <c r="EZ27" s="253"/>
      <c r="FA27" s="253"/>
      <c r="FB27" s="253"/>
      <c r="FC27" s="253"/>
      <c r="FD27" s="253"/>
      <c r="FE27" s="253"/>
      <c r="FF27" s="253"/>
      <c r="FG27" s="256"/>
      <c r="FH27" s="257" t="s">
        <v>892</v>
      </c>
      <c r="FI27" s="258" t="s">
        <v>389</v>
      </c>
      <c r="FJ27" s="258" t="s">
        <v>828</v>
      </c>
      <c r="FK27" s="258" t="s">
        <v>397</v>
      </c>
      <c r="FL27" s="259">
        <f t="shared" si="0"/>
        <v>0</v>
      </c>
      <c r="FM27" s="260" t="s">
        <v>398</v>
      </c>
      <c r="FN27" s="260"/>
    </row>
    <row r="28" spans="1:170" s="276" customFormat="1" ht="11.4" hidden="1">
      <c r="A28" s="251" t="s">
        <v>393</v>
      </c>
      <c r="B28" s="251" t="s">
        <v>385</v>
      </c>
      <c r="C28" s="251" t="s">
        <v>394</v>
      </c>
      <c r="D28" s="251" t="s">
        <v>1</v>
      </c>
      <c r="E28" s="252" t="s">
        <v>827</v>
      </c>
      <c r="F28" s="251" t="s">
        <v>388</v>
      </c>
      <c r="G28" s="251"/>
      <c r="H28" s="253"/>
      <c r="I28" s="253"/>
      <c r="J28" s="253"/>
      <c r="K28" s="253"/>
      <c r="L28" s="253"/>
      <c r="M28" s="253"/>
      <c r="N28" s="253"/>
      <c r="O28" s="253"/>
      <c r="P28" s="253"/>
      <c r="Q28" s="253"/>
      <c r="R28" s="253"/>
      <c r="S28" s="253"/>
      <c r="T28" s="253"/>
      <c r="U28" s="253"/>
      <c r="V28" s="253"/>
      <c r="W28" s="253"/>
      <c r="X28" s="253"/>
      <c r="Y28" s="253"/>
      <c r="Z28" s="253"/>
      <c r="AA28" s="253"/>
      <c r="AB28" s="253"/>
      <c r="AC28" s="255">
        <f>1000-1000</f>
        <v>0</v>
      </c>
      <c r="AD28" s="255">
        <f>1000-1000</f>
        <v>0</v>
      </c>
      <c r="AE28" s="253"/>
      <c r="AF28" s="253"/>
      <c r="AG28" s="253"/>
      <c r="AH28" s="253"/>
      <c r="AI28" s="253"/>
      <c r="AJ28" s="253"/>
      <c r="AK28" s="253"/>
      <c r="AL28" s="253"/>
      <c r="AM28" s="253"/>
      <c r="AN28" s="253"/>
      <c r="AO28" s="255">
        <f>1000-1000</f>
        <v>0</v>
      </c>
      <c r="AP28" s="253"/>
      <c r="AQ28" s="253"/>
      <c r="AR28" s="253"/>
      <c r="AS28" s="253"/>
      <c r="AT28" s="253"/>
      <c r="AU28" s="253"/>
      <c r="AV28" s="253"/>
      <c r="AW28" s="253"/>
      <c r="AX28" s="253"/>
      <c r="AY28" s="253"/>
      <c r="AZ28" s="253"/>
      <c r="BA28" s="253"/>
      <c r="BB28" s="253"/>
      <c r="BC28" s="253"/>
      <c r="BD28" s="253"/>
      <c r="BE28" s="253"/>
      <c r="BF28" s="253"/>
      <c r="BG28" s="253"/>
      <c r="BH28" s="253"/>
      <c r="BI28" s="253"/>
      <c r="BJ28" s="253"/>
      <c r="BK28" s="253"/>
      <c r="BL28" s="253"/>
      <c r="BM28" s="253"/>
      <c r="BN28" s="253"/>
      <c r="BO28" s="253"/>
      <c r="BP28" s="253"/>
      <c r="BQ28" s="253"/>
      <c r="BR28" s="253"/>
      <c r="BS28" s="253"/>
      <c r="BT28" s="253"/>
      <c r="BU28" s="253"/>
      <c r="BV28" s="253"/>
      <c r="BW28" s="253"/>
      <c r="BX28" s="253"/>
      <c r="BY28" s="253"/>
      <c r="BZ28" s="253"/>
      <c r="CA28" s="253"/>
      <c r="CB28" s="253"/>
      <c r="CC28" s="253"/>
      <c r="CD28" s="253"/>
      <c r="CE28" s="253"/>
      <c r="CF28" s="253"/>
      <c r="CG28" s="253"/>
      <c r="CH28" s="253"/>
      <c r="CI28" s="253"/>
      <c r="CJ28" s="253"/>
      <c r="CK28" s="253"/>
      <c r="CL28" s="253"/>
      <c r="CM28" s="253"/>
      <c r="CN28" s="253"/>
      <c r="CO28" s="253"/>
      <c r="CP28" s="253"/>
      <c r="CQ28" s="253"/>
      <c r="CR28" s="253"/>
      <c r="CS28" s="253"/>
      <c r="CT28" s="253"/>
      <c r="CU28" s="253"/>
      <c r="CV28" s="253"/>
      <c r="CW28" s="253"/>
      <c r="CX28" s="253"/>
      <c r="CY28" s="253"/>
      <c r="CZ28" s="253"/>
      <c r="DA28" s="253"/>
      <c r="DB28" s="253"/>
      <c r="DC28" s="253"/>
      <c r="DD28" s="253"/>
      <c r="DE28" s="253"/>
      <c r="DF28" s="253"/>
      <c r="DG28" s="253"/>
      <c r="DH28" s="253"/>
      <c r="DI28" s="253"/>
      <c r="DJ28" s="253"/>
      <c r="DK28" s="253"/>
      <c r="DL28" s="253"/>
      <c r="DM28" s="253"/>
      <c r="DN28" s="253"/>
      <c r="DO28" s="253"/>
      <c r="DP28" s="253"/>
      <c r="DQ28" s="253"/>
      <c r="DR28" s="253"/>
      <c r="DS28" s="253"/>
      <c r="DT28" s="253"/>
      <c r="DU28" s="253"/>
      <c r="DV28" s="253"/>
      <c r="DW28" s="253"/>
      <c r="DX28" s="253"/>
      <c r="DY28" s="253"/>
      <c r="DZ28" s="253"/>
      <c r="EA28" s="253"/>
      <c r="EB28" s="255">
        <f>500-500</f>
        <v>0</v>
      </c>
      <c r="EC28" s="253"/>
      <c r="ED28" s="255">
        <f>500-500</f>
        <v>0</v>
      </c>
      <c r="EE28" s="253"/>
      <c r="EF28" s="253"/>
      <c r="EG28" s="253"/>
      <c r="EH28" s="253"/>
      <c r="EI28" s="253"/>
      <c r="EJ28" s="253"/>
      <c r="EK28" s="253"/>
      <c r="EL28" s="253"/>
      <c r="EM28" s="253"/>
      <c r="EN28" s="253"/>
      <c r="EO28" s="253"/>
      <c r="EP28" s="253"/>
      <c r="EQ28" s="253"/>
      <c r="ER28" s="253"/>
      <c r="ES28" s="253"/>
      <c r="ET28" s="253"/>
      <c r="EU28" s="253"/>
      <c r="EV28" s="253"/>
      <c r="EW28" s="253"/>
      <c r="EX28" s="253"/>
      <c r="EY28" s="253"/>
      <c r="EZ28" s="253"/>
      <c r="FA28" s="253"/>
      <c r="FB28" s="253"/>
      <c r="FC28" s="253"/>
      <c r="FD28" s="254">
        <f>1000-1000+50</f>
        <v>50</v>
      </c>
      <c r="FE28" s="253"/>
      <c r="FF28" s="253"/>
      <c r="FG28" s="256"/>
      <c r="FH28" s="257" t="s">
        <v>892</v>
      </c>
      <c r="FI28" s="258" t="s">
        <v>389</v>
      </c>
      <c r="FJ28" s="258" t="s">
        <v>828</v>
      </c>
      <c r="FK28" s="258" t="s">
        <v>397</v>
      </c>
      <c r="FL28" s="259">
        <f t="shared" si="0"/>
        <v>50</v>
      </c>
      <c r="FM28" s="260" t="s">
        <v>398</v>
      </c>
      <c r="FN28" s="260"/>
    </row>
    <row r="29" spans="1:170" s="276" customFormat="1" ht="11.4" hidden="1">
      <c r="A29" s="251" t="s">
        <v>417</v>
      </c>
      <c r="B29" s="251" t="s">
        <v>385</v>
      </c>
      <c r="C29" s="251" t="s">
        <v>394</v>
      </c>
      <c r="D29" s="251" t="s">
        <v>291</v>
      </c>
      <c r="E29" s="252" t="s">
        <v>829</v>
      </c>
      <c r="F29" s="251" t="s">
        <v>388</v>
      </c>
      <c r="G29" s="251"/>
      <c r="H29" s="253"/>
      <c r="I29" s="253"/>
      <c r="J29" s="253"/>
      <c r="K29" s="253"/>
      <c r="L29" s="253"/>
      <c r="M29" s="253"/>
      <c r="N29" s="255">
        <f>200-200</f>
        <v>0</v>
      </c>
      <c r="O29" s="253"/>
      <c r="P29" s="253"/>
      <c r="Q29" s="253"/>
      <c r="R29" s="253"/>
      <c r="S29" s="253"/>
      <c r="T29" s="253"/>
      <c r="U29" s="253"/>
      <c r="V29" s="253"/>
      <c r="W29" s="253"/>
      <c r="X29" s="253"/>
      <c r="Y29" s="253"/>
      <c r="Z29" s="253"/>
      <c r="AA29" s="253"/>
      <c r="AB29" s="253"/>
      <c r="AC29" s="253"/>
      <c r="AD29" s="253"/>
      <c r="AE29" s="253"/>
      <c r="AF29" s="253"/>
      <c r="AG29" s="253"/>
      <c r="AH29" s="253"/>
      <c r="AI29" s="253"/>
      <c r="AJ29" s="255">
        <f>50-50</f>
        <v>0</v>
      </c>
      <c r="AK29" s="253"/>
      <c r="AL29" s="253"/>
      <c r="AM29" s="253"/>
      <c r="AN29" s="253"/>
      <c r="AO29" s="253"/>
      <c r="AP29" s="253"/>
      <c r="AQ29" s="253"/>
      <c r="AR29" s="253"/>
      <c r="AS29" s="253"/>
      <c r="AT29" s="253"/>
      <c r="AU29" s="253"/>
      <c r="AV29" s="253"/>
      <c r="AW29" s="253"/>
      <c r="AX29" s="253"/>
      <c r="AY29" s="253"/>
      <c r="AZ29" s="253"/>
      <c r="BA29" s="253"/>
      <c r="BB29" s="253"/>
      <c r="BC29" s="253"/>
      <c r="BD29" s="253"/>
      <c r="BE29" s="253"/>
      <c r="BF29" s="253"/>
      <c r="BG29" s="255">
        <f>200-200</f>
        <v>0</v>
      </c>
      <c r="BH29" s="253"/>
      <c r="BI29" s="253"/>
      <c r="BJ29" s="253"/>
      <c r="BK29" s="253"/>
      <c r="BL29" s="253"/>
      <c r="BM29" s="253"/>
      <c r="BN29" s="253"/>
      <c r="BO29" s="253"/>
      <c r="BP29" s="253"/>
      <c r="BQ29" s="253"/>
      <c r="BR29" s="253"/>
      <c r="BS29" s="253"/>
      <c r="BT29" s="253"/>
      <c r="BU29" s="253"/>
      <c r="BV29" s="253"/>
      <c r="BW29" s="253"/>
      <c r="BX29" s="253"/>
      <c r="BY29" s="253"/>
      <c r="BZ29" s="253"/>
      <c r="CA29" s="253"/>
      <c r="CB29" s="253"/>
      <c r="CC29" s="253"/>
      <c r="CD29" s="253"/>
      <c r="CE29" s="253"/>
      <c r="CF29" s="253"/>
      <c r="CG29" s="253"/>
      <c r="CH29" s="253"/>
      <c r="CI29" s="253"/>
      <c r="CJ29" s="253"/>
      <c r="CK29" s="253"/>
      <c r="CL29" s="253"/>
      <c r="CM29" s="253"/>
      <c r="CN29" s="253"/>
      <c r="CO29" s="253"/>
      <c r="CP29" s="253"/>
      <c r="CQ29" s="253"/>
      <c r="CR29" s="253"/>
      <c r="CS29" s="253"/>
      <c r="CT29" s="253"/>
      <c r="CU29" s="253"/>
      <c r="CV29" s="253"/>
      <c r="CW29" s="253"/>
      <c r="CX29" s="253"/>
      <c r="CY29" s="253"/>
      <c r="CZ29" s="253"/>
      <c r="DA29" s="253"/>
      <c r="DB29" s="253"/>
      <c r="DC29" s="253"/>
      <c r="DD29" s="253"/>
      <c r="DE29" s="253"/>
      <c r="DF29" s="253"/>
      <c r="DG29" s="253"/>
      <c r="DH29" s="253"/>
      <c r="DI29" s="253"/>
      <c r="DJ29" s="253"/>
      <c r="DK29" s="253"/>
      <c r="DL29" s="253"/>
      <c r="DM29" s="253"/>
      <c r="DN29" s="253"/>
      <c r="DO29" s="253"/>
      <c r="DP29" s="253"/>
      <c r="DQ29" s="253"/>
      <c r="DR29" s="253"/>
      <c r="DS29" s="253"/>
      <c r="DT29" s="253"/>
      <c r="DU29" s="253"/>
      <c r="DV29" s="253"/>
      <c r="DW29" s="253"/>
      <c r="DX29" s="253"/>
      <c r="DY29" s="253"/>
      <c r="DZ29" s="253"/>
      <c r="EA29" s="253"/>
      <c r="EB29" s="253"/>
      <c r="EC29" s="253"/>
      <c r="ED29" s="253"/>
      <c r="EE29" s="253"/>
      <c r="EF29" s="253"/>
      <c r="EG29" s="253"/>
      <c r="EH29" s="253"/>
      <c r="EI29" s="253"/>
      <c r="EJ29" s="253"/>
      <c r="EK29" s="253"/>
      <c r="EL29" s="253"/>
      <c r="EM29" s="253"/>
      <c r="EN29" s="253"/>
      <c r="EO29" s="253"/>
      <c r="EP29" s="253"/>
      <c r="EQ29" s="253"/>
      <c r="ER29" s="253"/>
      <c r="ES29" s="253"/>
      <c r="ET29" s="253"/>
      <c r="EU29" s="253"/>
      <c r="EV29" s="253"/>
      <c r="EW29" s="253"/>
      <c r="EX29" s="253"/>
      <c r="EY29" s="253"/>
      <c r="EZ29" s="253"/>
      <c r="FA29" s="253"/>
      <c r="FB29" s="253"/>
      <c r="FC29" s="253"/>
      <c r="FD29" s="253"/>
      <c r="FE29" s="253"/>
      <c r="FF29" s="253"/>
      <c r="FG29" s="256"/>
      <c r="FH29" s="257" t="s">
        <v>892</v>
      </c>
      <c r="FI29" s="258" t="s">
        <v>389</v>
      </c>
      <c r="FJ29" s="258"/>
      <c r="FK29" s="258" t="s">
        <v>824</v>
      </c>
      <c r="FL29" s="259">
        <f t="shared" si="0"/>
        <v>0</v>
      </c>
      <c r="FM29" s="260" t="s">
        <v>820</v>
      </c>
      <c r="FN29" s="260"/>
    </row>
    <row r="30" spans="1:170" s="276" customFormat="1" ht="11.4" hidden="1">
      <c r="A30" s="251" t="s">
        <v>417</v>
      </c>
      <c r="B30" s="251" t="s">
        <v>385</v>
      </c>
      <c r="C30" s="251" t="s">
        <v>394</v>
      </c>
      <c r="D30" s="251" t="s">
        <v>1</v>
      </c>
      <c r="E30" s="252" t="s">
        <v>829</v>
      </c>
      <c r="F30" s="251" t="s">
        <v>388</v>
      </c>
      <c r="G30" s="251"/>
      <c r="H30" s="253"/>
      <c r="I30" s="253"/>
      <c r="J30" s="253"/>
      <c r="K30" s="253"/>
      <c r="L30" s="253"/>
      <c r="M30" s="253"/>
      <c r="N30" s="253"/>
      <c r="O30" s="253"/>
      <c r="P30" s="254">
        <f>200-200+10</f>
        <v>10</v>
      </c>
      <c r="Q30" s="253"/>
      <c r="R30" s="253"/>
      <c r="S30" s="253"/>
      <c r="T30" s="253"/>
      <c r="U30" s="253"/>
      <c r="V30" s="253"/>
      <c r="W30" s="253"/>
      <c r="X30" s="253"/>
      <c r="Y30" s="253"/>
      <c r="Z30" s="253"/>
      <c r="AA30" s="253"/>
      <c r="AB30" s="253"/>
      <c r="AC30" s="253"/>
      <c r="AD30" s="255">
        <f>100-100</f>
        <v>0</v>
      </c>
      <c r="AE30" s="253"/>
      <c r="AF30" s="253"/>
      <c r="AG30" s="255">
        <f>100-100</f>
        <v>0</v>
      </c>
      <c r="AH30" s="253"/>
      <c r="AI30" s="253"/>
      <c r="AJ30" s="253"/>
      <c r="AK30" s="253"/>
      <c r="AL30" s="253"/>
      <c r="AM30" s="253"/>
      <c r="AN30" s="253"/>
      <c r="AO30" s="255">
        <f>100-100</f>
        <v>0</v>
      </c>
      <c r="AP30" s="253"/>
      <c r="AQ30" s="253"/>
      <c r="AR30" s="253"/>
      <c r="AS30" s="253"/>
      <c r="AT30" s="253"/>
      <c r="AU30" s="253"/>
      <c r="AV30" s="253"/>
      <c r="AW30" s="255">
        <f>150-150</f>
        <v>0</v>
      </c>
      <c r="AX30" s="253"/>
      <c r="AY30" s="253"/>
      <c r="AZ30" s="253"/>
      <c r="BA30" s="253"/>
      <c r="BB30" s="253"/>
      <c r="BC30" s="253"/>
      <c r="BD30" s="253"/>
      <c r="BE30" s="253"/>
      <c r="BF30" s="253"/>
      <c r="BG30" s="253"/>
      <c r="BH30" s="253"/>
      <c r="BI30" s="255">
        <f>50-50</f>
        <v>0</v>
      </c>
      <c r="BJ30" s="253"/>
      <c r="BK30" s="253"/>
      <c r="BL30" s="253"/>
      <c r="BM30" s="253"/>
      <c r="BN30" s="253"/>
      <c r="BO30" s="253"/>
      <c r="BP30" s="253"/>
      <c r="BQ30" s="253"/>
      <c r="BR30" s="253"/>
      <c r="BS30" s="253"/>
      <c r="BT30" s="253"/>
      <c r="BU30" s="253"/>
      <c r="BV30" s="253"/>
      <c r="BW30" s="253"/>
      <c r="BX30" s="253"/>
      <c r="BY30" s="253"/>
      <c r="BZ30" s="253"/>
      <c r="CA30" s="253"/>
      <c r="CB30" s="253"/>
      <c r="CC30" s="253"/>
      <c r="CD30" s="253"/>
      <c r="CE30" s="253"/>
      <c r="CF30" s="253"/>
      <c r="CG30" s="253"/>
      <c r="CH30" s="253"/>
      <c r="CI30" s="253"/>
      <c r="CJ30" s="253"/>
      <c r="CK30" s="253"/>
      <c r="CL30" s="253"/>
      <c r="CM30" s="253"/>
      <c r="CN30" s="253"/>
      <c r="CO30" s="253"/>
      <c r="CP30" s="253"/>
      <c r="CQ30" s="253"/>
      <c r="CR30" s="253"/>
      <c r="CS30" s="253"/>
      <c r="CT30" s="253"/>
      <c r="CU30" s="253"/>
      <c r="CV30" s="253"/>
      <c r="CW30" s="253"/>
      <c r="CX30" s="253"/>
      <c r="CY30" s="253"/>
      <c r="CZ30" s="253"/>
      <c r="DA30" s="253"/>
      <c r="DB30" s="253"/>
      <c r="DC30" s="253"/>
      <c r="DD30" s="253"/>
      <c r="DE30" s="253"/>
      <c r="DF30" s="253"/>
      <c r="DG30" s="253"/>
      <c r="DH30" s="253"/>
      <c r="DI30" s="253"/>
      <c r="DJ30" s="253"/>
      <c r="DK30" s="253"/>
      <c r="DL30" s="253"/>
      <c r="DM30" s="253"/>
      <c r="DN30" s="253"/>
      <c r="DO30" s="253"/>
      <c r="DP30" s="253"/>
      <c r="DQ30" s="253"/>
      <c r="DR30" s="253"/>
      <c r="DS30" s="253"/>
      <c r="DT30" s="253"/>
      <c r="DU30" s="253"/>
      <c r="DV30" s="253"/>
      <c r="DW30" s="253"/>
      <c r="DX30" s="253"/>
      <c r="DY30" s="253"/>
      <c r="DZ30" s="253"/>
      <c r="EA30" s="253"/>
      <c r="EB30" s="253"/>
      <c r="EC30" s="253"/>
      <c r="ED30" s="253"/>
      <c r="EE30" s="253"/>
      <c r="EF30" s="253"/>
      <c r="EG30" s="253"/>
      <c r="EH30" s="253"/>
      <c r="EI30" s="253"/>
      <c r="EJ30" s="253"/>
      <c r="EK30" s="253"/>
      <c r="EL30" s="253"/>
      <c r="EM30" s="253"/>
      <c r="EN30" s="253"/>
      <c r="EO30" s="253"/>
      <c r="EP30" s="253"/>
      <c r="EQ30" s="253"/>
      <c r="ER30" s="253"/>
      <c r="ES30" s="253"/>
      <c r="ET30" s="253"/>
      <c r="EU30" s="253"/>
      <c r="EV30" s="253"/>
      <c r="EW30" s="253"/>
      <c r="EX30" s="253"/>
      <c r="EY30" s="253"/>
      <c r="EZ30" s="253"/>
      <c r="FA30" s="253"/>
      <c r="FB30" s="253"/>
      <c r="FC30" s="253"/>
      <c r="FD30" s="253"/>
      <c r="FE30" s="253"/>
      <c r="FF30" s="253"/>
      <c r="FG30" s="256"/>
      <c r="FH30" s="257" t="s">
        <v>892</v>
      </c>
      <c r="FI30" s="258" t="s">
        <v>389</v>
      </c>
      <c r="FJ30" s="258"/>
      <c r="FK30" s="258" t="s">
        <v>824</v>
      </c>
      <c r="FL30" s="259">
        <f t="shared" si="0"/>
        <v>10</v>
      </c>
      <c r="FM30" s="260" t="s">
        <v>820</v>
      </c>
      <c r="FN30" s="260"/>
    </row>
    <row r="31" spans="1:170" s="276" customFormat="1" ht="11.4" hidden="1">
      <c r="A31" s="251" t="s">
        <v>385</v>
      </c>
      <c r="B31" s="251" t="s">
        <v>385</v>
      </c>
      <c r="C31" s="251" t="s">
        <v>394</v>
      </c>
      <c r="D31" s="251" t="s">
        <v>291</v>
      </c>
      <c r="E31" s="252" t="s">
        <v>404</v>
      </c>
      <c r="F31" s="251" t="s">
        <v>388</v>
      </c>
      <c r="G31" s="251"/>
      <c r="H31" s="253"/>
      <c r="I31" s="255">
        <f>200-200</f>
        <v>0</v>
      </c>
      <c r="J31" s="253"/>
      <c r="K31" s="255">
        <f>200-200</f>
        <v>0</v>
      </c>
      <c r="L31" s="253"/>
      <c r="M31" s="253"/>
      <c r="N31" s="255">
        <f>80-80</f>
        <v>0</v>
      </c>
      <c r="O31" s="253"/>
      <c r="P31" s="253"/>
      <c r="Q31" s="253"/>
      <c r="R31" s="255">
        <f>600-600</f>
        <v>0</v>
      </c>
      <c r="S31" s="253"/>
      <c r="T31" s="253"/>
      <c r="U31" s="255">
        <f>600-600</f>
        <v>0</v>
      </c>
      <c r="V31" s="253"/>
      <c r="W31" s="253"/>
      <c r="X31" s="253"/>
      <c r="Y31" s="253"/>
      <c r="Z31" s="253"/>
      <c r="AA31" s="253"/>
      <c r="AB31" s="253"/>
      <c r="AC31" s="253"/>
      <c r="AD31" s="253"/>
      <c r="AE31" s="253"/>
      <c r="AF31" s="253"/>
      <c r="AG31" s="254">
        <f>0+10</f>
        <v>10</v>
      </c>
      <c r="AH31" s="253"/>
      <c r="AI31" s="255">
        <f>600-600</f>
        <v>0</v>
      </c>
      <c r="AJ31" s="255">
        <f>600-600</f>
        <v>0</v>
      </c>
      <c r="AK31" s="253"/>
      <c r="AL31" s="253"/>
      <c r="AM31" s="253"/>
      <c r="AN31" s="253"/>
      <c r="AO31" s="253"/>
      <c r="AP31" s="253"/>
      <c r="AQ31" s="253"/>
      <c r="AR31" s="253"/>
      <c r="AS31" s="255">
        <f>600-600</f>
        <v>0</v>
      </c>
      <c r="AT31" s="255">
        <f>600-600</f>
        <v>0</v>
      </c>
      <c r="AU31" s="253"/>
      <c r="AV31" s="253"/>
      <c r="AW31" s="253"/>
      <c r="AX31" s="253"/>
      <c r="AY31" s="253"/>
      <c r="AZ31" s="253"/>
      <c r="BA31" s="253"/>
      <c r="BB31" s="253"/>
      <c r="BC31" s="253"/>
      <c r="BD31" s="253"/>
      <c r="BE31" s="253"/>
      <c r="BF31" s="253"/>
      <c r="BG31" s="255">
        <f>600-600</f>
        <v>0</v>
      </c>
      <c r="BH31" s="253"/>
      <c r="BI31" s="253"/>
      <c r="BJ31" s="253"/>
      <c r="BK31" s="253"/>
      <c r="BL31" s="253"/>
      <c r="BM31" s="253"/>
      <c r="BN31" s="253"/>
      <c r="BO31" s="253"/>
      <c r="BP31" s="253"/>
      <c r="BQ31" s="253"/>
      <c r="BR31" s="253"/>
      <c r="BS31" s="253"/>
      <c r="BT31" s="253"/>
      <c r="BU31" s="253"/>
      <c r="BV31" s="253"/>
      <c r="BW31" s="253"/>
      <c r="BX31" s="253"/>
      <c r="BY31" s="253"/>
      <c r="BZ31" s="253"/>
      <c r="CA31" s="253"/>
      <c r="CB31" s="253"/>
      <c r="CC31" s="253"/>
      <c r="CD31" s="253"/>
      <c r="CE31" s="253"/>
      <c r="CF31" s="253"/>
      <c r="CG31" s="253"/>
      <c r="CH31" s="253"/>
      <c r="CI31" s="253"/>
      <c r="CJ31" s="253"/>
      <c r="CK31" s="253"/>
      <c r="CL31" s="253"/>
      <c r="CM31" s="253"/>
      <c r="CN31" s="253"/>
      <c r="CO31" s="253"/>
      <c r="CP31" s="253"/>
      <c r="CQ31" s="253"/>
      <c r="CR31" s="253"/>
      <c r="CS31" s="253"/>
      <c r="CT31" s="253"/>
      <c r="CU31" s="253"/>
      <c r="CV31" s="253"/>
      <c r="CW31" s="253"/>
      <c r="CX31" s="253"/>
      <c r="CY31" s="253"/>
      <c r="CZ31" s="253"/>
      <c r="DA31" s="253"/>
      <c r="DB31" s="253"/>
      <c r="DC31" s="253"/>
      <c r="DD31" s="253"/>
      <c r="DE31" s="253"/>
      <c r="DF31" s="253"/>
      <c r="DG31" s="253"/>
      <c r="DH31" s="253"/>
      <c r="DI31" s="253"/>
      <c r="DJ31" s="253"/>
      <c r="DK31" s="253"/>
      <c r="DL31" s="253"/>
      <c r="DM31" s="253"/>
      <c r="DN31" s="253"/>
      <c r="DO31" s="253"/>
      <c r="DP31" s="253"/>
      <c r="DQ31" s="253"/>
      <c r="DR31" s="253"/>
      <c r="DS31" s="253"/>
      <c r="DT31" s="255">
        <f>200-200</f>
        <v>0</v>
      </c>
      <c r="DU31" s="255">
        <f>200-200</f>
        <v>0</v>
      </c>
      <c r="DV31" s="253"/>
      <c r="DW31" s="253"/>
      <c r="DX31" s="253"/>
      <c r="DY31" s="253"/>
      <c r="DZ31" s="253"/>
      <c r="EA31" s="253"/>
      <c r="EB31" s="253"/>
      <c r="EC31" s="253"/>
      <c r="ED31" s="253"/>
      <c r="EE31" s="253"/>
      <c r="EF31" s="253"/>
      <c r="EG31" s="253"/>
      <c r="EH31" s="253"/>
      <c r="EI31" s="253"/>
      <c r="EJ31" s="253"/>
      <c r="EK31" s="253"/>
      <c r="EL31" s="253"/>
      <c r="EM31" s="253"/>
      <c r="EN31" s="253"/>
      <c r="EO31" s="253"/>
      <c r="EP31" s="253"/>
      <c r="EQ31" s="253"/>
      <c r="ER31" s="253"/>
      <c r="ES31" s="253"/>
      <c r="ET31" s="253"/>
      <c r="EU31" s="253"/>
      <c r="EV31" s="253"/>
      <c r="EW31" s="253"/>
      <c r="EX31" s="253"/>
      <c r="EY31" s="253"/>
      <c r="EZ31" s="253"/>
      <c r="FA31" s="253"/>
      <c r="FB31" s="253"/>
      <c r="FC31" s="253"/>
      <c r="FD31" s="253"/>
      <c r="FE31" s="253"/>
      <c r="FF31" s="253"/>
      <c r="FG31" s="256"/>
      <c r="FH31" s="257" t="s">
        <v>892</v>
      </c>
      <c r="FI31" s="258" t="s">
        <v>389</v>
      </c>
      <c r="FJ31" s="258"/>
      <c r="FK31" s="258" t="s">
        <v>402</v>
      </c>
      <c r="FL31" s="259">
        <f t="shared" si="0"/>
        <v>10</v>
      </c>
      <c r="FM31" s="260" t="s">
        <v>403</v>
      </c>
      <c r="FN31" s="260"/>
    </row>
    <row r="32" spans="1:170" s="276" customFormat="1" ht="11.4" hidden="1">
      <c r="A32" s="251" t="s">
        <v>385</v>
      </c>
      <c r="B32" s="251" t="s">
        <v>385</v>
      </c>
      <c r="C32" s="251" t="s">
        <v>394</v>
      </c>
      <c r="D32" s="251" t="s">
        <v>1</v>
      </c>
      <c r="E32" s="252" t="s">
        <v>404</v>
      </c>
      <c r="F32" s="251" t="s">
        <v>388</v>
      </c>
      <c r="G32" s="251"/>
      <c r="H32" s="253"/>
      <c r="I32" s="253"/>
      <c r="J32" s="253"/>
      <c r="K32" s="253"/>
      <c r="L32" s="255">
        <f>200-200</f>
        <v>0</v>
      </c>
      <c r="M32" s="255">
        <f>40-40</f>
        <v>0</v>
      </c>
      <c r="N32" s="253"/>
      <c r="O32" s="253"/>
      <c r="P32" s="255">
        <f>80-80</f>
        <v>0</v>
      </c>
      <c r="Q32" s="255">
        <f>40-40</f>
        <v>0</v>
      </c>
      <c r="R32" s="253"/>
      <c r="S32" s="253"/>
      <c r="T32" s="255">
        <f>600-600</f>
        <v>0</v>
      </c>
      <c r="U32" s="253"/>
      <c r="V32" s="255">
        <f>600-600</f>
        <v>0</v>
      </c>
      <c r="W32" s="255">
        <f>600-600</f>
        <v>0</v>
      </c>
      <c r="X32" s="253"/>
      <c r="Y32" s="253"/>
      <c r="Z32" s="255">
        <f>600-600</f>
        <v>0</v>
      </c>
      <c r="AA32" s="253"/>
      <c r="AB32" s="255">
        <f t="shared" ref="AB32:AH32" si="3">600-600</f>
        <v>0</v>
      </c>
      <c r="AC32" s="255">
        <f t="shared" si="3"/>
        <v>0</v>
      </c>
      <c r="AD32" s="255">
        <f t="shared" si="3"/>
        <v>0</v>
      </c>
      <c r="AE32" s="255">
        <f t="shared" si="3"/>
        <v>0</v>
      </c>
      <c r="AF32" s="255">
        <f t="shared" si="3"/>
        <v>0</v>
      </c>
      <c r="AG32" s="255">
        <f t="shared" si="3"/>
        <v>0</v>
      </c>
      <c r="AH32" s="255">
        <f t="shared" si="3"/>
        <v>0</v>
      </c>
      <c r="AI32" s="253"/>
      <c r="AJ32" s="253"/>
      <c r="AK32" s="255">
        <f>600-600</f>
        <v>0</v>
      </c>
      <c r="AL32" s="253"/>
      <c r="AM32" s="253"/>
      <c r="AN32" s="253"/>
      <c r="AO32" s="255">
        <f>600-600</f>
        <v>0</v>
      </c>
      <c r="AP32" s="253"/>
      <c r="AQ32" s="253"/>
      <c r="AR32" s="253"/>
      <c r="AS32" s="253"/>
      <c r="AT32" s="253"/>
      <c r="AU32" s="253"/>
      <c r="AV32" s="253"/>
      <c r="AW32" s="255">
        <f>600-600</f>
        <v>0</v>
      </c>
      <c r="AX32" s="253"/>
      <c r="AY32" s="253"/>
      <c r="AZ32" s="253"/>
      <c r="BA32" s="253"/>
      <c r="BB32" s="253"/>
      <c r="BC32" s="255">
        <f>600-600</f>
        <v>0</v>
      </c>
      <c r="BD32" s="253"/>
      <c r="BE32" s="253"/>
      <c r="BF32" s="253"/>
      <c r="BG32" s="253"/>
      <c r="BH32" s="255">
        <f>600-600</f>
        <v>0</v>
      </c>
      <c r="BI32" s="255">
        <f>600-600</f>
        <v>0</v>
      </c>
      <c r="BJ32" s="253"/>
      <c r="BK32" s="253"/>
      <c r="BL32" s="253"/>
      <c r="BM32" s="253"/>
      <c r="BN32" s="253"/>
      <c r="BO32" s="253"/>
      <c r="BP32" s="253"/>
      <c r="BQ32" s="253"/>
      <c r="BR32" s="253"/>
      <c r="BS32" s="253"/>
      <c r="BT32" s="253"/>
      <c r="BU32" s="253"/>
      <c r="BV32" s="253"/>
      <c r="BW32" s="253"/>
      <c r="BX32" s="253"/>
      <c r="BY32" s="253"/>
      <c r="BZ32" s="253"/>
      <c r="CA32" s="253"/>
      <c r="CB32" s="253"/>
      <c r="CC32" s="253"/>
      <c r="CD32" s="253"/>
      <c r="CE32" s="253"/>
      <c r="CF32" s="253"/>
      <c r="CG32" s="253"/>
      <c r="CH32" s="253"/>
      <c r="CI32" s="253"/>
      <c r="CJ32" s="253"/>
      <c r="CK32" s="253"/>
      <c r="CL32" s="253"/>
      <c r="CM32" s="253"/>
      <c r="CN32" s="253"/>
      <c r="CO32" s="253"/>
      <c r="CP32" s="253"/>
      <c r="CQ32" s="253"/>
      <c r="CR32" s="253"/>
      <c r="CS32" s="253"/>
      <c r="CT32" s="253"/>
      <c r="CU32" s="253"/>
      <c r="CV32" s="253"/>
      <c r="CW32" s="253"/>
      <c r="CX32" s="253"/>
      <c r="CY32" s="253"/>
      <c r="CZ32" s="253"/>
      <c r="DA32" s="253"/>
      <c r="DB32" s="253"/>
      <c r="DC32" s="253"/>
      <c r="DD32" s="253"/>
      <c r="DE32" s="253"/>
      <c r="DF32" s="253"/>
      <c r="DG32" s="253"/>
      <c r="DH32" s="253"/>
      <c r="DI32" s="253"/>
      <c r="DJ32" s="253"/>
      <c r="DK32" s="253"/>
      <c r="DL32" s="253"/>
      <c r="DM32" s="253"/>
      <c r="DN32" s="253"/>
      <c r="DO32" s="253"/>
      <c r="DP32" s="253"/>
      <c r="DQ32" s="253"/>
      <c r="DR32" s="253"/>
      <c r="DS32" s="253"/>
      <c r="DT32" s="253"/>
      <c r="DU32" s="253"/>
      <c r="DV32" s="253"/>
      <c r="DW32" s="253"/>
      <c r="DX32" s="253"/>
      <c r="DY32" s="253"/>
      <c r="DZ32" s="253"/>
      <c r="EA32" s="253"/>
      <c r="EB32" s="255">
        <f t="shared" ref="EB32:EI32" si="4">100-100</f>
        <v>0</v>
      </c>
      <c r="EC32" s="255">
        <f t="shared" si="4"/>
        <v>0</v>
      </c>
      <c r="ED32" s="255">
        <f t="shared" si="4"/>
        <v>0</v>
      </c>
      <c r="EE32" s="255">
        <f t="shared" si="4"/>
        <v>0</v>
      </c>
      <c r="EF32" s="255">
        <f t="shared" si="4"/>
        <v>0</v>
      </c>
      <c r="EG32" s="255">
        <f t="shared" si="4"/>
        <v>0</v>
      </c>
      <c r="EH32" s="255">
        <f t="shared" si="4"/>
        <v>0</v>
      </c>
      <c r="EI32" s="255">
        <f t="shared" si="4"/>
        <v>0</v>
      </c>
      <c r="EJ32" s="253"/>
      <c r="EK32" s="253"/>
      <c r="EL32" s="253"/>
      <c r="EM32" s="253"/>
      <c r="EN32" s="253"/>
      <c r="EO32" s="255">
        <f>50-50</f>
        <v>0</v>
      </c>
      <c r="EP32" s="255">
        <f>50-50</f>
        <v>0</v>
      </c>
      <c r="EQ32" s="255">
        <f>50-50</f>
        <v>0</v>
      </c>
      <c r="ER32" s="253"/>
      <c r="ES32" s="255">
        <f>50-50</f>
        <v>0</v>
      </c>
      <c r="ET32" s="255">
        <f>50-50</f>
        <v>0</v>
      </c>
      <c r="EU32" s="255">
        <f>50-50</f>
        <v>0</v>
      </c>
      <c r="EV32" s="253"/>
      <c r="EW32" s="255">
        <f>50-50</f>
        <v>0</v>
      </c>
      <c r="EX32" s="255">
        <f>50-50</f>
        <v>0</v>
      </c>
      <c r="EY32" s="253"/>
      <c r="EZ32" s="253"/>
      <c r="FA32" s="255">
        <f>50-50</f>
        <v>0</v>
      </c>
      <c r="FB32" s="253"/>
      <c r="FC32" s="253"/>
      <c r="FD32" s="253"/>
      <c r="FE32" s="253"/>
      <c r="FF32" s="253"/>
      <c r="FG32" s="256"/>
      <c r="FH32" s="257" t="s">
        <v>892</v>
      </c>
      <c r="FI32" s="258" t="s">
        <v>389</v>
      </c>
      <c r="FJ32" s="258"/>
      <c r="FK32" s="258" t="s">
        <v>402</v>
      </c>
      <c r="FL32" s="259">
        <f t="shared" si="0"/>
        <v>0</v>
      </c>
      <c r="FM32" s="260" t="s">
        <v>403</v>
      </c>
      <c r="FN32" s="260"/>
    </row>
    <row r="33" spans="1:170" s="276" customFormat="1" ht="11.4" hidden="1">
      <c r="A33" s="251" t="s">
        <v>385</v>
      </c>
      <c r="B33" s="251" t="s">
        <v>385</v>
      </c>
      <c r="C33" s="251" t="s">
        <v>394</v>
      </c>
      <c r="D33" s="251" t="s">
        <v>293</v>
      </c>
      <c r="E33" s="252" t="s">
        <v>404</v>
      </c>
      <c r="F33" s="251" t="s">
        <v>388</v>
      </c>
      <c r="G33" s="251"/>
      <c r="H33" s="253"/>
      <c r="I33" s="253"/>
      <c r="J33" s="255">
        <f>200-200</f>
        <v>0</v>
      </c>
      <c r="K33" s="253"/>
      <c r="L33" s="253"/>
      <c r="M33" s="253"/>
      <c r="N33" s="253"/>
      <c r="O33" s="253"/>
      <c r="P33" s="253"/>
      <c r="Q33" s="253"/>
      <c r="R33" s="253"/>
      <c r="S33" s="253"/>
      <c r="T33" s="253"/>
      <c r="U33" s="253"/>
      <c r="V33" s="253"/>
      <c r="W33" s="253"/>
      <c r="X33" s="253"/>
      <c r="Y33" s="253"/>
      <c r="Z33" s="253"/>
      <c r="AA33" s="253"/>
      <c r="AB33" s="253"/>
      <c r="AC33" s="253"/>
      <c r="AD33" s="253"/>
      <c r="AE33" s="253"/>
      <c r="AF33" s="253"/>
      <c r="AG33" s="253"/>
      <c r="AH33" s="253"/>
      <c r="AI33" s="253"/>
      <c r="AJ33" s="253"/>
      <c r="AK33" s="253"/>
      <c r="AL33" s="253"/>
      <c r="AM33" s="253"/>
      <c r="AN33" s="253"/>
      <c r="AO33" s="253"/>
      <c r="AP33" s="253"/>
      <c r="AQ33" s="253"/>
      <c r="AR33" s="253"/>
      <c r="AS33" s="253"/>
      <c r="AT33" s="253"/>
      <c r="AU33" s="253"/>
      <c r="AV33" s="253"/>
      <c r="AW33" s="253"/>
      <c r="AX33" s="253"/>
      <c r="AY33" s="253"/>
      <c r="AZ33" s="253"/>
      <c r="BA33" s="253"/>
      <c r="BB33" s="253"/>
      <c r="BC33" s="253"/>
      <c r="BD33" s="253"/>
      <c r="BE33" s="253"/>
      <c r="BF33" s="253"/>
      <c r="BG33" s="253"/>
      <c r="BH33" s="253"/>
      <c r="BI33" s="253"/>
      <c r="BJ33" s="253"/>
      <c r="BK33" s="253"/>
      <c r="BL33" s="253"/>
      <c r="BM33" s="253"/>
      <c r="BN33" s="253"/>
      <c r="BO33" s="253"/>
      <c r="BP33" s="253"/>
      <c r="BQ33" s="253"/>
      <c r="BR33" s="253"/>
      <c r="BS33" s="253"/>
      <c r="BT33" s="253"/>
      <c r="BU33" s="253"/>
      <c r="BV33" s="253"/>
      <c r="BW33" s="253"/>
      <c r="BX33" s="253"/>
      <c r="BY33" s="253"/>
      <c r="BZ33" s="253"/>
      <c r="CA33" s="253"/>
      <c r="CB33" s="253"/>
      <c r="CC33" s="253"/>
      <c r="CD33" s="253"/>
      <c r="CE33" s="253"/>
      <c r="CF33" s="253"/>
      <c r="CG33" s="253"/>
      <c r="CH33" s="253"/>
      <c r="CI33" s="253"/>
      <c r="CJ33" s="253"/>
      <c r="CK33" s="253"/>
      <c r="CL33" s="253"/>
      <c r="CM33" s="253"/>
      <c r="CN33" s="253"/>
      <c r="CO33" s="253"/>
      <c r="CP33" s="253"/>
      <c r="CQ33" s="253"/>
      <c r="CR33" s="253"/>
      <c r="CS33" s="253"/>
      <c r="CT33" s="253"/>
      <c r="CU33" s="253"/>
      <c r="CV33" s="253"/>
      <c r="CW33" s="253"/>
      <c r="CX33" s="253"/>
      <c r="CY33" s="253"/>
      <c r="CZ33" s="253"/>
      <c r="DA33" s="253"/>
      <c r="DB33" s="253"/>
      <c r="DC33" s="253"/>
      <c r="DD33" s="253"/>
      <c r="DE33" s="253"/>
      <c r="DF33" s="253"/>
      <c r="DG33" s="253"/>
      <c r="DH33" s="253"/>
      <c r="DI33" s="253"/>
      <c r="DJ33" s="253"/>
      <c r="DK33" s="253"/>
      <c r="DL33" s="253"/>
      <c r="DM33" s="253"/>
      <c r="DN33" s="253"/>
      <c r="DO33" s="253"/>
      <c r="DP33" s="253"/>
      <c r="DQ33" s="253"/>
      <c r="DR33" s="253"/>
      <c r="DS33" s="253"/>
      <c r="DT33" s="253"/>
      <c r="DU33" s="253"/>
      <c r="DV33" s="253"/>
      <c r="DW33" s="253"/>
      <c r="DX33" s="253"/>
      <c r="DY33" s="253"/>
      <c r="DZ33" s="253"/>
      <c r="EA33" s="253"/>
      <c r="EB33" s="253"/>
      <c r="EC33" s="253"/>
      <c r="ED33" s="253"/>
      <c r="EE33" s="253"/>
      <c r="EF33" s="253"/>
      <c r="EG33" s="253"/>
      <c r="EH33" s="253"/>
      <c r="EI33" s="253"/>
      <c r="EJ33" s="253"/>
      <c r="EK33" s="253"/>
      <c r="EL33" s="253"/>
      <c r="EM33" s="253"/>
      <c r="EN33" s="253"/>
      <c r="EO33" s="253"/>
      <c r="EP33" s="253"/>
      <c r="EQ33" s="253"/>
      <c r="ER33" s="255">
        <f>50-50</f>
        <v>0</v>
      </c>
      <c r="ES33" s="253"/>
      <c r="ET33" s="253"/>
      <c r="EU33" s="253"/>
      <c r="EV33" s="255">
        <f>50-50</f>
        <v>0</v>
      </c>
      <c r="EW33" s="253"/>
      <c r="EX33" s="253"/>
      <c r="EY33" s="253"/>
      <c r="EZ33" s="255">
        <f>50-50</f>
        <v>0</v>
      </c>
      <c r="FA33" s="253"/>
      <c r="FB33" s="253"/>
      <c r="FC33" s="253"/>
      <c r="FD33" s="253"/>
      <c r="FE33" s="253"/>
      <c r="FF33" s="253"/>
      <c r="FG33" s="256"/>
      <c r="FH33" s="257" t="s">
        <v>892</v>
      </c>
      <c r="FI33" s="258" t="s">
        <v>389</v>
      </c>
      <c r="FJ33" s="258"/>
      <c r="FK33" s="258" t="s">
        <v>402</v>
      </c>
      <c r="FL33" s="259">
        <f t="shared" si="0"/>
        <v>0</v>
      </c>
      <c r="FM33" s="260" t="s">
        <v>403</v>
      </c>
      <c r="FN33" s="260"/>
    </row>
    <row r="34" spans="1:170" s="276" customFormat="1" ht="11.4" hidden="1">
      <c r="A34" s="251" t="s">
        <v>393</v>
      </c>
      <c r="B34" s="251" t="s">
        <v>385</v>
      </c>
      <c r="C34" s="251" t="s">
        <v>394</v>
      </c>
      <c r="D34" s="251" t="s">
        <v>291</v>
      </c>
      <c r="E34" s="252" t="s">
        <v>830</v>
      </c>
      <c r="F34" s="251" t="s">
        <v>388</v>
      </c>
      <c r="G34" s="251"/>
      <c r="H34" s="253"/>
      <c r="I34" s="253"/>
      <c r="J34" s="253"/>
      <c r="K34" s="253"/>
      <c r="L34" s="253"/>
      <c r="M34" s="253"/>
      <c r="N34" s="253"/>
      <c r="O34" s="253"/>
      <c r="P34" s="253"/>
      <c r="Q34" s="253"/>
      <c r="R34" s="253"/>
      <c r="S34" s="253"/>
      <c r="T34" s="253"/>
      <c r="U34" s="253"/>
      <c r="V34" s="253"/>
      <c r="W34" s="253"/>
      <c r="X34" s="253"/>
      <c r="Y34" s="253"/>
      <c r="Z34" s="253"/>
      <c r="AA34" s="253"/>
      <c r="AB34" s="253"/>
      <c r="AC34" s="253"/>
      <c r="AD34" s="253"/>
      <c r="AE34" s="253"/>
      <c r="AF34" s="253"/>
      <c r="AG34" s="253"/>
      <c r="AH34" s="253"/>
      <c r="AI34" s="253"/>
      <c r="AJ34" s="255">
        <f>50-50</f>
        <v>0</v>
      </c>
      <c r="AK34" s="253"/>
      <c r="AL34" s="253"/>
      <c r="AM34" s="253"/>
      <c r="AN34" s="253"/>
      <c r="AO34" s="253"/>
      <c r="AP34" s="253"/>
      <c r="AQ34" s="253"/>
      <c r="AR34" s="253"/>
      <c r="AS34" s="253"/>
      <c r="AT34" s="253"/>
      <c r="AU34" s="253"/>
      <c r="AV34" s="253"/>
      <c r="AW34" s="253"/>
      <c r="AX34" s="253"/>
      <c r="AY34" s="253"/>
      <c r="AZ34" s="253"/>
      <c r="BA34" s="253"/>
      <c r="BB34" s="253"/>
      <c r="BC34" s="253"/>
      <c r="BD34" s="253"/>
      <c r="BE34" s="253"/>
      <c r="BF34" s="253"/>
      <c r="BG34" s="255">
        <f>50-50</f>
        <v>0</v>
      </c>
      <c r="BH34" s="253"/>
      <c r="BI34" s="253"/>
      <c r="BJ34" s="253"/>
      <c r="BK34" s="253"/>
      <c r="BL34" s="253"/>
      <c r="BM34" s="253"/>
      <c r="BN34" s="253"/>
      <c r="BO34" s="253"/>
      <c r="BP34" s="253"/>
      <c r="BQ34" s="253"/>
      <c r="BR34" s="253"/>
      <c r="BS34" s="253"/>
      <c r="BT34" s="253"/>
      <c r="BU34" s="253"/>
      <c r="BV34" s="253"/>
      <c r="BW34" s="253"/>
      <c r="BX34" s="253"/>
      <c r="BY34" s="253"/>
      <c r="BZ34" s="253"/>
      <c r="CA34" s="253"/>
      <c r="CB34" s="253"/>
      <c r="CC34" s="253"/>
      <c r="CD34" s="253"/>
      <c r="CE34" s="253"/>
      <c r="CF34" s="253"/>
      <c r="CG34" s="253"/>
      <c r="CH34" s="253"/>
      <c r="CI34" s="253"/>
      <c r="CJ34" s="253"/>
      <c r="CK34" s="253"/>
      <c r="CL34" s="253"/>
      <c r="CM34" s="253"/>
      <c r="CN34" s="253"/>
      <c r="CO34" s="253"/>
      <c r="CP34" s="253"/>
      <c r="CQ34" s="253"/>
      <c r="CR34" s="253"/>
      <c r="CS34" s="253"/>
      <c r="CT34" s="253"/>
      <c r="CU34" s="253"/>
      <c r="CV34" s="253"/>
      <c r="CW34" s="253"/>
      <c r="CX34" s="253"/>
      <c r="CY34" s="253"/>
      <c r="CZ34" s="253"/>
      <c r="DA34" s="253"/>
      <c r="DB34" s="253"/>
      <c r="DC34" s="253"/>
      <c r="DD34" s="253"/>
      <c r="DE34" s="253"/>
      <c r="DF34" s="253"/>
      <c r="DG34" s="253"/>
      <c r="DH34" s="253"/>
      <c r="DI34" s="253"/>
      <c r="DJ34" s="253"/>
      <c r="DK34" s="253"/>
      <c r="DL34" s="253"/>
      <c r="DM34" s="253"/>
      <c r="DN34" s="253"/>
      <c r="DO34" s="253"/>
      <c r="DP34" s="253"/>
      <c r="DQ34" s="253"/>
      <c r="DR34" s="253"/>
      <c r="DS34" s="253"/>
      <c r="DT34" s="253"/>
      <c r="DU34" s="253"/>
      <c r="DV34" s="253"/>
      <c r="DW34" s="253"/>
      <c r="DX34" s="253"/>
      <c r="DY34" s="253"/>
      <c r="DZ34" s="253"/>
      <c r="EA34" s="253"/>
      <c r="EB34" s="253"/>
      <c r="EC34" s="253"/>
      <c r="ED34" s="253"/>
      <c r="EE34" s="253"/>
      <c r="EF34" s="253"/>
      <c r="EG34" s="253"/>
      <c r="EH34" s="253"/>
      <c r="EI34" s="253"/>
      <c r="EJ34" s="253"/>
      <c r="EK34" s="253"/>
      <c r="EL34" s="253"/>
      <c r="EM34" s="253"/>
      <c r="EN34" s="253"/>
      <c r="EO34" s="253"/>
      <c r="EP34" s="253"/>
      <c r="EQ34" s="253"/>
      <c r="ER34" s="253"/>
      <c r="ES34" s="253"/>
      <c r="ET34" s="253"/>
      <c r="EU34" s="253"/>
      <c r="EV34" s="253"/>
      <c r="EW34" s="253"/>
      <c r="EX34" s="253"/>
      <c r="EY34" s="253"/>
      <c r="EZ34" s="253"/>
      <c r="FA34" s="253"/>
      <c r="FB34" s="253"/>
      <c r="FC34" s="253"/>
      <c r="FD34" s="253"/>
      <c r="FE34" s="253"/>
      <c r="FF34" s="253"/>
      <c r="FG34" s="256"/>
      <c r="FH34" s="257" t="s">
        <v>892</v>
      </c>
      <c r="FI34" s="258" t="s">
        <v>389</v>
      </c>
      <c r="FJ34" s="258"/>
      <c r="FK34" s="258" t="s">
        <v>824</v>
      </c>
      <c r="FL34" s="259">
        <f t="shared" si="0"/>
        <v>0</v>
      </c>
      <c r="FM34" s="260" t="s">
        <v>820</v>
      </c>
      <c r="FN34" s="260"/>
    </row>
    <row r="35" spans="1:170" s="276" customFormat="1" ht="11.4" hidden="1">
      <c r="A35" s="251" t="s">
        <v>393</v>
      </c>
      <c r="B35" s="251" t="s">
        <v>385</v>
      </c>
      <c r="C35" s="251" t="s">
        <v>394</v>
      </c>
      <c r="D35" s="251" t="s">
        <v>1</v>
      </c>
      <c r="E35" s="252" t="s">
        <v>830</v>
      </c>
      <c r="F35" s="251" t="s">
        <v>388</v>
      </c>
      <c r="G35" s="251"/>
      <c r="H35" s="253"/>
      <c r="I35" s="253"/>
      <c r="J35" s="253"/>
      <c r="K35" s="253"/>
      <c r="L35" s="253"/>
      <c r="M35" s="253"/>
      <c r="N35" s="253"/>
      <c r="O35" s="253"/>
      <c r="P35" s="253"/>
      <c r="Q35" s="253"/>
      <c r="R35" s="253"/>
      <c r="S35" s="253"/>
      <c r="T35" s="253"/>
      <c r="U35" s="253"/>
      <c r="V35" s="253"/>
      <c r="W35" s="253"/>
      <c r="X35" s="253"/>
      <c r="Y35" s="253"/>
      <c r="Z35" s="253"/>
      <c r="AA35" s="253"/>
      <c r="AB35" s="253"/>
      <c r="AC35" s="253"/>
      <c r="AD35" s="255">
        <f>50-50</f>
        <v>0</v>
      </c>
      <c r="AE35" s="253"/>
      <c r="AF35" s="253"/>
      <c r="AG35" s="255">
        <f>50-50</f>
        <v>0</v>
      </c>
      <c r="AH35" s="253"/>
      <c r="AI35" s="253"/>
      <c r="AJ35" s="253"/>
      <c r="AK35" s="253"/>
      <c r="AL35" s="253"/>
      <c r="AM35" s="253"/>
      <c r="AN35" s="253"/>
      <c r="AO35" s="253"/>
      <c r="AP35" s="253"/>
      <c r="AQ35" s="253"/>
      <c r="AR35" s="253"/>
      <c r="AS35" s="253"/>
      <c r="AT35" s="253"/>
      <c r="AU35" s="253"/>
      <c r="AV35" s="253"/>
      <c r="AW35" s="255">
        <f>200-200</f>
        <v>0</v>
      </c>
      <c r="AX35" s="253"/>
      <c r="AY35" s="253"/>
      <c r="AZ35" s="253"/>
      <c r="BA35" s="253"/>
      <c r="BB35" s="253"/>
      <c r="BC35" s="253"/>
      <c r="BD35" s="253"/>
      <c r="BE35" s="253"/>
      <c r="BF35" s="253"/>
      <c r="BG35" s="253"/>
      <c r="BH35" s="253"/>
      <c r="BI35" s="255">
        <f>20-20</f>
        <v>0</v>
      </c>
      <c r="BJ35" s="253"/>
      <c r="BK35" s="253"/>
      <c r="BL35" s="253"/>
      <c r="BM35" s="253"/>
      <c r="BN35" s="253"/>
      <c r="BO35" s="253"/>
      <c r="BP35" s="253"/>
      <c r="BQ35" s="253"/>
      <c r="BR35" s="253"/>
      <c r="BS35" s="253"/>
      <c r="BT35" s="253"/>
      <c r="BU35" s="253"/>
      <c r="BV35" s="253"/>
      <c r="BW35" s="253"/>
      <c r="BX35" s="253"/>
      <c r="BY35" s="253"/>
      <c r="BZ35" s="253"/>
      <c r="CA35" s="253"/>
      <c r="CB35" s="253"/>
      <c r="CC35" s="253"/>
      <c r="CD35" s="253"/>
      <c r="CE35" s="253"/>
      <c r="CF35" s="253"/>
      <c r="CG35" s="253"/>
      <c r="CH35" s="253"/>
      <c r="CI35" s="253"/>
      <c r="CJ35" s="253"/>
      <c r="CK35" s="253"/>
      <c r="CL35" s="253"/>
      <c r="CM35" s="253"/>
      <c r="CN35" s="253"/>
      <c r="CO35" s="253"/>
      <c r="CP35" s="253"/>
      <c r="CQ35" s="253"/>
      <c r="CR35" s="253"/>
      <c r="CS35" s="253"/>
      <c r="CT35" s="253"/>
      <c r="CU35" s="253"/>
      <c r="CV35" s="253"/>
      <c r="CW35" s="253"/>
      <c r="CX35" s="253"/>
      <c r="CY35" s="253"/>
      <c r="CZ35" s="253"/>
      <c r="DA35" s="253"/>
      <c r="DB35" s="253"/>
      <c r="DC35" s="253"/>
      <c r="DD35" s="253"/>
      <c r="DE35" s="253"/>
      <c r="DF35" s="253"/>
      <c r="DG35" s="253"/>
      <c r="DH35" s="253"/>
      <c r="DI35" s="253"/>
      <c r="DJ35" s="253"/>
      <c r="DK35" s="253"/>
      <c r="DL35" s="253"/>
      <c r="DM35" s="253"/>
      <c r="DN35" s="253"/>
      <c r="DO35" s="253"/>
      <c r="DP35" s="253"/>
      <c r="DQ35" s="253"/>
      <c r="DR35" s="253"/>
      <c r="DS35" s="253"/>
      <c r="DT35" s="253"/>
      <c r="DU35" s="253"/>
      <c r="DV35" s="253"/>
      <c r="DW35" s="253"/>
      <c r="DX35" s="253"/>
      <c r="DY35" s="253"/>
      <c r="DZ35" s="253"/>
      <c r="EA35" s="253"/>
      <c r="EB35" s="253"/>
      <c r="EC35" s="253"/>
      <c r="ED35" s="253"/>
      <c r="EE35" s="253"/>
      <c r="EF35" s="255">
        <f>100-100</f>
        <v>0</v>
      </c>
      <c r="EG35" s="253"/>
      <c r="EH35" s="253"/>
      <c r="EI35" s="255">
        <f>100-100</f>
        <v>0</v>
      </c>
      <c r="EJ35" s="253"/>
      <c r="EK35" s="253"/>
      <c r="EL35" s="253"/>
      <c r="EM35" s="253"/>
      <c r="EN35" s="253"/>
      <c r="EO35" s="253"/>
      <c r="EP35" s="253"/>
      <c r="EQ35" s="253"/>
      <c r="ER35" s="253"/>
      <c r="ES35" s="253"/>
      <c r="ET35" s="253"/>
      <c r="EU35" s="253"/>
      <c r="EV35" s="253"/>
      <c r="EW35" s="253"/>
      <c r="EX35" s="253"/>
      <c r="EY35" s="253"/>
      <c r="EZ35" s="253"/>
      <c r="FA35" s="253"/>
      <c r="FB35" s="253"/>
      <c r="FC35" s="253"/>
      <c r="FD35" s="253"/>
      <c r="FE35" s="253"/>
      <c r="FF35" s="253"/>
      <c r="FG35" s="256"/>
      <c r="FH35" s="257" t="s">
        <v>892</v>
      </c>
      <c r="FI35" s="258" t="s">
        <v>389</v>
      </c>
      <c r="FJ35" s="258"/>
      <c r="FK35" s="258" t="s">
        <v>824</v>
      </c>
      <c r="FL35" s="259">
        <f t="shared" si="0"/>
        <v>0</v>
      </c>
      <c r="FM35" s="260" t="s">
        <v>820</v>
      </c>
      <c r="FN35" s="260"/>
    </row>
    <row r="36" spans="1:170" s="276" customFormat="1" ht="11.4" hidden="1">
      <c r="A36" s="251" t="s">
        <v>393</v>
      </c>
      <c r="B36" s="251" t="s">
        <v>385</v>
      </c>
      <c r="C36" s="251" t="s">
        <v>394</v>
      </c>
      <c r="D36" s="251" t="s">
        <v>291</v>
      </c>
      <c r="E36" s="252" t="s">
        <v>405</v>
      </c>
      <c r="F36" s="251" t="s">
        <v>388</v>
      </c>
      <c r="G36" s="251"/>
      <c r="H36" s="253"/>
      <c r="I36" s="253"/>
      <c r="J36" s="253"/>
      <c r="K36" s="253"/>
      <c r="L36" s="253"/>
      <c r="M36" s="253"/>
      <c r="N36" s="253"/>
      <c r="O36" s="253"/>
      <c r="P36" s="253"/>
      <c r="Q36" s="253"/>
      <c r="R36" s="253"/>
      <c r="S36" s="253"/>
      <c r="T36" s="253"/>
      <c r="U36" s="253"/>
      <c r="V36" s="253"/>
      <c r="W36" s="253"/>
      <c r="X36" s="253"/>
      <c r="Y36" s="253"/>
      <c r="Z36" s="253"/>
      <c r="AA36" s="253"/>
      <c r="AB36" s="253"/>
      <c r="AC36" s="253"/>
      <c r="AD36" s="253"/>
      <c r="AE36" s="253"/>
      <c r="AF36" s="253"/>
      <c r="AG36" s="254">
        <f>0+10</f>
        <v>10</v>
      </c>
      <c r="AH36" s="253"/>
      <c r="AI36" s="255">
        <f>500-500</f>
        <v>0</v>
      </c>
      <c r="AJ36" s="255">
        <f>100-100</f>
        <v>0</v>
      </c>
      <c r="AK36" s="253"/>
      <c r="AL36" s="253"/>
      <c r="AM36" s="253"/>
      <c r="AN36" s="253"/>
      <c r="AO36" s="253"/>
      <c r="AP36" s="253"/>
      <c r="AQ36" s="253"/>
      <c r="AR36" s="253"/>
      <c r="AS36" s="255">
        <f>100-100</f>
        <v>0</v>
      </c>
      <c r="AT36" s="255">
        <f>50-50</f>
        <v>0</v>
      </c>
      <c r="AU36" s="253"/>
      <c r="AV36" s="253"/>
      <c r="AW36" s="253"/>
      <c r="AX36" s="253"/>
      <c r="AY36" s="253"/>
      <c r="AZ36" s="253"/>
      <c r="BA36" s="253"/>
      <c r="BB36" s="253"/>
      <c r="BC36" s="253"/>
      <c r="BD36" s="253"/>
      <c r="BE36" s="253"/>
      <c r="BF36" s="253"/>
      <c r="BG36" s="253"/>
      <c r="BH36" s="253"/>
      <c r="BI36" s="253"/>
      <c r="BJ36" s="253"/>
      <c r="BK36" s="253"/>
      <c r="BL36" s="253"/>
      <c r="BM36" s="253"/>
      <c r="BN36" s="253"/>
      <c r="BO36" s="253"/>
      <c r="BP36" s="253"/>
      <c r="BQ36" s="253"/>
      <c r="BR36" s="253"/>
      <c r="BS36" s="253"/>
      <c r="BT36" s="253"/>
      <c r="BU36" s="253"/>
      <c r="BV36" s="253"/>
      <c r="BW36" s="253"/>
      <c r="BX36" s="253"/>
      <c r="BY36" s="253"/>
      <c r="BZ36" s="253"/>
      <c r="CA36" s="253"/>
      <c r="CB36" s="253"/>
      <c r="CC36" s="253"/>
      <c r="CD36" s="253"/>
      <c r="CE36" s="253"/>
      <c r="CF36" s="253"/>
      <c r="CG36" s="253"/>
      <c r="CH36" s="253"/>
      <c r="CI36" s="253"/>
      <c r="CJ36" s="253"/>
      <c r="CK36" s="253"/>
      <c r="CL36" s="253"/>
      <c r="CM36" s="253"/>
      <c r="CN36" s="253"/>
      <c r="CO36" s="253"/>
      <c r="CP36" s="253"/>
      <c r="CQ36" s="253"/>
      <c r="CR36" s="253"/>
      <c r="CS36" s="253"/>
      <c r="CT36" s="253"/>
      <c r="CU36" s="253"/>
      <c r="CV36" s="253"/>
      <c r="CW36" s="253"/>
      <c r="CX36" s="253"/>
      <c r="CY36" s="253"/>
      <c r="CZ36" s="253"/>
      <c r="DA36" s="253"/>
      <c r="DB36" s="253"/>
      <c r="DC36" s="253"/>
      <c r="DD36" s="253"/>
      <c r="DE36" s="253"/>
      <c r="DF36" s="253"/>
      <c r="DG36" s="253"/>
      <c r="DH36" s="253"/>
      <c r="DI36" s="253"/>
      <c r="DJ36" s="253"/>
      <c r="DK36" s="253"/>
      <c r="DL36" s="253"/>
      <c r="DM36" s="253"/>
      <c r="DN36" s="253"/>
      <c r="DO36" s="253"/>
      <c r="DP36" s="253"/>
      <c r="DQ36" s="253"/>
      <c r="DR36" s="253"/>
      <c r="DS36" s="253"/>
      <c r="DT36" s="253"/>
      <c r="DU36" s="253"/>
      <c r="DV36" s="253"/>
      <c r="DW36" s="253"/>
      <c r="DX36" s="253"/>
      <c r="DY36" s="253"/>
      <c r="DZ36" s="253"/>
      <c r="EA36" s="253"/>
      <c r="EB36" s="253"/>
      <c r="EC36" s="253"/>
      <c r="ED36" s="253"/>
      <c r="EE36" s="253"/>
      <c r="EF36" s="253"/>
      <c r="EG36" s="253"/>
      <c r="EH36" s="253"/>
      <c r="EI36" s="253"/>
      <c r="EJ36" s="253"/>
      <c r="EK36" s="253"/>
      <c r="EL36" s="253"/>
      <c r="EM36" s="253"/>
      <c r="EN36" s="253"/>
      <c r="EO36" s="253"/>
      <c r="EP36" s="253"/>
      <c r="EQ36" s="253"/>
      <c r="ER36" s="253"/>
      <c r="ES36" s="253"/>
      <c r="ET36" s="253"/>
      <c r="EU36" s="253"/>
      <c r="EV36" s="253"/>
      <c r="EW36" s="253"/>
      <c r="EX36" s="253"/>
      <c r="EY36" s="253"/>
      <c r="EZ36" s="253"/>
      <c r="FA36" s="253"/>
      <c r="FB36" s="253"/>
      <c r="FC36" s="253"/>
      <c r="FD36" s="253"/>
      <c r="FE36" s="253"/>
      <c r="FF36" s="253"/>
      <c r="FG36" s="256"/>
      <c r="FH36" s="257" t="s">
        <v>892</v>
      </c>
      <c r="FI36" s="258" t="s">
        <v>389</v>
      </c>
      <c r="FJ36" s="258" t="s">
        <v>406</v>
      </c>
      <c r="FK36" s="258" t="s">
        <v>397</v>
      </c>
      <c r="FL36" s="259">
        <f t="shared" si="0"/>
        <v>10</v>
      </c>
      <c r="FM36" s="260" t="s">
        <v>398</v>
      </c>
      <c r="FN36" s="260"/>
    </row>
    <row r="37" spans="1:170" s="276" customFormat="1" ht="11.4" hidden="1">
      <c r="A37" s="251" t="s">
        <v>393</v>
      </c>
      <c r="B37" s="251" t="s">
        <v>385</v>
      </c>
      <c r="C37" s="251" t="s">
        <v>394</v>
      </c>
      <c r="D37" s="251" t="s">
        <v>1</v>
      </c>
      <c r="E37" s="252" t="s">
        <v>405</v>
      </c>
      <c r="F37" s="251" t="s">
        <v>388</v>
      </c>
      <c r="G37" s="251"/>
      <c r="H37" s="253"/>
      <c r="I37" s="253"/>
      <c r="J37" s="253"/>
      <c r="K37" s="253"/>
      <c r="L37" s="253"/>
      <c r="M37" s="253"/>
      <c r="N37" s="253"/>
      <c r="O37" s="253"/>
      <c r="P37" s="253"/>
      <c r="Q37" s="253"/>
      <c r="R37" s="253"/>
      <c r="S37" s="253"/>
      <c r="T37" s="253"/>
      <c r="U37" s="253"/>
      <c r="V37" s="253"/>
      <c r="W37" s="253"/>
      <c r="X37" s="253"/>
      <c r="Y37" s="253"/>
      <c r="Z37" s="253"/>
      <c r="AA37" s="253"/>
      <c r="AB37" s="253"/>
      <c r="AC37" s="255">
        <f>100-100</f>
        <v>0</v>
      </c>
      <c r="AD37" s="253"/>
      <c r="AE37" s="253"/>
      <c r="AF37" s="253"/>
      <c r="AG37" s="255">
        <f>100-100</f>
        <v>0</v>
      </c>
      <c r="AH37" s="253"/>
      <c r="AI37" s="253"/>
      <c r="AJ37" s="253"/>
      <c r="AK37" s="253"/>
      <c r="AL37" s="253"/>
      <c r="AM37" s="253"/>
      <c r="AN37" s="253"/>
      <c r="AO37" s="253"/>
      <c r="AP37" s="253"/>
      <c r="AQ37" s="253"/>
      <c r="AR37" s="253"/>
      <c r="AS37" s="253"/>
      <c r="AT37" s="253"/>
      <c r="AU37" s="253"/>
      <c r="AV37" s="253"/>
      <c r="AW37" s="255">
        <f>1000-1000</f>
        <v>0</v>
      </c>
      <c r="AX37" s="253"/>
      <c r="AY37" s="253"/>
      <c r="AZ37" s="253"/>
      <c r="BA37" s="253"/>
      <c r="BB37" s="253"/>
      <c r="BC37" s="253"/>
      <c r="BD37" s="253"/>
      <c r="BE37" s="253"/>
      <c r="BF37" s="253"/>
      <c r="BG37" s="253"/>
      <c r="BH37" s="253"/>
      <c r="BI37" s="253"/>
      <c r="BJ37" s="253"/>
      <c r="BK37" s="253"/>
      <c r="BL37" s="253"/>
      <c r="BM37" s="253"/>
      <c r="BN37" s="253"/>
      <c r="BO37" s="253"/>
      <c r="BP37" s="253"/>
      <c r="BQ37" s="253"/>
      <c r="BR37" s="253"/>
      <c r="BS37" s="253"/>
      <c r="BT37" s="253"/>
      <c r="BU37" s="253"/>
      <c r="BV37" s="253"/>
      <c r="BW37" s="253"/>
      <c r="BX37" s="253"/>
      <c r="BY37" s="253"/>
      <c r="BZ37" s="253"/>
      <c r="CA37" s="253"/>
      <c r="CB37" s="253"/>
      <c r="CC37" s="253"/>
      <c r="CD37" s="253"/>
      <c r="CE37" s="253"/>
      <c r="CF37" s="253"/>
      <c r="CG37" s="253"/>
      <c r="CH37" s="253"/>
      <c r="CI37" s="253"/>
      <c r="CJ37" s="253"/>
      <c r="CK37" s="253"/>
      <c r="CL37" s="253"/>
      <c r="CM37" s="253"/>
      <c r="CN37" s="253"/>
      <c r="CO37" s="253"/>
      <c r="CP37" s="253"/>
      <c r="CQ37" s="253"/>
      <c r="CR37" s="253"/>
      <c r="CS37" s="253"/>
      <c r="CT37" s="253"/>
      <c r="CU37" s="253"/>
      <c r="CV37" s="253"/>
      <c r="CW37" s="253"/>
      <c r="CX37" s="253"/>
      <c r="CY37" s="253"/>
      <c r="CZ37" s="253"/>
      <c r="DA37" s="253"/>
      <c r="DB37" s="253"/>
      <c r="DC37" s="253"/>
      <c r="DD37" s="253"/>
      <c r="DE37" s="253"/>
      <c r="DF37" s="253"/>
      <c r="DG37" s="253"/>
      <c r="DH37" s="253"/>
      <c r="DI37" s="253"/>
      <c r="DJ37" s="253"/>
      <c r="DK37" s="253"/>
      <c r="DL37" s="253"/>
      <c r="DM37" s="253"/>
      <c r="DN37" s="253"/>
      <c r="DO37" s="253"/>
      <c r="DP37" s="253"/>
      <c r="DQ37" s="253"/>
      <c r="DR37" s="253"/>
      <c r="DS37" s="253"/>
      <c r="DT37" s="253"/>
      <c r="DU37" s="253"/>
      <c r="DV37" s="253"/>
      <c r="DW37" s="253"/>
      <c r="DX37" s="253"/>
      <c r="DY37" s="253"/>
      <c r="DZ37" s="253"/>
      <c r="EA37" s="253"/>
      <c r="EB37" s="253"/>
      <c r="EC37" s="253"/>
      <c r="ED37" s="253"/>
      <c r="EE37" s="253"/>
      <c r="EF37" s="253"/>
      <c r="EG37" s="253"/>
      <c r="EH37" s="253"/>
      <c r="EI37" s="253"/>
      <c r="EJ37" s="253"/>
      <c r="EK37" s="253"/>
      <c r="EL37" s="253"/>
      <c r="EM37" s="253"/>
      <c r="EN37" s="253"/>
      <c r="EO37" s="253"/>
      <c r="EP37" s="253"/>
      <c r="EQ37" s="255">
        <f>10-10</f>
        <v>0</v>
      </c>
      <c r="ER37" s="253"/>
      <c r="ES37" s="255">
        <f>20-20</f>
        <v>0</v>
      </c>
      <c r="ET37" s="255">
        <f>10-10</f>
        <v>0</v>
      </c>
      <c r="EU37" s="253"/>
      <c r="EV37" s="253"/>
      <c r="EW37" s="255">
        <f>20-20</f>
        <v>0</v>
      </c>
      <c r="EX37" s="253"/>
      <c r="EY37" s="253"/>
      <c r="EZ37" s="253"/>
      <c r="FA37" s="253"/>
      <c r="FB37" s="253"/>
      <c r="FC37" s="253"/>
      <c r="FD37" s="253"/>
      <c r="FE37" s="253"/>
      <c r="FF37" s="253"/>
      <c r="FG37" s="256"/>
      <c r="FH37" s="257" t="s">
        <v>892</v>
      </c>
      <c r="FI37" s="258" t="s">
        <v>389</v>
      </c>
      <c r="FJ37" s="258" t="s">
        <v>406</v>
      </c>
      <c r="FK37" s="258" t="s">
        <v>397</v>
      </c>
      <c r="FL37" s="259">
        <f t="shared" si="0"/>
        <v>0</v>
      </c>
      <c r="FM37" s="260" t="s">
        <v>398</v>
      </c>
      <c r="FN37" s="260"/>
    </row>
    <row r="38" spans="1:170" s="276" customFormat="1" ht="11.4" hidden="1">
      <c r="A38" s="251" t="s">
        <v>393</v>
      </c>
      <c r="B38" s="251" t="s">
        <v>385</v>
      </c>
      <c r="C38" s="251" t="s">
        <v>394</v>
      </c>
      <c r="D38" s="251" t="s">
        <v>293</v>
      </c>
      <c r="E38" s="252" t="s">
        <v>405</v>
      </c>
      <c r="F38" s="251" t="s">
        <v>388</v>
      </c>
      <c r="G38" s="251"/>
      <c r="H38" s="253"/>
      <c r="I38" s="253"/>
      <c r="J38" s="253"/>
      <c r="K38" s="253"/>
      <c r="L38" s="253"/>
      <c r="M38" s="253"/>
      <c r="N38" s="253"/>
      <c r="O38" s="253"/>
      <c r="P38" s="253"/>
      <c r="Q38" s="253"/>
      <c r="R38" s="253"/>
      <c r="S38" s="253"/>
      <c r="T38" s="253"/>
      <c r="U38" s="253"/>
      <c r="V38" s="253"/>
      <c r="W38" s="253"/>
      <c r="X38" s="253"/>
      <c r="Y38" s="253"/>
      <c r="Z38" s="253"/>
      <c r="AA38" s="253"/>
      <c r="AB38" s="253"/>
      <c r="AC38" s="253"/>
      <c r="AD38" s="253"/>
      <c r="AE38" s="253"/>
      <c r="AF38" s="253"/>
      <c r="AG38" s="253"/>
      <c r="AH38" s="253"/>
      <c r="AI38" s="253"/>
      <c r="AJ38" s="253"/>
      <c r="AK38" s="253"/>
      <c r="AL38" s="253"/>
      <c r="AM38" s="253"/>
      <c r="AN38" s="253"/>
      <c r="AO38" s="253"/>
      <c r="AP38" s="253"/>
      <c r="AQ38" s="253"/>
      <c r="AR38" s="253"/>
      <c r="AS38" s="253"/>
      <c r="AT38" s="253"/>
      <c r="AU38" s="253"/>
      <c r="AV38" s="253"/>
      <c r="AW38" s="253"/>
      <c r="AX38" s="253"/>
      <c r="AY38" s="253"/>
      <c r="AZ38" s="253"/>
      <c r="BA38" s="253"/>
      <c r="BB38" s="253"/>
      <c r="BC38" s="253"/>
      <c r="BD38" s="253"/>
      <c r="BE38" s="253"/>
      <c r="BF38" s="253"/>
      <c r="BG38" s="253"/>
      <c r="BH38" s="253"/>
      <c r="BI38" s="253"/>
      <c r="BJ38" s="253"/>
      <c r="BK38" s="253"/>
      <c r="BL38" s="253"/>
      <c r="BM38" s="253"/>
      <c r="BN38" s="253"/>
      <c r="BO38" s="253"/>
      <c r="BP38" s="253"/>
      <c r="BQ38" s="253"/>
      <c r="BR38" s="253"/>
      <c r="BS38" s="253"/>
      <c r="BT38" s="253"/>
      <c r="BU38" s="253"/>
      <c r="BV38" s="253"/>
      <c r="BW38" s="253"/>
      <c r="BX38" s="253"/>
      <c r="BY38" s="253"/>
      <c r="BZ38" s="253"/>
      <c r="CA38" s="253"/>
      <c r="CB38" s="253"/>
      <c r="CC38" s="253"/>
      <c r="CD38" s="253"/>
      <c r="CE38" s="253"/>
      <c r="CF38" s="253"/>
      <c r="CG38" s="253"/>
      <c r="CH38" s="253"/>
      <c r="CI38" s="253"/>
      <c r="CJ38" s="253"/>
      <c r="CK38" s="253"/>
      <c r="CL38" s="253"/>
      <c r="CM38" s="253"/>
      <c r="CN38" s="253"/>
      <c r="CO38" s="253"/>
      <c r="CP38" s="253"/>
      <c r="CQ38" s="253"/>
      <c r="CR38" s="253"/>
      <c r="CS38" s="253"/>
      <c r="CT38" s="253"/>
      <c r="CU38" s="253"/>
      <c r="CV38" s="253"/>
      <c r="CW38" s="253"/>
      <c r="CX38" s="253"/>
      <c r="CY38" s="253"/>
      <c r="CZ38" s="253"/>
      <c r="DA38" s="253"/>
      <c r="DB38" s="253"/>
      <c r="DC38" s="253"/>
      <c r="DD38" s="253"/>
      <c r="DE38" s="253"/>
      <c r="DF38" s="253"/>
      <c r="DG38" s="253"/>
      <c r="DH38" s="253"/>
      <c r="DI38" s="253"/>
      <c r="DJ38" s="253"/>
      <c r="DK38" s="253"/>
      <c r="DL38" s="253"/>
      <c r="DM38" s="253"/>
      <c r="DN38" s="253"/>
      <c r="DO38" s="253"/>
      <c r="DP38" s="253"/>
      <c r="DQ38" s="253"/>
      <c r="DR38" s="253"/>
      <c r="DS38" s="253"/>
      <c r="DT38" s="253"/>
      <c r="DU38" s="253"/>
      <c r="DV38" s="253"/>
      <c r="DW38" s="253"/>
      <c r="DX38" s="253"/>
      <c r="DY38" s="253"/>
      <c r="DZ38" s="253"/>
      <c r="EA38" s="253"/>
      <c r="EB38" s="253"/>
      <c r="EC38" s="253"/>
      <c r="ED38" s="253"/>
      <c r="EE38" s="253"/>
      <c r="EF38" s="253"/>
      <c r="EG38" s="253"/>
      <c r="EH38" s="253"/>
      <c r="EI38" s="253"/>
      <c r="EJ38" s="253"/>
      <c r="EK38" s="253"/>
      <c r="EL38" s="253"/>
      <c r="EM38" s="253"/>
      <c r="EN38" s="253"/>
      <c r="EO38" s="253"/>
      <c r="EP38" s="253"/>
      <c r="EQ38" s="253"/>
      <c r="ER38" s="253"/>
      <c r="ES38" s="253"/>
      <c r="ET38" s="253"/>
      <c r="EU38" s="253"/>
      <c r="EV38" s="255">
        <f>20-20</f>
        <v>0</v>
      </c>
      <c r="EW38" s="253"/>
      <c r="EX38" s="253"/>
      <c r="EY38" s="253"/>
      <c r="EZ38" s="253"/>
      <c r="FA38" s="253"/>
      <c r="FB38" s="253"/>
      <c r="FC38" s="253"/>
      <c r="FD38" s="253"/>
      <c r="FE38" s="253"/>
      <c r="FF38" s="253"/>
      <c r="FG38" s="256"/>
      <c r="FH38" s="257" t="s">
        <v>892</v>
      </c>
      <c r="FI38" s="258" t="s">
        <v>389</v>
      </c>
      <c r="FJ38" s="258" t="s">
        <v>406</v>
      </c>
      <c r="FK38" s="258" t="s">
        <v>397</v>
      </c>
      <c r="FL38" s="259">
        <f t="shared" si="0"/>
        <v>0</v>
      </c>
      <c r="FM38" s="260" t="s">
        <v>398</v>
      </c>
      <c r="FN38" s="260"/>
    </row>
    <row r="39" spans="1:170" s="276" customFormat="1" ht="11.4" hidden="1">
      <c r="A39" s="251" t="s">
        <v>393</v>
      </c>
      <c r="B39" s="251" t="s">
        <v>385</v>
      </c>
      <c r="C39" s="251" t="s">
        <v>407</v>
      </c>
      <c r="D39" s="251" t="s">
        <v>291</v>
      </c>
      <c r="E39" s="252" t="s">
        <v>408</v>
      </c>
      <c r="F39" s="251" t="s">
        <v>388</v>
      </c>
      <c r="G39" s="251"/>
      <c r="H39" s="253"/>
      <c r="I39" s="255">
        <f>200-200</f>
        <v>0</v>
      </c>
      <c r="J39" s="253"/>
      <c r="K39" s="253"/>
      <c r="L39" s="253"/>
      <c r="M39" s="253"/>
      <c r="N39" s="255">
        <f>500-500</f>
        <v>0</v>
      </c>
      <c r="O39" s="253"/>
      <c r="P39" s="253"/>
      <c r="Q39" s="253"/>
      <c r="R39" s="253"/>
      <c r="S39" s="253"/>
      <c r="T39" s="253"/>
      <c r="U39" s="253"/>
      <c r="V39" s="253"/>
      <c r="W39" s="253"/>
      <c r="X39" s="253"/>
      <c r="Y39" s="253"/>
      <c r="Z39" s="253"/>
      <c r="AA39" s="253"/>
      <c r="AB39" s="253"/>
      <c r="AC39" s="253"/>
      <c r="AD39" s="253"/>
      <c r="AE39" s="253"/>
      <c r="AF39" s="253"/>
      <c r="AG39" s="253"/>
      <c r="AH39" s="253"/>
      <c r="AI39" s="253"/>
      <c r="AJ39" s="253"/>
      <c r="AK39" s="253"/>
      <c r="AL39" s="253"/>
      <c r="AM39" s="253"/>
      <c r="AN39" s="253"/>
      <c r="AO39" s="253"/>
      <c r="AP39" s="253"/>
      <c r="AQ39" s="253"/>
      <c r="AR39" s="253"/>
      <c r="AS39" s="253"/>
      <c r="AT39" s="253"/>
      <c r="AU39" s="253"/>
      <c r="AV39" s="253"/>
      <c r="AW39" s="253"/>
      <c r="AX39" s="253"/>
      <c r="AY39" s="253"/>
      <c r="AZ39" s="253"/>
      <c r="BA39" s="253"/>
      <c r="BB39" s="253"/>
      <c r="BC39" s="253"/>
      <c r="BD39" s="253"/>
      <c r="BE39" s="253"/>
      <c r="BF39" s="253"/>
      <c r="BG39" s="255">
        <f>2000-2000</f>
        <v>0</v>
      </c>
      <c r="BH39" s="253"/>
      <c r="BI39" s="253"/>
      <c r="BJ39" s="253"/>
      <c r="BK39" s="253"/>
      <c r="BL39" s="253"/>
      <c r="BM39" s="253"/>
      <c r="BN39" s="253"/>
      <c r="BO39" s="253"/>
      <c r="BP39" s="253"/>
      <c r="BQ39" s="253"/>
      <c r="BR39" s="253"/>
      <c r="BS39" s="253"/>
      <c r="BT39" s="253"/>
      <c r="BU39" s="253"/>
      <c r="BV39" s="253"/>
      <c r="BW39" s="253"/>
      <c r="BX39" s="253"/>
      <c r="BY39" s="253"/>
      <c r="BZ39" s="253"/>
      <c r="CA39" s="253"/>
      <c r="CB39" s="253"/>
      <c r="CC39" s="253"/>
      <c r="CD39" s="253"/>
      <c r="CE39" s="253"/>
      <c r="CF39" s="253"/>
      <c r="CG39" s="253"/>
      <c r="CH39" s="253"/>
      <c r="CI39" s="253"/>
      <c r="CJ39" s="253"/>
      <c r="CK39" s="253"/>
      <c r="CL39" s="253"/>
      <c r="CM39" s="253"/>
      <c r="CN39" s="253"/>
      <c r="CO39" s="253"/>
      <c r="CP39" s="253"/>
      <c r="CQ39" s="253"/>
      <c r="CR39" s="253"/>
      <c r="CS39" s="253"/>
      <c r="CT39" s="253"/>
      <c r="CU39" s="253"/>
      <c r="CV39" s="253"/>
      <c r="CW39" s="253"/>
      <c r="CX39" s="253"/>
      <c r="CY39" s="253"/>
      <c r="CZ39" s="253"/>
      <c r="DA39" s="253"/>
      <c r="DB39" s="253"/>
      <c r="DC39" s="253"/>
      <c r="DD39" s="253"/>
      <c r="DE39" s="253"/>
      <c r="DF39" s="253"/>
      <c r="DG39" s="253"/>
      <c r="DH39" s="253"/>
      <c r="DI39" s="253"/>
      <c r="DJ39" s="253"/>
      <c r="DK39" s="253"/>
      <c r="DL39" s="253"/>
      <c r="DM39" s="253"/>
      <c r="DN39" s="253"/>
      <c r="DO39" s="253"/>
      <c r="DP39" s="253"/>
      <c r="DQ39" s="253"/>
      <c r="DR39" s="253"/>
      <c r="DS39" s="253"/>
      <c r="DT39" s="253"/>
      <c r="DU39" s="253"/>
      <c r="DV39" s="253"/>
      <c r="DW39" s="253"/>
      <c r="DX39" s="253"/>
      <c r="DY39" s="253"/>
      <c r="DZ39" s="253"/>
      <c r="EA39" s="253"/>
      <c r="EB39" s="253"/>
      <c r="EC39" s="253"/>
      <c r="ED39" s="253"/>
      <c r="EE39" s="253"/>
      <c r="EF39" s="253"/>
      <c r="EG39" s="253"/>
      <c r="EH39" s="253"/>
      <c r="EI39" s="253"/>
      <c r="EJ39" s="253"/>
      <c r="EK39" s="253"/>
      <c r="EL39" s="253"/>
      <c r="EM39" s="253"/>
      <c r="EN39" s="253"/>
      <c r="EO39" s="253"/>
      <c r="EP39" s="253"/>
      <c r="EQ39" s="253"/>
      <c r="ER39" s="253"/>
      <c r="ES39" s="253"/>
      <c r="ET39" s="253"/>
      <c r="EU39" s="253"/>
      <c r="EV39" s="253"/>
      <c r="EW39" s="253"/>
      <c r="EX39" s="253"/>
      <c r="EY39" s="253"/>
      <c r="EZ39" s="253"/>
      <c r="FA39" s="253"/>
      <c r="FB39" s="253"/>
      <c r="FC39" s="253"/>
      <c r="FD39" s="253"/>
      <c r="FE39" s="253"/>
      <c r="FF39" s="253"/>
      <c r="FG39" s="256"/>
      <c r="FH39" s="257" t="s">
        <v>892</v>
      </c>
      <c r="FI39" s="258" t="s">
        <v>389</v>
      </c>
      <c r="FJ39" s="258"/>
      <c r="FK39" s="258" t="s">
        <v>409</v>
      </c>
      <c r="FL39" s="259">
        <f t="shared" si="0"/>
        <v>0</v>
      </c>
      <c r="FM39" s="260" t="s">
        <v>410</v>
      </c>
      <c r="FN39" s="260"/>
    </row>
    <row r="40" spans="1:170" s="276" customFormat="1" ht="11.4" hidden="1">
      <c r="A40" s="251" t="s">
        <v>393</v>
      </c>
      <c r="B40" s="251" t="s">
        <v>385</v>
      </c>
      <c r="C40" s="251" t="s">
        <v>407</v>
      </c>
      <c r="D40" s="251" t="s">
        <v>1</v>
      </c>
      <c r="E40" s="252" t="s">
        <v>408</v>
      </c>
      <c r="F40" s="251" t="s">
        <v>388</v>
      </c>
      <c r="G40" s="251"/>
      <c r="H40" s="253"/>
      <c r="I40" s="253"/>
      <c r="J40" s="253"/>
      <c r="K40" s="253"/>
      <c r="L40" s="253"/>
      <c r="M40" s="253"/>
      <c r="N40" s="253"/>
      <c r="O40" s="253"/>
      <c r="P40" s="254">
        <f>1000-1000+10</f>
        <v>10</v>
      </c>
      <c r="Q40" s="255">
        <f>500-500</f>
        <v>0</v>
      </c>
      <c r="R40" s="253"/>
      <c r="S40" s="253"/>
      <c r="T40" s="253"/>
      <c r="U40" s="253"/>
      <c r="V40" s="253"/>
      <c r="W40" s="253"/>
      <c r="X40" s="253"/>
      <c r="Y40" s="253"/>
      <c r="Z40" s="253"/>
      <c r="AA40" s="253"/>
      <c r="AB40" s="253"/>
      <c r="AC40" s="253"/>
      <c r="AD40" s="255">
        <f>1500-1500</f>
        <v>0</v>
      </c>
      <c r="AE40" s="253"/>
      <c r="AF40" s="253"/>
      <c r="AG40" s="253"/>
      <c r="AH40" s="253"/>
      <c r="AI40" s="253"/>
      <c r="AJ40" s="253"/>
      <c r="AK40" s="253"/>
      <c r="AL40" s="253"/>
      <c r="AM40" s="253"/>
      <c r="AN40" s="253"/>
      <c r="AO40" s="255">
        <f>500-500</f>
        <v>0</v>
      </c>
      <c r="AP40" s="253"/>
      <c r="AQ40" s="253"/>
      <c r="AR40" s="253"/>
      <c r="AS40" s="253"/>
      <c r="AT40" s="253"/>
      <c r="AU40" s="253"/>
      <c r="AV40" s="253"/>
      <c r="AW40" s="255">
        <f>2000-2000</f>
        <v>0</v>
      </c>
      <c r="AX40" s="253"/>
      <c r="AY40" s="253"/>
      <c r="AZ40" s="253"/>
      <c r="BA40" s="253"/>
      <c r="BB40" s="253"/>
      <c r="BC40" s="253"/>
      <c r="BD40" s="253"/>
      <c r="BE40" s="253"/>
      <c r="BF40" s="253"/>
      <c r="BG40" s="253"/>
      <c r="BH40" s="253"/>
      <c r="BI40" s="253"/>
      <c r="BJ40" s="253"/>
      <c r="BK40" s="253"/>
      <c r="BL40" s="253"/>
      <c r="BM40" s="253"/>
      <c r="BN40" s="253"/>
      <c r="BO40" s="253"/>
      <c r="BP40" s="253"/>
      <c r="BQ40" s="253"/>
      <c r="BR40" s="253"/>
      <c r="BS40" s="253"/>
      <c r="BT40" s="253"/>
      <c r="BU40" s="253"/>
      <c r="BV40" s="253"/>
      <c r="BW40" s="253"/>
      <c r="BX40" s="253"/>
      <c r="BY40" s="253"/>
      <c r="BZ40" s="253"/>
      <c r="CA40" s="253"/>
      <c r="CB40" s="253"/>
      <c r="CC40" s="253"/>
      <c r="CD40" s="253"/>
      <c r="CE40" s="253"/>
      <c r="CF40" s="253"/>
      <c r="CG40" s="253"/>
      <c r="CH40" s="253"/>
      <c r="CI40" s="253"/>
      <c r="CJ40" s="253"/>
      <c r="CK40" s="253"/>
      <c r="CL40" s="253"/>
      <c r="CM40" s="253"/>
      <c r="CN40" s="253"/>
      <c r="CO40" s="253"/>
      <c r="CP40" s="253"/>
      <c r="CQ40" s="253"/>
      <c r="CR40" s="253"/>
      <c r="CS40" s="253"/>
      <c r="CT40" s="253"/>
      <c r="CU40" s="253"/>
      <c r="CV40" s="253"/>
      <c r="CW40" s="253"/>
      <c r="CX40" s="253"/>
      <c r="CY40" s="253"/>
      <c r="CZ40" s="253"/>
      <c r="DA40" s="253"/>
      <c r="DB40" s="253"/>
      <c r="DC40" s="253"/>
      <c r="DD40" s="253"/>
      <c r="DE40" s="253"/>
      <c r="DF40" s="253"/>
      <c r="DG40" s="253"/>
      <c r="DH40" s="253"/>
      <c r="DI40" s="253"/>
      <c r="DJ40" s="253"/>
      <c r="DK40" s="253"/>
      <c r="DL40" s="253"/>
      <c r="DM40" s="253"/>
      <c r="DN40" s="253"/>
      <c r="DO40" s="253"/>
      <c r="DP40" s="253"/>
      <c r="DQ40" s="253"/>
      <c r="DR40" s="253"/>
      <c r="DS40" s="253"/>
      <c r="DT40" s="253"/>
      <c r="DU40" s="253"/>
      <c r="DV40" s="253"/>
      <c r="DW40" s="253"/>
      <c r="DX40" s="253"/>
      <c r="DY40" s="253"/>
      <c r="DZ40" s="253"/>
      <c r="EA40" s="253"/>
      <c r="EB40" s="253"/>
      <c r="EC40" s="253"/>
      <c r="ED40" s="253"/>
      <c r="EE40" s="253"/>
      <c r="EF40" s="253"/>
      <c r="EG40" s="253"/>
      <c r="EH40" s="253"/>
      <c r="EI40" s="255">
        <f>500-500</f>
        <v>0</v>
      </c>
      <c r="EJ40" s="253"/>
      <c r="EK40" s="253"/>
      <c r="EL40" s="253"/>
      <c r="EM40" s="253"/>
      <c r="EN40" s="253"/>
      <c r="EO40" s="253"/>
      <c r="EP40" s="253"/>
      <c r="EQ40" s="253"/>
      <c r="ER40" s="253"/>
      <c r="ES40" s="253"/>
      <c r="ET40" s="253"/>
      <c r="EU40" s="253"/>
      <c r="EV40" s="253"/>
      <c r="EW40" s="253"/>
      <c r="EX40" s="253"/>
      <c r="EY40" s="253"/>
      <c r="EZ40" s="253"/>
      <c r="FA40" s="253"/>
      <c r="FB40" s="253"/>
      <c r="FC40" s="253"/>
      <c r="FD40" s="253"/>
      <c r="FE40" s="253"/>
      <c r="FF40" s="253"/>
      <c r="FG40" s="256"/>
      <c r="FH40" s="257" t="s">
        <v>892</v>
      </c>
      <c r="FI40" s="258" t="s">
        <v>389</v>
      </c>
      <c r="FJ40" s="258"/>
      <c r="FK40" s="258" t="s">
        <v>409</v>
      </c>
      <c r="FL40" s="259">
        <f t="shared" si="0"/>
        <v>10</v>
      </c>
      <c r="FM40" s="260" t="s">
        <v>410</v>
      </c>
      <c r="FN40" s="260"/>
    </row>
    <row r="41" spans="1:170" s="276" customFormat="1" ht="11.4" hidden="1">
      <c r="A41" s="251" t="s">
        <v>385</v>
      </c>
      <c r="B41" s="251" t="s">
        <v>385</v>
      </c>
      <c r="C41" s="251" t="s">
        <v>893</v>
      </c>
      <c r="D41" s="251" t="s">
        <v>291</v>
      </c>
      <c r="E41" s="252" t="s">
        <v>894</v>
      </c>
      <c r="F41" s="251" t="s">
        <v>388</v>
      </c>
      <c r="G41" s="251"/>
      <c r="H41" s="253"/>
      <c r="I41" s="253"/>
      <c r="J41" s="253"/>
      <c r="K41" s="253"/>
      <c r="L41" s="253"/>
      <c r="M41" s="253"/>
      <c r="N41" s="255">
        <f>100-100</f>
        <v>0</v>
      </c>
      <c r="O41" s="253"/>
      <c r="P41" s="253"/>
      <c r="Q41" s="253"/>
      <c r="R41" s="253"/>
      <c r="S41" s="253"/>
      <c r="T41" s="253"/>
      <c r="U41" s="253"/>
      <c r="V41" s="253"/>
      <c r="W41" s="253"/>
      <c r="X41" s="253"/>
      <c r="Y41" s="253"/>
      <c r="Z41" s="253"/>
      <c r="AA41" s="253"/>
      <c r="AB41" s="253"/>
      <c r="AC41" s="253"/>
      <c r="AD41" s="253"/>
      <c r="AE41" s="253"/>
      <c r="AF41" s="253"/>
      <c r="AG41" s="253"/>
      <c r="AH41" s="253"/>
      <c r="AI41" s="253"/>
      <c r="AJ41" s="253"/>
      <c r="AK41" s="253"/>
      <c r="AL41" s="253"/>
      <c r="AM41" s="253"/>
      <c r="AN41" s="253"/>
      <c r="AO41" s="253"/>
      <c r="AP41" s="253"/>
      <c r="AQ41" s="253"/>
      <c r="AR41" s="253"/>
      <c r="AS41" s="253"/>
      <c r="AT41" s="253"/>
      <c r="AU41" s="253"/>
      <c r="AV41" s="253"/>
      <c r="AW41" s="253"/>
      <c r="AX41" s="253"/>
      <c r="AY41" s="253"/>
      <c r="AZ41" s="253"/>
      <c r="BA41" s="253"/>
      <c r="BB41" s="253"/>
      <c r="BC41" s="253"/>
      <c r="BD41" s="253"/>
      <c r="BE41" s="253"/>
      <c r="BF41" s="253"/>
      <c r="BG41" s="253"/>
      <c r="BH41" s="253"/>
      <c r="BI41" s="253"/>
      <c r="BJ41" s="253"/>
      <c r="BK41" s="253"/>
      <c r="BL41" s="253"/>
      <c r="BM41" s="253"/>
      <c r="BN41" s="253"/>
      <c r="BO41" s="253"/>
      <c r="BP41" s="253"/>
      <c r="BQ41" s="253"/>
      <c r="BR41" s="253"/>
      <c r="BS41" s="253"/>
      <c r="BT41" s="253"/>
      <c r="BU41" s="253"/>
      <c r="BV41" s="253"/>
      <c r="BW41" s="253"/>
      <c r="BX41" s="253"/>
      <c r="BY41" s="253"/>
      <c r="BZ41" s="253"/>
      <c r="CA41" s="253"/>
      <c r="CB41" s="253"/>
      <c r="CC41" s="253"/>
      <c r="CD41" s="253"/>
      <c r="CE41" s="253"/>
      <c r="CF41" s="253"/>
      <c r="CG41" s="253"/>
      <c r="CH41" s="253"/>
      <c r="CI41" s="253"/>
      <c r="CJ41" s="253"/>
      <c r="CK41" s="253"/>
      <c r="CL41" s="253"/>
      <c r="CM41" s="253"/>
      <c r="CN41" s="253"/>
      <c r="CO41" s="253"/>
      <c r="CP41" s="253"/>
      <c r="CQ41" s="253"/>
      <c r="CR41" s="253"/>
      <c r="CS41" s="253"/>
      <c r="CT41" s="253"/>
      <c r="CU41" s="253"/>
      <c r="CV41" s="253"/>
      <c r="CW41" s="253"/>
      <c r="CX41" s="253"/>
      <c r="CY41" s="253"/>
      <c r="CZ41" s="253"/>
      <c r="DA41" s="253"/>
      <c r="DB41" s="253"/>
      <c r="DC41" s="253"/>
      <c r="DD41" s="253"/>
      <c r="DE41" s="253"/>
      <c r="DF41" s="253"/>
      <c r="DG41" s="253"/>
      <c r="DH41" s="253"/>
      <c r="DI41" s="253"/>
      <c r="DJ41" s="253"/>
      <c r="DK41" s="253"/>
      <c r="DL41" s="253"/>
      <c r="DM41" s="253"/>
      <c r="DN41" s="253"/>
      <c r="DO41" s="253"/>
      <c r="DP41" s="253"/>
      <c r="DQ41" s="253"/>
      <c r="DR41" s="253"/>
      <c r="DS41" s="253"/>
      <c r="DT41" s="253"/>
      <c r="DU41" s="253"/>
      <c r="DV41" s="253"/>
      <c r="DW41" s="253"/>
      <c r="DX41" s="253"/>
      <c r="DY41" s="253"/>
      <c r="DZ41" s="253"/>
      <c r="EA41" s="253"/>
      <c r="EB41" s="253"/>
      <c r="EC41" s="253"/>
      <c r="ED41" s="253"/>
      <c r="EE41" s="253"/>
      <c r="EF41" s="253"/>
      <c r="EG41" s="253"/>
      <c r="EH41" s="253"/>
      <c r="EI41" s="253"/>
      <c r="EJ41" s="253"/>
      <c r="EK41" s="253"/>
      <c r="EL41" s="253"/>
      <c r="EM41" s="253"/>
      <c r="EN41" s="253"/>
      <c r="EO41" s="253"/>
      <c r="EP41" s="253"/>
      <c r="EQ41" s="253"/>
      <c r="ER41" s="253"/>
      <c r="ES41" s="253"/>
      <c r="ET41" s="253"/>
      <c r="EU41" s="253"/>
      <c r="EV41" s="253"/>
      <c r="EW41" s="253"/>
      <c r="EX41" s="253"/>
      <c r="EY41" s="253"/>
      <c r="EZ41" s="253"/>
      <c r="FA41" s="253"/>
      <c r="FB41" s="253"/>
      <c r="FC41" s="253"/>
      <c r="FD41" s="253"/>
      <c r="FE41" s="253"/>
      <c r="FF41" s="253"/>
      <c r="FG41" s="256"/>
      <c r="FH41" s="257" t="s">
        <v>892</v>
      </c>
      <c r="FI41" s="258" t="s">
        <v>389</v>
      </c>
      <c r="FJ41" s="258"/>
      <c r="FK41" s="258" t="s">
        <v>895</v>
      </c>
      <c r="FL41" s="259">
        <f t="shared" si="0"/>
        <v>0</v>
      </c>
      <c r="FM41" s="260" t="s">
        <v>410</v>
      </c>
      <c r="FN41" s="260"/>
    </row>
    <row r="42" spans="1:170">
      <c r="A42" s="251" t="s">
        <v>393</v>
      </c>
      <c r="B42" s="251" t="s">
        <v>385</v>
      </c>
      <c r="C42" s="251" t="s">
        <v>411</v>
      </c>
      <c r="D42" s="251" t="s">
        <v>291</v>
      </c>
      <c r="E42" s="252" t="s">
        <v>412</v>
      </c>
      <c r="F42" s="251" t="s">
        <v>388</v>
      </c>
      <c r="G42" s="251"/>
      <c r="H42" s="253"/>
      <c r="I42" s="253"/>
      <c r="J42" s="253"/>
      <c r="K42" s="253"/>
      <c r="L42" s="253"/>
      <c r="M42" s="253"/>
      <c r="N42" s="255">
        <f>100-100</f>
        <v>0</v>
      </c>
      <c r="O42" s="253"/>
      <c r="P42" s="253"/>
      <c r="Q42" s="253"/>
      <c r="R42" s="253"/>
      <c r="S42" s="253"/>
      <c r="T42" s="253"/>
      <c r="U42" s="253"/>
      <c r="V42" s="253"/>
      <c r="W42" s="253"/>
      <c r="X42" s="253"/>
      <c r="Y42" s="253"/>
      <c r="Z42" s="253"/>
      <c r="AA42" s="253"/>
      <c r="AB42" s="253"/>
      <c r="AC42" s="253"/>
      <c r="AD42" s="253"/>
      <c r="AE42" s="253"/>
      <c r="AF42" s="253"/>
      <c r="AG42" s="254">
        <f>0+20</f>
        <v>20</v>
      </c>
      <c r="AH42" s="253"/>
      <c r="AI42" s="255">
        <f>200-200</f>
        <v>0</v>
      </c>
      <c r="AJ42" s="253"/>
      <c r="AK42" s="253"/>
      <c r="AL42" s="253"/>
      <c r="AM42" s="253"/>
      <c r="AN42" s="253"/>
      <c r="AO42" s="253"/>
      <c r="AP42" s="253"/>
      <c r="AQ42" s="253"/>
      <c r="AR42" s="253"/>
      <c r="AS42" s="255">
        <f>200-200</f>
        <v>0</v>
      </c>
      <c r="AT42" s="255">
        <f>200-200</f>
        <v>0</v>
      </c>
      <c r="AU42" s="253"/>
      <c r="AV42" s="253"/>
      <c r="AW42" s="253"/>
      <c r="AX42" s="253"/>
      <c r="AY42" s="253"/>
      <c r="AZ42" s="253"/>
      <c r="BA42" s="253"/>
      <c r="BB42" s="253"/>
      <c r="BC42" s="253"/>
      <c r="BD42" s="253"/>
      <c r="BE42" s="253"/>
      <c r="BF42" s="253"/>
      <c r="BG42" s="255">
        <f>400-400</f>
        <v>0</v>
      </c>
      <c r="BH42" s="253"/>
      <c r="BI42" s="253"/>
      <c r="BJ42" s="253"/>
      <c r="BK42" s="253"/>
      <c r="BL42" s="253"/>
      <c r="BM42" s="253"/>
      <c r="BN42" s="253"/>
      <c r="BO42" s="253"/>
      <c r="BP42" s="253"/>
      <c r="BQ42" s="253"/>
      <c r="BR42" s="253"/>
      <c r="BS42" s="253"/>
      <c r="BT42" s="253"/>
      <c r="BU42" s="253"/>
      <c r="BV42" s="253"/>
      <c r="BW42" s="253"/>
      <c r="BX42" s="253"/>
      <c r="BY42" s="253"/>
      <c r="BZ42" s="253"/>
      <c r="CA42" s="253"/>
      <c r="CB42" s="253"/>
      <c r="CC42" s="253"/>
      <c r="CD42" s="253"/>
      <c r="CE42" s="253"/>
      <c r="CF42" s="253"/>
      <c r="CG42" s="253"/>
      <c r="CH42" s="253"/>
      <c r="CI42" s="253"/>
      <c r="CJ42" s="253"/>
      <c r="CK42" s="253"/>
      <c r="CL42" s="253"/>
      <c r="CM42" s="253"/>
      <c r="CN42" s="253"/>
      <c r="CO42" s="253"/>
      <c r="CP42" s="253"/>
      <c r="CQ42" s="253"/>
      <c r="CR42" s="253"/>
      <c r="CS42" s="253"/>
      <c r="CT42" s="253"/>
      <c r="CU42" s="253"/>
      <c r="CV42" s="253"/>
      <c r="CW42" s="253"/>
      <c r="CX42" s="253"/>
      <c r="CY42" s="253"/>
      <c r="CZ42" s="253"/>
      <c r="DA42" s="253"/>
      <c r="DB42" s="253"/>
      <c r="DC42" s="253"/>
      <c r="DD42" s="253"/>
      <c r="DE42" s="253"/>
      <c r="DF42" s="253"/>
      <c r="DG42" s="253"/>
      <c r="DH42" s="253"/>
      <c r="DI42" s="253"/>
      <c r="DJ42" s="253"/>
      <c r="DK42" s="253"/>
      <c r="DL42" s="253"/>
      <c r="DM42" s="253"/>
      <c r="DN42" s="253"/>
      <c r="DO42" s="253"/>
      <c r="DP42" s="253"/>
      <c r="DQ42" s="253"/>
      <c r="DR42" s="253"/>
      <c r="DS42" s="253"/>
      <c r="DT42" s="253"/>
      <c r="DU42" s="253"/>
      <c r="DV42" s="253"/>
      <c r="DW42" s="253"/>
      <c r="DX42" s="253"/>
      <c r="DY42" s="253"/>
      <c r="DZ42" s="253"/>
      <c r="EA42" s="253"/>
      <c r="EB42" s="253"/>
      <c r="EC42" s="253"/>
      <c r="ED42" s="253"/>
      <c r="EE42" s="253"/>
      <c r="EF42" s="253"/>
      <c r="EG42" s="253"/>
      <c r="EH42" s="253"/>
      <c r="EI42" s="253"/>
      <c r="EJ42" s="253"/>
      <c r="EK42" s="253"/>
      <c r="EL42" s="253"/>
      <c r="EM42" s="253"/>
      <c r="EN42" s="253"/>
      <c r="EO42" s="253"/>
      <c r="EP42" s="253"/>
      <c r="EQ42" s="253"/>
      <c r="ER42" s="253"/>
      <c r="ES42" s="253"/>
      <c r="ET42" s="253"/>
      <c r="EU42" s="253"/>
      <c r="EV42" s="253"/>
      <c r="EW42" s="253"/>
      <c r="EX42" s="253"/>
      <c r="EY42" s="253"/>
      <c r="EZ42" s="253"/>
      <c r="FA42" s="253"/>
      <c r="FB42" s="253"/>
      <c r="FC42" s="253"/>
      <c r="FD42" s="253"/>
      <c r="FE42" s="253"/>
      <c r="FF42" s="253"/>
      <c r="FG42" s="256"/>
      <c r="FH42" s="257" t="s">
        <v>892</v>
      </c>
      <c r="FI42" s="258" t="s">
        <v>389</v>
      </c>
      <c r="FJ42" s="258"/>
      <c r="FK42" s="258" t="s">
        <v>413</v>
      </c>
      <c r="FL42" s="259">
        <f t="shared" si="0"/>
        <v>20</v>
      </c>
      <c r="FM42" s="260" t="s">
        <v>414</v>
      </c>
      <c r="FN42" s="260"/>
    </row>
    <row r="43" spans="1:170">
      <c r="A43" s="251" t="s">
        <v>393</v>
      </c>
      <c r="B43" s="251" t="s">
        <v>385</v>
      </c>
      <c r="C43" s="251" t="s">
        <v>411</v>
      </c>
      <c r="D43" s="251" t="s">
        <v>1</v>
      </c>
      <c r="E43" s="252" t="s">
        <v>412</v>
      </c>
      <c r="F43" s="251" t="s">
        <v>388</v>
      </c>
      <c r="G43" s="251"/>
      <c r="H43" s="253"/>
      <c r="I43" s="253"/>
      <c r="J43" s="253"/>
      <c r="K43" s="253"/>
      <c r="L43" s="253"/>
      <c r="M43" s="253"/>
      <c r="N43" s="253"/>
      <c r="O43" s="253"/>
      <c r="P43" s="254">
        <f>100-100+10</f>
        <v>10</v>
      </c>
      <c r="Q43" s="253"/>
      <c r="R43" s="253"/>
      <c r="S43" s="253"/>
      <c r="T43" s="253"/>
      <c r="U43" s="253"/>
      <c r="V43" s="255">
        <f>200-200</f>
        <v>0</v>
      </c>
      <c r="W43" s="253"/>
      <c r="X43" s="253"/>
      <c r="Y43" s="253"/>
      <c r="Z43" s="255">
        <f>200-200</f>
        <v>0</v>
      </c>
      <c r="AA43" s="253"/>
      <c r="AB43" s="253"/>
      <c r="AC43" s="253"/>
      <c r="AD43" s="255">
        <f>300-300</f>
        <v>0</v>
      </c>
      <c r="AE43" s="253"/>
      <c r="AF43" s="253"/>
      <c r="AG43" s="255">
        <f>200-200</f>
        <v>0</v>
      </c>
      <c r="AH43" s="253"/>
      <c r="AI43" s="253"/>
      <c r="AJ43" s="253"/>
      <c r="AK43" s="253"/>
      <c r="AL43" s="253"/>
      <c r="AM43" s="255">
        <f>200-200</f>
        <v>0</v>
      </c>
      <c r="AN43" s="253"/>
      <c r="AO43" s="255">
        <f>200-200</f>
        <v>0</v>
      </c>
      <c r="AP43" s="253"/>
      <c r="AQ43" s="253"/>
      <c r="AR43" s="253"/>
      <c r="AS43" s="253"/>
      <c r="AT43" s="253"/>
      <c r="AU43" s="255">
        <f>400-400</f>
        <v>0</v>
      </c>
      <c r="AV43" s="253"/>
      <c r="AW43" s="253"/>
      <c r="AX43" s="253"/>
      <c r="AY43" s="253"/>
      <c r="AZ43" s="253"/>
      <c r="BA43" s="253"/>
      <c r="BB43" s="253"/>
      <c r="BC43" s="255">
        <f>200-200</f>
        <v>0</v>
      </c>
      <c r="BD43" s="253"/>
      <c r="BE43" s="253"/>
      <c r="BF43" s="253"/>
      <c r="BG43" s="253"/>
      <c r="BH43" s="254">
        <f>200-200+3</f>
        <v>3</v>
      </c>
      <c r="BI43" s="255">
        <f>200-200</f>
        <v>0</v>
      </c>
      <c r="BJ43" s="253"/>
      <c r="BK43" s="253"/>
      <c r="BL43" s="253"/>
      <c r="BM43" s="253"/>
      <c r="BN43" s="253"/>
      <c r="BO43" s="253"/>
      <c r="BP43" s="253"/>
      <c r="BQ43" s="253"/>
      <c r="BR43" s="253"/>
      <c r="BS43" s="253"/>
      <c r="BT43" s="253"/>
      <c r="BU43" s="253"/>
      <c r="BV43" s="253"/>
      <c r="BW43" s="253"/>
      <c r="BX43" s="253"/>
      <c r="BY43" s="253"/>
      <c r="BZ43" s="253"/>
      <c r="CA43" s="253"/>
      <c r="CB43" s="253"/>
      <c r="CC43" s="253"/>
      <c r="CD43" s="253"/>
      <c r="CE43" s="253"/>
      <c r="CF43" s="253"/>
      <c r="CG43" s="253"/>
      <c r="CH43" s="253"/>
      <c r="CI43" s="253"/>
      <c r="CJ43" s="253"/>
      <c r="CK43" s="253"/>
      <c r="CL43" s="253"/>
      <c r="CM43" s="253"/>
      <c r="CN43" s="253"/>
      <c r="CO43" s="253"/>
      <c r="CP43" s="253"/>
      <c r="CQ43" s="253"/>
      <c r="CR43" s="253"/>
      <c r="CS43" s="253"/>
      <c r="CT43" s="253"/>
      <c r="CU43" s="253"/>
      <c r="CV43" s="253"/>
      <c r="CW43" s="253"/>
      <c r="CX43" s="253"/>
      <c r="CY43" s="253"/>
      <c r="CZ43" s="253"/>
      <c r="DA43" s="253"/>
      <c r="DB43" s="253"/>
      <c r="DC43" s="253"/>
      <c r="DD43" s="253"/>
      <c r="DE43" s="253"/>
      <c r="DF43" s="253"/>
      <c r="DG43" s="253"/>
      <c r="DH43" s="253"/>
      <c r="DI43" s="253"/>
      <c r="DJ43" s="253"/>
      <c r="DK43" s="253"/>
      <c r="DL43" s="253"/>
      <c r="DM43" s="253"/>
      <c r="DN43" s="253"/>
      <c r="DO43" s="253"/>
      <c r="DP43" s="253"/>
      <c r="DQ43" s="253"/>
      <c r="DR43" s="253"/>
      <c r="DS43" s="253"/>
      <c r="DT43" s="253"/>
      <c r="DU43" s="253"/>
      <c r="DV43" s="255">
        <f>100-100</f>
        <v>0</v>
      </c>
      <c r="DW43" s="253"/>
      <c r="DX43" s="253"/>
      <c r="DY43" s="253"/>
      <c r="DZ43" s="255">
        <f>100-100</f>
        <v>0</v>
      </c>
      <c r="EA43" s="253"/>
      <c r="EB43" s="255">
        <f>100-100</f>
        <v>0</v>
      </c>
      <c r="EC43" s="255">
        <f>100-100</f>
        <v>0</v>
      </c>
      <c r="ED43" s="255">
        <f>100-100</f>
        <v>0</v>
      </c>
      <c r="EE43" s="253"/>
      <c r="EF43" s="253"/>
      <c r="EG43" s="253"/>
      <c r="EH43" s="253"/>
      <c r="EI43" s="255">
        <f>100-100</f>
        <v>0</v>
      </c>
      <c r="EJ43" s="253"/>
      <c r="EK43" s="253"/>
      <c r="EL43" s="253"/>
      <c r="EM43" s="253"/>
      <c r="EN43" s="253"/>
      <c r="EO43" s="253"/>
      <c r="EP43" s="253"/>
      <c r="EQ43" s="253"/>
      <c r="ER43" s="253"/>
      <c r="ES43" s="253"/>
      <c r="ET43" s="253"/>
      <c r="EU43" s="253"/>
      <c r="EV43" s="253"/>
      <c r="EW43" s="253"/>
      <c r="EX43" s="253"/>
      <c r="EY43" s="253"/>
      <c r="EZ43" s="253"/>
      <c r="FA43" s="253"/>
      <c r="FB43" s="253"/>
      <c r="FC43" s="253"/>
      <c r="FD43" s="253"/>
      <c r="FE43" s="253"/>
      <c r="FF43" s="253"/>
      <c r="FG43" s="256"/>
      <c r="FH43" s="257" t="s">
        <v>892</v>
      </c>
      <c r="FI43" s="258" t="s">
        <v>389</v>
      </c>
      <c r="FJ43" s="258"/>
      <c r="FK43" s="258" t="s">
        <v>413</v>
      </c>
      <c r="FL43" s="259">
        <f t="shared" si="0"/>
        <v>13</v>
      </c>
      <c r="FM43" s="260" t="s">
        <v>414</v>
      </c>
      <c r="FN43" s="260"/>
    </row>
    <row r="44" spans="1:170">
      <c r="A44" s="251" t="s">
        <v>385</v>
      </c>
      <c r="B44" s="251" t="s">
        <v>385</v>
      </c>
      <c r="C44" s="251" t="s">
        <v>411</v>
      </c>
      <c r="D44" s="251" t="s">
        <v>291</v>
      </c>
      <c r="E44" s="252" t="s">
        <v>415</v>
      </c>
      <c r="F44" s="251" t="s">
        <v>388</v>
      </c>
      <c r="G44" s="251"/>
      <c r="H44" s="253"/>
      <c r="I44" s="253"/>
      <c r="J44" s="253"/>
      <c r="K44" s="253"/>
      <c r="L44" s="253"/>
      <c r="M44" s="253"/>
      <c r="N44" s="253"/>
      <c r="O44" s="253"/>
      <c r="P44" s="253"/>
      <c r="Q44" s="253"/>
      <c r="R44" s="253"/>
      <c r="S44" s="253"/>
      <c r="T44" s="253"/>
      <c r="U44" s="253"/>
      <c r="V44" s="253"/>
      <c r="W44" s="253"/>
      <c r="X44" s="253"/>
      <c r="Y44" s="253"/>
      <c r="Z44" s="253"/>
      <c r="AA44" s="253"/>
      <c r="AB44" s="253"/>
      <c r="AC44" s="253"/>
      <c r="AD44" s="253"/>
      <c r="AE44" s="253"/>
      <c r="AF44" s="253"/>
      <c r="AG44" s="253"/>
      <c r="AH44" s="253"/>
      <c r="AI44" s="255">
        <f>100-100</f>
        <v>0</v>
      </c>
      <c r="AJ44" s="255">
        <f>100-100</f>
        <v>0</v>
      </c>
      <c r="AK44" s="253"/>
      <c r="AL44" s="253"/>
      <c r="AM44" s="253"/>
      <c r="AN44" s="253"/>
      <c r="AO44" s="253"/>
      <c r="AP44" s="253"/>
      <c r="AQ44" s="253"/>
      <c r="AR44" s="253"/>
      <c r="AS44" s="255">
        <f>200-200</f>
        <v>0</v>
      </c>
      <c r="AT44" s="255">
        <f>200-200</f>
        <v>0</v>
      </c>
      <c r="AU44" s="253"/>
      <c r="AV44" s="253"/>
      <c r="AW44" s="253"/>
      <c r="AX44" s="253"/>
      <c r="AY44" s="253"/>
      <c r="AZ44" s="253"/>
      <c r="BA44" s="253"/>
      <c r="BB44" s="253"/>
      <c r="BC44" s="253"/>
      <c r="BD44" s="253"/>
      <c r="BE44" s="253"/>
      <c r="BF44" s="253"/>
      <c r="BG44" s="253"/>
      <c r="BH44" s="253"/>
      <c r="BI44" s="253"/>
      <c r="BJ44" s="253"/>
      <c r="BK44" s="253"/>
      <c r="BL44" s="253"/>
      <c r="BM44" s="253"/>
      <c r="BN44" s="253"/>
      <c r="BO44" s="253"/>
      <c r="BP44" s="253"/>
      <c r="BQ44" s="253"/>
      <c r="BR44" s="253"/>
      <c r="BS44" s="253"/>
      <c r="BT44" s="253"/>
      <c r="BU44" s="253"/>
      <c r="BV44" s="253"/>
      <c r="BW44" s="253"/>
      <c r="BX44" s="253"/>
      <c r="BY44" s="253"/>
      <c r="BZ44" s="253"/>
      <c r="CA44" s="253"/>
      <c r="CB44" s="253"/>
      <c r="CC44" s="253"/>
      <c r="CD44" s="253"/>
      <c r="CE44" s="253"/>
      <c r="CF44" s="253"/>
      <c r="CG44" s="253"/>
      <c r="CH44" s="253"/>
      <c r="CI44" s="253"/>
      <c r="CJ44" s="253"/>
      <c r="CK44" s="253"/>
      <c r="CL44" s="253"/>
      <c r="CM44" s="253"/>
      <c r="CN44" s="253"/>
      <c r="CO44" s="253"/>
      <c r="CP44" s="253"/>
      <c r="CQ44" s="253"/>
      <c r="CR44" s="253"/>
      <c r="CS44" s="253"/>
      <c r="CT44" s="253"/>
      <c r="CU44" s="253"/>
      <c r="CV44" s="253"/>
      <c r="CW44" s="253"/>
      <c r="CX44" s="253"/>
      <c r="CY44" s="253"/>
      <c r="CZ44" s="253"/>
      <c r="DA44" s="253"/>
      <c r="DB44" s="253"/>
      <c r="DC44" s="253"/>
      <c r="DD44" s="253"/>
      <c r="DE44" s="253"/>
      <c r="DF44" s="253"/>
      <c r="DG44" s="253"/>
      <c r="DH44" s="253"/>
      <c r="DI44" s="253"/>
      <c r="DJ44" s="253"/>
      <c r="DK44" s="253"/>
      <c r="DL44" s="253"/>
      <c r="DM44" s="253"/>
      <c r="DN44" s="253"/>
      <c r="DO44" s="253"/>
      <c r="DP44" s="253"/>
      <c r="DQ44" s="253"/>
      <c r="DR44" s="253"/>
      <c r="DS44" s="253"/>
      <c r="DT44" s="253"/>
      <c r="DU44" s="253"/>
      <c r="DV44" s="253"/>
      <c r="DW44" s="253"/>
      <c r="DX44" s="253"/>
      <c r="DY44" s="253"/>
      <c r="DZ44" s="253"/>
      <c r="EA44" s="253"/>
      <c r="EB44" s="253"/>
      <c r="EC44" s="253"/>
      <c r="ED44" s="253"/>
      <c r="EE44" s="253"/>
      <c r="EF44" s="253"/>
      <c r="EG44" s="253"/>
      <c r="EH44" s="253"/>
      <c r="EI44" s="253"/>
      <c r="EJ44" s="253"/>
      <c r="EK44" s="253"/>
      <c r="EL44" s="253"/>
      <c r="EM44" s="253"/>
      <c r="EN44" s="253"/>
      <c r="EO44" s="253"/>
      <c r="EP44" s="253"/>
      <c r="EQ44" s="253"/>
      <c r="ER44" s="253"/>
      <c r="ES44" s="253"/>
      <c r="ET44" s="253"/>
      <c r="EU44" s="253"/>
      <c r="EV44" s="253"/>
      <c r="EW44" s="253"/>
      <c r="EX44" s="253"/>
      <c r="EY44" s="253"/>
      <c r="EZ44" s="253"/>
      <c r="FA44" s="253"/>
      <c r="FB44" s="253"/>
      <c r="FC44" s="253"/>
      <c r="FD44" s="253"/>
      <c r="FE44" s="253"/>
      <c r="FF44" s="253"/>
      <c r="FG44" s="256"/>
      <c r="FH44" s="257" t="s">
        <v>892</v>
      </c>
      <c r="FI44" s="258" t="s">
        <v>389</v>
      </c>
      <c r="FJ44" s="258"/>
      <c r="FK44" s="258" t="s">
        <v>896</v>
      </c>
      <c r="FL44" s="259">
        <f t="shared" si="0"/>
        <v>0</v>
      </c>
      <c r="FM44" s="260" t="s">
        <v>414</v>
      </c>
      <c r="FN44" s="260"/>
    </row>
    <row r="45" spans="1:170">
      <c r="A45" s="251" t="s">
        <v>385</v>
      </c>
      <c r="B45" s="251" t="s">
        <v>385</v>
      </c>
      <c r="C45" s="251" t="s">
        <v>411</v>
      </c>
      <c r="D45" s="251" t="s">
        <v>1</v>
      </c>
      <c r="E45" s="252" t="s">
        <v>415</v>
      </c>
      <c r="F45" s="251" t="s">
        <v>388</v>
      </c>
      <c r="G45" s="251"/>
      <c r="H45" s="253"/>
      <c r="I45" s="253"/>
      <c r="J45" s="253"/>
      <c r="K45" s="253"/>
      <c r="L45" s="253"/>
      <c r="M45" s="255">
        <f>20-20</f>
        <v>0</v>
      </c>
      <c r="N45" s="253"/>
      <c r="O45" s="253"/>
      <c r="P45" s="253"/>
      <c r="Q45" s="253"/>
      <c r="R45" s="253"/>
      <c r="S45" s="253"/>
      <c r="T45" s="253"/>
      <c r="U45" s="253"/>
      <c r="V45" s="253"/>
      <c r="W45" s="253"/>
      <c r="X45" s="253"/>
      <c r="Y45" s="253"/>
      <c r="Z45" s="253"/>
      <c r="AA45" s="253"/>
      <c r="AB45" s="253"/>
      <c r="AC45" s="253"/>
      <c r="AD45" s="253"/>
      <c r="AE45" s="253"/>
      <c r="AF45" s="253"/>
      <c r="AG45" s="253"/>
      <c r="AH45" s="253"/>
      <c r="AI45" s="253"/>
      <c r="AJ45" s="253"/>
      <c r="AK45" s="253"/>
      <c r="AL45" s="253"/>
      <c r="AM45" s="255">
        <f>50-50</f>
        <v>0</v>
      </c>
      <c r="AN45" s="253"/>
      <c r="AO45" s="255">
        <f>50-50</f>
        <v>0</v>
      </c>
      <c r="AP45" s="253"/>
      <c r="AQ45" s="253"/>
      <c r="AR45" s="253"/>
      <c r="AS45" s="253"/>
      <c r="AT45" s="253"/>
      <c r="AU45" s="253"/>
      <c r="AV45" s="253"/>
      <c r="AW45" s="255">
        <f>200-200</f>
        <v>0</v>
      </c>
      <c r="AX45" s="253"/>
      <c r="AY45" s="253"/>
      <c r="AZ45" s="253"/>
      <c r="BA45" s="253"/>
      <c r="BB45" s="253"/>
      <c r="BC45" s="253"/>
      <c r="BD45" s="253"/>
      <c r="BE45" s="253"/>
      <c r="BF45" s="253"/>
      <c r="BG45" s="253"/>
      <c r="BH45" s="253"/>
      <c r="BI45" s="253"/>
      <c r="BJ45" s="253"/>
      <c r="BK45" s="253"/>
      <c r="BL45" s="253"/>
      <c r="BM45" s="253"/>
      <c r="BN45" s="253"/>
      <c r="BO45" s="253"/>
      <c r="BP45" s="253"/>
      <c r="BQ45" s="253"/>
      <c r="BR45" s="253"/>
      <c r="BS45" s="253"/>
      <c r="BT45" s="253"/>
      <c r="BU45" s="253"/>
      <c r="BV45" s="253"/>
      <c r="BW45" s="253"/>
      <c r="BX45" s="253"/>
      <c r="BY45" s="253"/>
      <c r="BZ45" s="253"/>
      <c r="CA45" s="253"/>
      <c r="CB45" s="253"/>
      <c r="CC45" s="253"/>
      <c r="CD45" s="253"/>
      <c r="CE45" s="253"/>
      <c r="CF45" s="253"/>
      <c r="CG45" s="253"/>
      <c r="CH45" s="253"/>
      <c r="CI45" s="253"/>
      <c r="CJ45" s="253"/>
      <c r="CK45" s="253"/>
      <c r="CL45" s="253"/>
      <c r="CM45" s="253"/>
      <c r="CN45" s="253"/>
      <c r="CO45" s="253"/>
      <c r="CP45" s="253"/>
      <c r="CQ45" s="253"/>
      <c r="CR45" s="253"/>
      <c r="CS45" s="253"/>
      <c r="CT45" s="253"/>
      <c r="CU45" s="253"/>
      <c r="CV45" s="253"/>
      <c r="CW45" s="253"/>
      <c r="CX45" s="253"/>
      <c r="CY45" s="253"/>
      <c r="CZ45" s="253"/>
      <c r="DA45" s="253"/>
      <c r="DB45" s="253"/>
      <c r="DC45" s="253"/>
      <c r="DD45" s="253"/>
      <c r="DE45" s="253"/>
      <c r="DF45" s="253"/>
      <c r="DG45" s="253"/>
      <c r="DH45" s="253"/>
      <c r="DI45" s="253"/>
      <c r="DJ45" s="253"/>
      <c r="DK45" s="253"/>
      <c r="DL45" s="253"/>
      <c r="DM45" s="253"/>
      <c r="DN45" s="253"/>
      <c r="DO45" s="253"/>
      <c r="DP45" s="253"/>
      <c r="DQ45" s="253"/>
      <c r="DR45" s="253"/>
      <c r="DS45" s="253"/>
      <c r="DT45" s="253"/>
      <c r="DU45" s="253"/>
      <c r="DV45" s="253"/>
      <c r="DW45" s="253"/>
      <c r="DX45" s="253"/>
      <c r="DY45" s="253"/>
      <c r="DZ45" s="255">
        <f>20-20</f>
        <v>0</v>
      </c>
      <c r="EA45" s="255">
        <f>20-20</f>
        <v>0</v>
      </c>
      <c r="EB45" s="253"/>
      <c r="EC45" s="253"/>
      <c r="ED45" s="253"/>
      <c r="EE45" s="253"/>
      <c r="EF45" s="255">
        <f>100-100</f>
        <v>0</v>
      </c>
      <c r="EG45" s="255">
        <f>50-50</f>
        <v>0</v>
      </c>
      <c r="EH45" s="253"/>
      <c r="EI45" s="255">
        <f>100-100</f>
        <v>0</v>
      </c>
      <c r="EJ45" s="253"/>
      <c r="EK45" s="253"/>
      <c r="EL45" s="253"/>
      <c r="EM45" s="253"/>
      <c r="EN45" s="253"/>
      <c r="EO45" s="253"/>
      <c r="EP45" s="253"/>
      <c r="EQ45" s="253"/>
      <c r="ER45" s="253"/>
      <c r="ES45" s="253"/>
      <c r="ET45" s="253"/>
      <c r="EU45" s="253"/>
      <c r="EV45" s="253"/>
      <c r="EW45" s="253"/>
      <c r="EX45" s="253"/>
      <c r="EY45" s="253"/>
      <c r="EZ45" s="253"/>
      <c r="FA45" s="253"/>
      <c r="FB45" s="253"/>
      <c r="FC45" s="253"/>
      <c r="FD45" s="253"/>
      <c r="FE45" s="253"/>
      <c r="FF45" s="253"/>
      <c r="FG45" s="256"/>
      <c r="FH45" s="257" t="s">
        <v>892</v>
      </c>
      <c r="FI45" s="258" t="s">
        <v>389</v>
      </c>
      <c r="FJ45" s="258"/>
      <c r="FK45" s="258" t="s">
        <v>896</v>
      </c>
      <c r="FL45" s="259">
        <f t="shared" si="0"/>
        <v>0</v>
      </c>
      <c r="FM45" s="260" t="s">
        <v>414</v>
      </c>
      <c r="FN45" s="260"/>
    </row>
    <row r="46" spans="1:170">
      <c r="A46" s="251" t="s">
        <v>393</v>
      </c>
      <c r="B46" s="251" t="s">
        <v>385</v>
      </c>
      <c r="C46" s="251" t="s">
        <v>411</v>
      </c>
      <c r="D46" s="251" t="s">
        <v>291</v>
      </c>
      <c r="E46" s="252" t="s">
        <v>897</v>
      </c>
      <c r="F46" s="251" t="s">
        <v>388</v>
      </c>
      <c r="G46" s="251" t="s">
        <v>898</v>
      </c>
      <c r="H46" s="253"/>
      <c r="I46" s="253"/>
      <c r="J46" s="253"/>
      <c r="K46" s="253"/>
      <c r="L46" s="253"/>
      <c r="M46" s="253"/>
      <c r="N46" s="253"/>
      <c r="O46" s="253"/>
      <c r="P46" s="253"/>
      <c r="Q46" s="253"/>
      <c r="R46" s="253"/>
      <c r="S46" s="253"/>
      <c r="T46" s="253"/>
      <c r="U46" s="253"/>
      <c r="V46" s="253"/>
      <c r="W46" s="253"/>
      <c r="X46" s="253"/>
      <c r="Y46" s="253"/>
      <c r="Z46" s="253"/>
      <c r="AA46" s="253"/>
      <c r="AB46" s="253"/>
      <c r="AC46" s="253"/>
      <c r="AD46" s="253"/>
      <c r="AE46" s="253"/>
      <c r="AF46" s="253"/>
      <c r="AG46" s="253"/>
      <c r="AH46" s="253"/>
      <c r="AI46" s="253"/>
      <c r="AJ46" s="255">
        <f>50-50</f>
        <v>0</v>
      </c>
      <c r="AK46" s="253"/>
      <c r="AL46" s="253"/>
      <c r="AM46" s="253"/>
      <c r="AN46" s="253"/>
      <c r="AO46" s="253"/>
      <c r="AP46" s="253"/>
      <c r="AQ46" s="253"/>
      <c r="AR46" s="253"/>
      <c r="AS46" s="253"/>
      <c r="AT46" s="255">
        <f>50-50</f>
        <v>0</v>
      </c>
      <c r="AU46" s="253"/>
      <c r="AV46" s="253"/>
      <c r="AW46" s="253"/>
      <c r="AX46" s="253"/>
      <c r="AY46" s="253"/>
      <c r="AZ46" s="253"/>
      <c r="BA46" s="253"/>
      <c r="BB46" s="253"/>
      <c r="BC46" s="253"/>
      <c r="BD46" s="253"/>
      <c r="BE46" s="253"/>
      <c r="BF46" s="253"/>
      <c r="BG46" s="253"/>
      <c r="BH46" s="253"/>
      <c r="BI46" s="253"/>
      <c r="BJ46" s="253"/>
      <c r="BK46" s="253"/>
      <c r="BL46" s="253"/>
      <c r="BM46" s="253"/>
      <c r="BN46" s="253"/>
      <c r="BO46" s="253"/>
      <c r="BP46" s="253"/>
      <c r="BQ46" s="253"/>
      <c r="BR46" s="253"/>
      <c r="BS46" s="253"/>
      <c r="BT46" s="253"/>
      <c r="BU46" s="253"/>
      <c r="BV46" s="253"/>
      <c r="BW46" s="253"/>
      <c r="BX46" s="253"/>
      <c r="BY46" s="253"/>
      <c r="BZ46" s="253"/>
      <c r="CA46" s="253"/>
      <c r="CB46" s="253"/>
      <c r="CC46" s="253"/>
      <c r="CD46" s="253"/>
      <c r="CE46" s="253"/>
      <c r="CF46" s="253"/>
      <c r="CG46" s="253"/>
      <c r="CH46" s="253"/>
      <c r="CI46" s="253"/>
      <c r="CJ46" s="253"/>
      <c r="CK46" s="253"/>
      <c r="CL46" s="253"/>
      <c r="CM46" s="253"/>
      <c r="CN46" s="253"/>
      <c r="CO46" s="253"/>
      <c r="CP46" s="253"/>
      <c r="CQ46" s="253"/>
      <c r="CR46" s="253"/>
      <c r="CS46" s="253"/>
      <c r="CT46" s="253"/>
      <c r="CU46" s="253"/>
      <c r="CV46" s="253"/>
      <c r="CW46" s="253"/>
      <c r="CX46" s="253"/>
      <c r="CY46" s="253"/>
      <c r="CZ46" s="253"/>
      <c r="DA46" s="253"/>
      <c r="DB46" s="253"/>
      <c r="DC46" s="253"/>
      <c r="DD46" s="253"/>
      <c r="DE46" s="253"/>
      <c r="DF46" s="253"/>
      <c r="DG46" s="253"/>
      <c r="DH46" s="253"/>
      <c r="DI46" s="253"/>
      <c r="DJ46" s="253"/>
      <c r="DK46" s="253"/>
      <c r="DL46" s="253"/>
      <c r="DM46" s="253"/>
      <c r="DN46" s="253"/>
      <c r="DO46" s="253"/>
      <c r="DP46" s="253"/>
      <c r="DQ46" s="253"/>
      <c r="DR46" s="253"/>
      <c r="DS46" s="253"/>
      <c r="DT46" s="253"/>
      <c r="DU46" s="253"/>
      <c r="DV46" s="253"/>
      <c r="DW46" s="253"/>
      <c r="DX46" s="253"/>
      <c r="DY46" s="253"/>
      <c r="DZ46" s="253"/>
      <c r="EA46" s="253"/>
      <c r="EB46" s="253"/>
      <c r="EC46" s="253"/>
      <c r="ED46" s="253"/>
      <c r="EE46" s="253"/>
      <c r="EF46" s="253"/>
      <c r="EG46" s="253"/>
      <c r="EH46" s="253"/>
      <c r="EI46" s="253"/>
      <c r="EJ46" s="253"/>
      <c r="EK46" s="253"/>
      <c r="EL46" s="253"/>
      <c r="EM46" s="253"/>
      <c r="EN46" s="253"/>
      <c r="EO46" s="253"/>
      <c r="EP46" s="253"/>
      <c r="EQ46" s="253"/>
      <c r="ER46" s="253"/>
      <c r="ES46" s="253"/>
      <c r="ET46" s="253"/>
      <c r="EU46" s="253"/>
      <c r="EV46" s="253"/>
      <c r="EW46" s="253"/>
      <c r="EX46" s="253"/>
      <c r="EY46" s="253"/>
      <c r="EZ46" s="253"/>
      <c r="FA46" s="253"/>
      <c r="FB46" s="253"/>
      <c r="FC46" s="253"/>
      <c r="FD46" s="253"/>
      <c r="FE46" s="253"/>
      <c r="FF46" s="253"/>
      <c r="FG46" s="256"/>
      <c r="FH46" s="257" t="s">
        <v>892</v>
      </c>
      <c r="FI46" s="258" t="s">
        <v>389</v>
      </c>
      <c r="FJ46" s="258" t="s">
        <v>899</v>
      </c>
      <c r="FK46" s="258" t="s">
        <v>900</v>
      </c>
      <c r="FL46" s="259">
        <f t="shared" si="0"/>
        <v>0</v>
      </c>
      <c r="FM46" s="260" t="s">
        <v>421</v>
      </c>
      <c r="FN46" s="260"/>
    </row>
    <row r="47" spans="1:170">
      <c r="A47" s="251" t="s">
        <v>393</v>
      </c>
      <c r="B47" s="251" t="s">
        <v>385</v>
      </c>
      <c r="C47" s="251" t="s">
        <v>411</v>
      </c>
      <c r="D47" s="251" t="s">
        <v>1</v>
      </c>
      <c r="E47" s="252" t="s">
        <v>897</v>
      </c>
      <c r="F47" s="251" t="s">
        <v>388</v>
      </c>
      <c r="G47" s="251" t="s">
        <v>898</v>
      </c>
      <c r="H47" s="253"/>
      <c r="I47" s="253"/>
      <c r="J47" s="253"/>
      <c r="K47" s="253"/>
      <c r="L47" s="253"/>
      <c r="M47" s="253"/>
      <c r="N47" s="253"/>
      <c r="O47" s="253"/>
      <c r="P47" s="253"/>
      <c r="Q47" s="253"/>
      <c r="R47" s="253"/>
      <c r="S47" s="253"/>
      <c r="T47" s="253"/>
      <c r="U47" s="253"/>
      <c r="V47" s="253"/>
      <c r="W47" s="253"/>
      <c r="X47" s="253"/>
      <c r="Y47" s="253"/>
      <c r="Z47" s="253"/>
      <c r="AA47" s="253"/>
      <c r="AB47" s="253"/>
      <c r="AC47" s="253"/>
      <c r="AD47" s="253"/>
      <c r="AE47" s="253"/>
      <c r="AF47" s="253"/>
      <c r="AG47" s="255">
        <f>50-50</f>
        <v>0</v>
      </c>
      <c r="AH47" s="253"/>
      <c r="AI47" s="253"/>
      <c r="AJ47" s="253"/>
      <c r="AK47" s="253"/>
      <c r="AL47" s="253"/>
      <c r="AM47" s="253"/>
      <c r="AN47" s="253"/>
      <c r="AO47" s="253"/>
      <c r="AP47" s="253"/>
      <c r="AQ47" s="253"/>
      <c r="AR47" s="253"/>
      <c r="AS47" s="253"/>
      <c r="AT47" s="253"/>
      <c r="AU47" s="253"/>
      <c r="AV47" s="253"/>
      <c r="AW47" s="255">
        <f>50-50</f>
        <v>0</v>
      </c>
      <c r="AX47" s="253"/>
      <c r="AY47" s="253"/>
      <c r="AZ47" s="253"/>
      <c r="BA47" s="253"/>
      <c r="BB47" s="253"/>
      <c r="BC47" s="253"/>
      <c r="BD47" s="253"/>
      <c r="BE47" s="253"/>
      <c r="BF47" s="253"/>
      <c r="BG47" s="253"/>
      <c r="BH47" s="253"/>
      <c r="BI47" s="253"/>
      <c r="BJ47" s="253"/>
      <c r="BK47" s="253"/>
      <c r="BL47" s="253"/>
      <c r="BM47" s="253"/>
      <c r="BN47" s="253"/>
      <c r="BO47" s="253"/>
      <c r="BP47" s="253"/>
      <c r="BQ47" s="253"/>
      <c r="BR47" s="253"/>
      <c r="BS47" s="253"/>
      <c r="BT47" s="253"/>
      <c r="BU47" s="253"/>
      <c r="BV47" s="253"/>
      <c r="BW47" s="253"/>
      <c r="BX47" s="253"/>
      <c r="BY47" s="253"/>
      <c r="BZ47" s="253"/>
      <c r="CA47" s="253"/>
      <c r="CB47" s="253"/>
      <c r="CC47" s="253"/>
      <c r="CD47" s="253"/>
      <c r="CE47" s="253"/>
      <c r="CF47" s="253"/>
      <c r="CG47" s="253"/>
      <c r="CH47" s="253"/>
      <c r="CI47" s="253"/>
      <c r="CJ47" s="253"/>
      <c r="CK47" s="253"/>
      <c r="CL47" s="253"/>
      <c r="CM47" s="253"/>
      <c r="CN47" s="253"/>
      <c r="CO47" s="253"/>
      <c r="CP47" s="253"/>
      <c r="CQ47" s="253"/>
      <c r="CR47" s="253"/>
      <c r="CS47" s="253"/>
      <c r="CT47" s="253"/>
      <c r="CU47" s="253"/>
      <c r="CV47" s="253"/>
      <c r="CW47" s="253"/>
      <c r="CX47" s="253"/>
      <c r="CY47" s="253"/>
      <c r="CZ47" s="253"/>
      <c r="DA47" s="253"/>
      <c r="DB47" s="253"/>
      <c r="DC47" s="253"/>
      <c r="DD47" s="253"/>
      <c r="DE47" s="253"/>
      <c r="DF47" s="253"/>
      <c r="DG47" s="253"/>
      <c r="DH47" s="253"/>
      <c r="DI47" s="253"/>
      <c r="DJ47" s="253"/>
      <c r="DK47" s="253"/>
      <c r="DL47" s="253"/>
      <c r="DM47" s="253"/>
      <c r="DN47" s="253"/>
      <c r="DO47" s="253"/>
      <c r="DP47" s="253"/>
      <c r="DQ47" s="253"/>
      <c r="DR47" s="253"/>
      <c r="DS47" s="253"/>
      <c r="DT47" s="253"/>
      <c r="DU47" s="253"/>
      <c r="DV47" s="253"/>
      <c r="DW47" s="253"/>
      <c r="DX47" s="253"/>
      <c r="DY47" s="253"/>
      <c r="DZ47" s="253"/>
      <c r="EA47" s="253"/>
      <c r="EB47" s="253"/>
      <c r="EC47" s="253"/>
      <c r="ED47" s="253"/>
      <c r="EE47" s="253"/>
      <c r="EF47" s="253"/>
      <c r="EG47" s="253"/>
      <c r="EH47" s="253"/>
      <c r="EI47" s="253"/>
      <c r="EJ47" s="253"/>
      <c r="EK47" s="253"/>
      <c r="EL47" s="253"/>
      <c r="EM47" s="253"/>
      <c r="EN47" s="253"/>
      <c r="EO47" s="253"/>
      <c r="EP47" s="253"/>
      <c r="EQ47" s="253"/>
      <c r="ER47" s="253"/>
      <c r="ES47" s="253"/>
      <c r="ET47" s="253"/>
      <c r="EU47" s="253"/>
      <c r="EV47" s="253"/>
      <c r="EW47" s="253"/>
      <c r="EX47" s="253"/>
      <c r="EY47" s="253"/>
      <c r="EZ47" s="253"/>
      <c r="FA47" s="253"/>
      <c r="FB47" s="253"/>
      <c r="FC47" s="253"/>
      <c r="FD47" s="253"/>
      <c r="FE47" s="253"/>
      <c r="FF47" s="253"/>
      <c r="FG47" s="256"/>
      <c r="FH47" s="257" t="s">
        <v>892</v>
      </c>
      <c r="FI47" s="258" t="s">
        <v>389</v>
      </c>
      <c r="FJ47" s="258" t="s">
        <v>899</v>
      </c>
      <c r="FK47" s="258" t="s">
        <v>900</v>
      </c>
      <c r="FL47" s="259">
        <f t="shared" si="0"/>
        <v>0</v>
      </c>
      <c r="FM47" s="260" t="s">
        <v>421</v>
      </c>
      <c r="FN47" s="260"/>
    </row>
    <row r="48" spans="1:170">
      <c r="A48" s="251" t="s">
        <v>393</v>
      </c>
      <c r="B48" s="251" t="s">
        <v>385</v>
      </c>
      <c r="C48" s="251" t="s">
        <v>411</v>
      </c>
      <c r="D48" s="251" t="s">
        <v>291</v>
      </c>
      <c r="E48" s="252" t="s">
        <v>901</v>
      </c>
      <c r="F48" s="251" t="s">
        <v>388</v>
      </c>
      <c r="G48" s="251"/>
      <c r="H48" s="253"/>
      <c r="I48" s="253"/>
      <c r="J48" s="253"/>
      <c r="K48" s="253"/>
      <c r="L48" s="253"/>
      <c r="M48" s="253"/>
      <c r="N48" s="253"/>
      <c r="O48" s="253"/>
      <c r="P48" s="253"/>
      <c r="Q48" s="253"/>
      <c r="R48" s="253"/>
      <c r="S48" s="253"/>
      <c r="T48" s="253"/>
      <c r="U48" s="253"/>
      <c r="V48" s="253"/>
      <c r="W48" s="253"/>
      <c r="X48" s="253"/>
      <c r="Y48" s="253"/>
      <c r="Z48" s="253"/>
      <c r="AA48" s="253"/>
      <c r="AB48" s="253"/>
      <c r="AC48" s="253"/>
      <c r="AD48" s="253"/>
      <c r="AE48" s="253"/>
      <c r="AF48" s="253"/>
      <c r="AG48" s="253"/>
      <c r="AH48" s="253"/>
      <c r="AI48" s="253"/>
      <c r="AJ48" s="255">
        <f>300-300</f>
        <v>0</v>
      </c>
      <c r="AK48" s="253"/>
      <c r="AL48" s="253"/>
      <c r="AM48" s="253"/>
      <c r="AN48" s="253"/>
      <c r="AO48" s="253"/>
      <c r="AP48" s="253"/>
      <c r="AQ48" s="253"/>
      <c r="AR48" s="253"/>
      <c r="AS48" s="255">
        <f>200-200</f>
        <v>0</v>
      </c>
      <c r="AT48" s="255">
        <f>200-200</f>
        <v>0</v>
      </c>
      <c r="AU48" s="253"/>
      <c r="AV48" s="253"/>
      <c r="AW48" s="253"/>
      <c r="AX48" s="253"/>
      <c r="AY48" s="253"/>
      <c r="AZ48" s="253"/>
      <c r="BA48" s="253"/>
      <c r="BB48" s="253"/>
      <c r="BC48" s="253"/>
      <c r="BD48" s="253"/>
      <c r="BE48" s="253"/>
      <c r="BF48" s="253"/>
      <c r="BG48" s="255">
        <f>100-100</f>
        <v>0</v>
      </c>
      <c r="BH48" s="253"/>
      <c r="BI48" s="253"/>
      <c r="BJ48" s="253"/>
      <c r="BK48" s="253"/>
      <c r="BL48" s="253"/>
      <c r="BM48" s="253"/>
      <c r="BN48" s="253"/>
      <c r="BO48" s="253"/>
      <c r="BP48" s="253"/>
      <c r="BQ48" s="253"/>
      <c r="BR48" s="253"/>
      <c r="BS48" s="253"/>
      <c r="BT48" s="253"/>
      <c r="BU48" s="253"/>
      <c r="BV48" s="253"/>
      <c r="BW48" s="253"/>
      <c r="BX48" s="253"/>
      <c r="BY48" s="253"/>
      <c r="BZ48" s="253"/>
      <c r="CA48" s="253"/>
      <c r="CB48" s="253"/>
      <c r="CC48" s="253"/>
      <c r="CD48" s="253"/>
      <c r="CE48" s="253"/>
      <c r="CF48" s="253"/>
      <c r="CG48" s="253"/>
      <c r="CH48" s="253"/>
      <c r="CI48" s="253"/>
      <c r="CJ48" s="253"/>
      <c r="CK48" s="253"/>
      <c r="CL48" s="253"/>
      <c r="CM48" s="253"/>
      <c r="CN48" s="253"/>
      <c r="CO48" s="253"/>
      <c r="CP48" s="253"/>
      <c r="CQ48" s="253"/>
      <c r="CR48" s="253"/>
      <c r="CS48" s="253"/>
      <c r="CT48" s="253"/>
      <c r="CU48" s="253"/>
      <c r="CV48" s="253"/>
      <c r="CW48" s="253"/>
      <c r="CX48" s="253"/>
      <c r="CY48" s="253"/>
      <c r="CZ48" s="253"/>
      <c r="DA48" s="253"/>
      <c r="DB48" s="253"/>
      <c r="DC48" s="253"/>
      <c r="DD48" s="253"/>
      <c r="DE48" s="253"/>
      <c r="DF48" s="253"/>
      <c r="DG48" s="253"/>
      <c r="DH48" s="253"/>
      <c r="DI48" s="253"/>
      <c r="DJ48" s="253"/>
      <c r="DK48" s="253"/>
      <c r="DL48" s="253"/>
      <c r="DM48" s="253"/>
      <c r="DN48" s="253"/>
      <c r="DO48" s="253"/>
      <c r="DP48" s="253"/>
      <c r="DQ48" s="253"/>
      <c r="DR48" s="253"/>
      <c r="DS48" s="253"/>
      <c r="DT48" s="253"/>
      <c r="DU48" s="253"/>
      <c r="DV48" s="253"/>
      <c r="DW48" s="253"/>
      <c r="DX48" s="253"/>
      <c r="DY48" s="253"/>
      <c r="DZ48" s="253"/>
      <c r="EA48" s="253"/>
      <c r="EB48" s="253"/>
      <c r="EC48" s="253"/>
      <c r="ED48" s="253"/>
      <c r="EE48" s="253"/>
      <c r="EF48" s="253"/>
      <c r="EG48" s="253"/>
      <c r="EH48" s="253"/>
      <c r="EI48" s="253"/>
      <c r="EJ48" s="253"/>
      <c r="EK48" s="253"/>
      <c r="EL48" s="253"/>
      <c r="EM48" s="253"/>
      <c r="EN48" s="253"/>
      <c r="EO48" s="253"/>
      <c r="EP48" s="253"/>
      <c r="EQ48" s="253"/>
      <c r="ER48" s="253"/>
      <c r="ES48" s="253"/>
      <c r="ET48" s="253"/>
      <c r="EU48" s="253"/>
      <c r="EV48" s="253"/>
      <c r="EW48" s="253"/>
      <c r="EX48" s="253"/>
      <c r="EY48" s="253"/>
      <c r="EZ48" s="253"/>
      <c r="FA48" s="253"/>
      <c r="FB48" s="253"/>
      <c r="FC48" s="253"/>
      <c r="FD48" s="253"/>
      <c r="FE48" s="253"/>
      <c r="FF48" s="253"/>
      <c r="FG48" s="256"/>
      <c r="FH48" s="257" t="s">
        <v>892</v>
      </c>
      <c r="FI48" s="258" t="s">
        <v>389</v>
      </c>
      <c r="FJ48" s="258"/>
      <c r="FK48" s="258" t="s">
        <v>902</v>
      </c>
      <c r="FL48" s="259">
        <f t="shared" si="0"/>
        <v>0</v>
      </c>
      <c r="FM48" s="260" t="s">
        <v>414</v>
      </c>
      <c r="FN48" s="260"/>
    </row>
    <row r="49" spans="1:170">
      <c r="A49" s="251" t="s">
        <v>393</v>
      </c>
      <c r="B49" s="251" t="s">
        <v>385</v>
      </c>
      <c r="C49" s="251" t="s">
        <v>411</v>
      </c>
      <c r="D49" s="251" t="s">
        <v>1</v>
      </c>
      <c r="E49" s="252" t="s">
        <v>901</v>
      </c>
      <c r="F49" s="251" t="s">
        <v>388</v>
      </c>
      <c r="G49" s="251"/>
      <c r="H49" s="253"/>
      <c r="I49" s="253"/>
      <c r="J49" s="253"/>
      <c r="K49" s="253"/>
      <c r="L49" s="253"/>
      <c r="M49" s="253"/>
      <c r="N49" s="253"/>
      <c r="O49" s="253"/>
      <c r="P49" s="253"/>
      <c r="Q49" s="253"/>
      <c r="R49" s="253"/>
      <c r="S49" s="253"/>
      <c r="T49" s="253"/>
      <c r="U49" s="253"/>
      <c r="V49" s="253"/>
      <c r="W49" s="253"/>
      <c r="X49" s="253"/>
      <c r="Y49" s="253"/>
      <c r="Z49" s="253"/>
      <c r="AA49" s="253"/>
      <c r="AB49" s="253"/>
      <c r="AC49" s="253"/>
      <c r="AD49" s="255">
        <f>200-200</f>
        <v>0</v>
      </c>
      <c r="AE49" s="253"/>
      <c r="AF49" s="253"/>
      <c r="AG49" s="255">
        <f>200-200</f>
        <v>0</v>
      </c>
      <c r="AH49" s="253"/>
      <c r="AI49" s="253"/>
      <c r="AJ49" s="253"/>
      <c r="AK49" s="253"/>
      <c r="AL49" s="253"/>
      <c r="AM49" s="253"/>
      <c r="AN49" s="253"/>
      <c r="AO49" s="253"/>
      <c r="AP49" s="253"/>
      <c r="AQ49" s="253"/>
      <c r="AR49" s="253"/>
      <c r="AS49" s="253"/>
      <c r="AT49" s="253"/>
      <c r="AU49" s="253"/>
      <c r="AV49" s="253"/>
      <c r="AW49" s="255">
        <f>200-200</f>
        <v>0</v>
      </c>
      <c r="AX49" s="253"/>
      <c r="AY49" s="253"/>
      <c r="AZ49" s="253"/>
      <c r="BA49" s="253"/>
      <c r="BB49" s="253"/>
      <c r="BC49" s="253"/>
      <c r="BD49" s="253"/>
      <c r="BE49" s="253"/>
      <c r="BF49" s="253"/>
      <c r="BG49" s="253"/>
      <c r="BH49" s="253"/>
      <c r="BI49" s="255">
        <f>100-100</f>
        <v>0</v>
      </c>
      <c r="BJ49" s="253"/>
      <c r="BK49" s="253"/>
      <c r="BL49" s="253"/>
      <c r="BM49" s="253"/>
      <c r="BN49" s="253"/>
      <c r="BO49" s="253"/>
      <c r="BP49" s="253"/>
      <c r="BQ49" s="253"/>
      <c r="BR49" s="253"/>
      <c r="BS49" s="253"/>
      <c r="BT49" s="253"/>
      <c r="BU49" s="253"/>
      <c r="BV49" s="253"/>
      <c r="BW49" s="253"/>
      <c r="BX49" s="253"/>
      <c r="BY49" s="253"/>
      <c r="BZ49" s="253"/>
      <c r="CA49" s="253"/>
      <c r="CB49" s="253"/>
      <c r="CC49" s="253"/>
      <c r="CD49" s="253"/>
      <c r="CE49" s="253"/>
      <c r="CF49" s="253"/>
      <c r="CG49" s="253"/>
      <c r="CH49" s="253"/>
      <c r="CI49" s="253"/>
      <c r="CJ49" s="253"/>
      <c r="CK49" s="253"/>
      <c r="CL49" s="253"/>
      <c r="CM49" s="253"/>
      <c r="CN49" s="253"/>
      <c r="CO49" s="253"/>
      <c r="CP49" s="253"/>
      <c r="CQ49" s="253"/>
      <c r="CR49" s="253"/>
      <c r="CS49" s="253"/>
      <c r="CT49" s="253"/>
      <c r="CU49" s="253"/>
      <c r="CV49" s="253"/>
      <c r="CW49" s="253"/>
      <c r="CX49" s="253"/>
      <c r="CY49" s="253"/>
      <c r="CZ49" s="253"/>
      <c r="DA49" s="253"/>
      <c r="DB49" s="253"/>
      <c r="DC49" s="253"/>
      <c r="DD49" s="253"/>
      <c r="DE49" s="253"/>
      <c r="DF49" s="253"/>
      <c r="DG49" s="253"/>
      <c r="DH49" s="253"/>
      <c r="DI49" s="253"/>
      <c r="DJ49" s="253"/>
      <c r="DK49" s="253"/>
      <c r="DL49" s="253"/>
      <c r="DM49" s="253"/>
      <c r="DN49" s="253"/>
      <c r="DO49" s="253"/>
      <c r="DP49" s="253"/>
      <c r="DQ49" s="253"/>
      <c r="DR49" s="253"/>
      <c r="DS49" s="253"/>
      <c r="DT49" s="253"/>
      <c r="DU49" s="253"/>
      <c r="DV49" s="253"/>
      <c r="DW49" s="253"/>
      <c r="DX49" s="253"/>
      <c r="DY49" s="253"/>
      <c r="DZ49" s="255">
        <f>100-100</f>
        <v>0</v>
      </c>
      <c r="EA49" s="253"/>
      <c r="EB49" s="255">
        <f>100-100</f>
        <v>0</v>
      </c>
      <c r="EC49" s="253"/>
      <c r="ED49" s="253"/>
      <c r="EE49" s="253"/>
      <c r="EF49" s="255">
        <f>100-100</f>
        <v>0</v>
      </c>
      <c r="EG49" s="255">
        <f>50-50</f>
        <v>0</v>
      </c>
      <c r="EH49" s="253"/>
      <c r="EI49" s="255">
        <f>50-50</f>
        <v>0</v>
      </c>
      <c r="EJ49" s="253"/>
      <c r="EK49" s="253"/>
      <c r="EL49" s="253"/>
      <c r="EM49" s="253"/>
      <c r="EN49" s="253"/>
      <c r="EO49" s="253"/>
      <c r="EP49" s="253"/>
      <c r="EQ49" s="253"/>
      <c r="ER49" s="253"/>
      <c r="ES49" s="253"/>
      <c r="ET49" s="253"/>
      <c r="EU49" s="253"/>
      <c r="EV49" s="253"/>
      <c r="EW49" s="253"/>
      <c r="EX49" s="253"/>
      <c r="EY49" s="253"/>
      <c r="EZ49" s="253"/>
      <c r="FA49" s="253"/>
      <c r="FB49" s="253"/>
      <c r="FC49" s="253"/>
      <c r="FD49" s="253"/>
      <c r="FE49" s="253"/>
      <c r="FF49" s="253"/>
      <c r="FG49" s="256"/>
      <c r="FH49" s="257" t="s">
        <v>892</v>
      </c>
      <c r="FI49" s="258" t="s">
        <v>389</v>
      </c>
      <c r="FJ49" s="258"/>
      <c r="FK49" s="258" t="s">
        <v>902</v>
      </c>
      <c r="FL49" s="259">
        <f t="shared" si="0"/>
        <v>0</v>
      </c>
      <c r="FM49" s="260" t="s">
        <v>414</v>
      </c>
      <c r="FN49" s="260"/>
    </row>
    <row r="50" spans="1:170">
      <c r="A50" s="251" t="s">
        <v>417</v>
      </c>
      <c r="B50" s="251" t="s">
        <v>385</v>
      </c>
      <c r="C50" s="251" t="s">
        <v>411</v>
      </c>
      <c r="D50" s="251" t="s">
        <v>291</v>
      </c>
      <c r="E50" s="252" t="s">
        <v>418</v>
      </c>
      <c r="F50" s="251" t="s">
        <v>388</v>
      </c>
      <c r="G50" s="251" t="s">
        <v>903</v>
      </c>
      <c r="H50" s="253"/>
      <c r="I50" s="253"/>
      <c r="J50" s="253"/>
      <c r="K50" s="253"/>
      <c r="L50" s="253"/>
      <c r="M50" s="253"/>
      <c r="N50" s="253"/>
      <c r="O50" s="253"/>
      <c r="P50" s="253"/>
      <c r="Q50" s="253"/>
      <c r="R50" s="253"/>
      <c r="S50" s="253"/>
      <c r="T50" s="253"/>
      <c r="U50" s="253"/>
      <c r="V50" s="253"/>
      <c r="W50" s="253"/>
      <c r="X50" s="253"/>
      <c r="Y50" s="253"/>
      <c r="Z50" s="253"/>
      <c r="AA50" s="253"/>
      <c r="AB50" s="253"/>
      <c r="AC50" s="253"/>
      <c r="AD50" s="253"/>
      <c r="AE50" s="253"/>
      <c r="AF50" s="253"/>
      <c r="AG50" s="253"/>
      <c r="AH50" s="253"/>
      <c r="AI50" s="253"/>
      <c r="AJ50" s="255">
        <f>40-40</f>
        <v>0</v>
      </c>
      <c r="AK50" s="253"/>
      <c r="AL50" s="253"/>
      <c r="AM50" s="253"/>
      <c r="AN50" s="253"/>
      <c r="AO50" s="253"/>
      <c r="AP50" s="253"/>
      <c r="AQ50" s="253"/>
      <c r="AR50" s="253"/>
      <c r="AS50" s="253"/>
      <c r="AT50" s="253"/>
      <c r="AU50" s="253"/>
      <c r="AV50" s="253"/>
      <c r="AW50" s="253"/>
      <c r="AX50" s="253"/>
      <c r="AY50" s="253"/>
      <c r="AZ50" s="253"/>
      <c r="BA50" s="253"/>
      <c r="BB50" s="253"/>
      <c r="BC50" s="253"/>
      <c r="BD50" s="253"/>
      <c r="BE50" s="253"/>
      <c r="BF50" s="253"/>
      <c r="BG50" s="253"/>
      <c r="BH50" s="253"/>
      <c r="BI50" s="253"/>
      <c r="BJ50" s="253"/>
      <c r="BK50" s="253"/>
      <c r="BL50" s="253"/>
      <c r="BM50" s="253"/>
      <c r="BN50" s="253"/>
      <c r="BO50" s="253"/>
      <c r="BP50" s="253"/>
      <c r="BQ50" s="253"/>
      <c r="BR50" s="253"/>
      <c r="BS50" s="253"/>
      <c r="BT50" s="253"/>
      <c r="BU50" s="253"/>
      <c r="BV50" s="253"/>
      <c r="BW50" s="253"/>
      <c r="BX50" s="253"/>
      <c r="BY50" s="253"/>
      <c r="BZ50" s="253"/>
      <c r="CA50" s="253"/>
      <c r="CB50" s="253"/>
      <c r="CC50" s="253"/>
      <c r="CD50" s="253"/>
      <c r="CE50" s="253"/>
      <c r="CF50" s="253"/>
      <c r="CG50" s="253"/>
      <c r="CH50" s="253"/>
      <c r="CI50" s="253"/>
      <c r="CJ50" s="253"/>
      <c r="CK50" s="253"/>
      <c r="CL50" s="253"/>
      <c r="CM50" s="253"/>
      <c r="CN50" s="253"/>
      <c r="CO50" s="253"/>
      <c r="CP50" s="253"/>
      <c r="CQ50" s="253"/>
      <c r="CR50" s="253"/>
      <c r="CS50" s="253"/>
      <c r="CT50" s="253"/>
      <c r="CU50" s="253"/>
      <c r="CV50" s="253"/>
      <c r="CW50" s="253"/>
      <c r="CX50" s="253"/>
      <c r="CY50" s="253"/>
      <c r="CZ50" s="253"/>
      <c r="DA50" s="253"/>
      <c r="DB50" s="253"/>
      <c r="DC50" s="253"/>
      <c r="DD50" s="253"/>
      <c r="DE50" s="253"/>
      <c r="DF50" s="253"/>
      <c r="DG50" s="253"/>
      <c r="DH50" s="253"/>
      <c r="DI50" s="253"/>
      <c r="DJ50" s="253"/>
      <c r="DK50" s="253"/>
      <c r="DL50" s="253"/>
      <c r="DM50" s="253"/>
      <c r="DN50" s="253"/>
      <c r="DO50" s="253"/>
      <c r="DP50" s="253"/>
      <c r="DQ50" s="253"/>
      <c r="DR50" s="253"/>
      <c r="DS50" s="253"/>
      <c r="DT50" s="253"/>
      <c r="DU50" s="253"/>
      <c r="DV50" s="253"/>
      <c r="DW50" s="253"/>
      <c r="DX50" s="253"/>
      <c r="DY50" s="253"/>
      <c r="DZ50" s="253"/>
      <c r="EA50" s="253"/>
      <c r="EB50" s="253"/>
      <c r="EC50" s="253"/>
      <c r="ED50" s="253"/>
      <c r="EE50" s="253"/>
      <c r="EF50" s="253"/>
      <c r="EG50" s="253"/>
      <c r="EH50" s="253"/>
      <c r="EI50" s="253"/>
      <c r="EJ50" s="253"/>
      <c r="EK50" s="253"/>
      <c r="EL50" s="253"/>
      <c r="EM50" s="253"/>
      <c r="EN50" s="253"/>
      <c r="EO50" s="253"/>
      <c r="EP50" s="253"/>
      <c r="EQ50" s="253"/>
      <c r="ER50" s="253"/>
      <c r="ES50" s="253"/>
      <c r="ET50" s="253"/>
      <c r="EU50" s="253"/>
      <c r="EV50" s="253"/>
      <c r="EW50" s="253"/>
      <c r="EX50" s="253"/>
      <c r="EY50" s="253"/>
      <c r="EZ50" s="253"/>
      <c r="FA50" s="253"/>
      <c r="FB50" s="253"/>
      <c r="FC50" s="253"/>
      <c r="FD50" s="253"/>
      <c r="FE50" s="253"/>
      <c r="FF50" s="253"/>
      <c r="FG50" s="256"/>
      <c r="FH50" s="257" t="s">
        <v>892</v>
      </c>
      <c r="FI50" s="258" t="s">
        <v>389</v>
      </c>
      <c r="FJ50" s="258" t="s">
        <v>419</v>
      </c>
      <c r="FK50" s="258" t="s">
        <v>420</v>
      </c>
      <c r="FL50" s="259">
        <f t="shared" si="0"/>
        <v>0</v>
      </c>
      <c r="FM50" s="260" t="s">
        <v>433</v>
      </c>
      <c r="FN50" s="260"/>
    </row>
    <row r="51" spans="1:170">
      <c r="A51" s="251" t="s">
        <v>417</v>
      </c>
      <c r="B51" s="251" t="s">
        <v>385</v>
      </c>
      <c r="C51" s="251" t="s">
        <v>411</v>
      </c>
      <c r="D51" s="251" t="s">
        <v>1</v>
      </c>
      <c r="E51" s="252" t="s">
        <v>418</v>
      </c>
      <c r="F51" s="251" t="s">
        <v>388</v>
      </c>
      <c r="G51" s="251" t="s">
        <v>903</v>
      </c>
      <c r="H51" s="253"/>
      <c r="I51" s="253"/>
      <c r="J51" s="253"/>
      <c r="K51" s="253"/>
      <c r="L51" s="253"/>
      <c r="M51" s="253"/>
      <c r="N51" s="253"/>
      <c r="O51" s="253"/>
      <c r="P51" s="253"/>
      <c r="Q51" s="253"/>
      <c r="R51" s="253"/>
      <c r="S51" s="253"/>
      <c r="T51" s="253"/>
      <c r="U51" s="253"/>
      <c r="V51" s="253"/>
      <c r="W51" s="253"/>
      <c r="X51" s="253"/>
      <c r="Y51" s="253"/>
      <c r="Z51" s="253"/>
      <c r="AA51" s="253"/>
      <c r="AB51" s="253"/>
      <c r="AC51" s="253"/>
      <c r="AD51" s="253"/>
      <c r="AE51" s="253"/>
      <c r="AF51" s="253"/>
      <c r="AG51" s="253"/>
      <c r="AH51" s="253"/>
      <c r="AI51" s="253"/>
      <c r="AJ51" s="253"/>
      <c r="AK51" s="253"/>
      <c r="AL51" s="253"/>
      <c r="AM51" s="253"/>
      <c r="AN51" s="253"/>
      <c r="AO51" s="253"/>
      <c r="AP51" s="253"/>
      <c r="AQ51" s="253"/>
      <c r="AR51" s="253"/>
      <c r="AS51" s="253"/>
      <c r="AT51" s="253"/>
      <c r="AU51" s="253"/>
      <c r="AV51" s="253"/>
      <c r="AW51" s="255">
        <f>40-40</f>
        <v>0</v>
      </c>
      <c r="AX51" s="253"/>
      <c r="AY51" s="253"/>
      <c r="AZ51" s="253"/>
      <c r="BA51" s="253"/>
      <c r="BB51" s="253"/>
      <c r="BC51" s="253"/>
      <c r="BD51" s="253"/>
      <c r="BE51" s="253"/>
      <c r="BF51" s="253"/>
      <c r="BG51" s="253"/>
      <c r="BH51" s="253"/>
      <c r="BI51" s="253"/>
      <c r="BJ51" s="253"/>
      <c r="BK51" s="253"/>
      <c r="BL51" s="253"/>
      <c r="BM51" s="253"/>
      <c r="BN51" s="253"/>
      <c r="BO51" s="253"/>
      <c r="BP51" s="253"/>
      <c r="BQ51" s="253"/>
      <c r="BR51" s="253"/>
      <c r="BS51" s="253"/>
      <c r="BT51" s="253"/>
      <c r="BU51" s="253"/>
      <c r="BV51" s="253"/>
      <c r="BW51" s="253"/>
      <c r="BX51" s="253"/>
      <c r="BY51" s="253"/>
      <c r="BZ51" s="253"/>
      <c r="CA51" s="253"/>
      <c r="CB51" s="253"/>
      <c r="CC51" s="253"/>
      <c r="CD51" s="253"/>
      <c r="CE51" s="253"/>
      <c r="CF51" s="253"/>
      <c r="CG51" s="253"/>
      <c r="CH51" s="253"/>
      <c r="CI51" s="253"/>
      <c r="CJ51" s="253"/>
      <c r="CK51" s="253"/>
      <c r="CL51" s="253"/>
      <c r="CM51" s="253"/>
      <c r="CN51" s="253"/>
      <c r="CO51" s="253"/>
      <c r="CP51" s="253"/>
      <c r="CQ51" s="253"/>
      <c r="CR51" s="253"/>
      <c r="CS51" s="253"/>
      <c r="CT51" s="253"/>
      <c r="CU51" s="253"/>
      <c r="CV51" s="253"/>
      <c r="CW51" s="253"/>
      <c r="CX51" s="253"/>
      <c r="CY51" s="253"/>
      <c r="CZ51" s="253"/>
      <c r="DA51" s="253"/>
      <c r="DB51" s="253"/>
      <c r="DC51" s="253"/>
      <c r="DD51" s="253"/>
      <c r="DE51" s="253"/>
      <c r="DF51" s="253"/>
      <c r="DG51" s="253"/>
      <c r="DH51" s="253"/>
      <c r="DI51" s="253"/>
      <c r="DJ51" s="253"/>
      <c r="DK51" s="253"/>
      <c r="DL51" s="253"/>
      <c r="DM51" s="253"/>
      <c r="DN51" s="253"/>
      <c r="DO51" s="253"/>
      <c r="DP51" s="253"/>
      <c r="DQ51" s="253"/>
      <c r="DR51" s="253"/>
      <c r="DS51" s="253"/>
      <c r="DT51" s="253"/>
      <c r="DU51" s="253"/>
      <c r="DV51" s="253"/>
      <c r="DW51" s="253"/>
      <c r="DX51" s="253"/>
      <c r="DY51" s="253"/>
      <c r="DZ51" s="253"/>
      <c r="EA51" s="253"/>
      <c r="EB51" s="253"/>
      <c r="EC51" s="253"/>
      <c r="ED51" s="253"/>
      <c r="EE51" s="253"/>
      <c r="EF51" s="253"/>
      <c r="EG51" s="253"/>
      <c r="EH51" s="253"/>
      <c r="EI51" s="253"/>
      <c r="EJ51" s="253"/>
      <c r="EK51" s="253"/>
      <c r="EL51" s="253"/>
      <c r="EM51" s="253"/>
      <c r="EN51" s="253"/>
      <c r="EO51" s="253"/>
      <c r="EP51" s="253"/>
      <c r="EQ51" s="253"/>
      <c r="ER51" s="253"/>
      <c r="ES51" s="253"/>
      <c r="ET51" s="253"/>
      <c r="EU51" s="253"/>
      <c r="EV51" s="253"/>
      <c r="EW51" s="253"/>
      <c r="EX51" s="253"/>
      <c r="EY51" s="253"/>
      <c r="EZ51" s="253"/>
      <c r="FA51" s="253"/>
      <c r="FB51" s="253"/>
      <c r="FC51" s="253"/>
      <c r="FD51" s="253"/>
      <c r="FE51" s="253"/>
      <c r="FF51" s="253"/>
      <c r="FG51" s="256"/>
      <c r="FH51" s="257" t="s">
        <v>892</v>
      </c>
      <c r="FI51" s="258" t="s">
        <v>389</v>
      </c>
      <c r="FJ51" s="258" t="s">
        <v>419</v>
      </c>
      <c r="FK51" s="258" t="s">
        <v>420</v>
      </c>
      <c r="FL51" s="259">
        <f t="shared" si="0"/>
        <v>0</v>
      </c>
      <c r="FM51" s="260" t="s">
        <v>433</v>
      </c>
      <c r="FN51" s="260"/>
    </row>
    <row r="52" spans="1:170">
      <c r="A52" s="251" t="s">
        <v>393</v>
      </c>
      <c r="B52" s="251" t="s">
        <v>392</v>
      </c>
      <c r="C52" s="251" t="s">
        <v>411</v>
      </c>
      <c r="D52" s="251" t="s">
        <v>291</v>
      </c>
      <c r="E52" s="252" t="s">
        <v>904</v>
      </c>
      <c r="F52" s="251" t="s">
        <v>388</v>
      </c>
      <c r="G52" s="251" t="s">
        <v>905</v>
      </c>
      <c r="H52" s="253"/>
      <c r="I52" s="253"/>
      <c r="J52" s="253"/>
      <c r="K52" s="253"/>
      <c r="L52" s="253"/>
      <c r="M52" s="253"/>
      <c r="N52" s="255">
        <f>60-60</f>
        <v>0</v>
      </c>
      <c r="O52" s="253"/>
      <c r="P52" s="253"/>
      <c r="Q52" s="253"/>
      <c r="R52" s="253"/>
      <c r="S52" s="253"/>
      <c r="T52" s="253"/>
      <c r="U52" s="253"/>
      <c r="V52" s="253"/>
      <c r="W52" s="253"/>
      <c r="X52" s="253"/>
      <c r="Y52" s="253"/>
      <c r="Z52" s="253"/>
      <c r="AA52" s="253"/>
      <c r="AB52" s="253"/>
      <c r="AC52" s="253"/>
      <c r="AD52" s="253"/>
      <c r="AE52" s="253"/>
      <c r="AF52" s="253"/>
      <c r="AG52" s="253"/>
      <c r="AH52" s="253"/>
      <c r="AI52" s="255">
        <f>40-40</f>
        <v>0</v>
      </c>
      <c r="AJ52" s="255">
        <f>100-100</f>
        <v>0</v>
      </c>
      <c r="AK52" s="253"/>
      <c r="AL52" s="253"/>
      <c r="AM52" s="253"/>
      <c r="AN52" s="253"/>
      <c r="AO52" s="253"/>
      <c r="AP52" s="253"/>
      <c r="AQ52" s="253"/>
      <c r="AR52" s="253"/>
      <c r="AS52" s="253"/>
      <c r="AT52" s="253"/>
      <c r="AU52" s="253"/>
      <c r="AV52" s="253"/>
      <c r="AW52" s="253"/>
      <c r="AX52" s="253"/>
      <c r="AY52" s="253"/>
      <c r="AZ52" s="253"/>
      <c r="BA52" s="253"/>
      <c r="BB52" s="253"/>
      <c r="BC52" s="253"/>
      <c r="BD52" s="253"/>
      <c r="BE52" s="253"/>
      <c r="BF52" s="253"/>
      <c r="BG52" s="255">
        <f>50-50</f>
        <v>0</v>
      </c>
      <c r="BH52" s="253"/>
      <c r="BI52" s="253"/>
      <c r="BJ52" s="253"/>
      <c r="BK52" s="253"/>
      <c r="BL52" s="253"/>
      <c r="BM52" s="253"/>
      <c r="BN52" s="253"/>
      <c r="BO52" s="253"/>
      <c r="BP52" s="253"/>
      <c r="BQ52" s="253"/>
      <c r="BR52" s="253"/>
      <c r="BS52" s="253"/>
      <c r="BT52" s="253"/>
      <c r="BU52" s="253"/>
      <c r="BV52" s="253"/>
      <c r="BW52" s="253"/>
      <c r="BX52" s="253"/>
      <c r="BY52" s="253"/>
      <c r="BZ52" s="253"/>
      <c r="CA52" s="253"/>
      <c r="CB52" s="253"/>
      <c r="CC52" s="253"/>
      <c r="CD52" s="253"/>
      <c r="CE52" s="253"/>
      <c r="CF52" s="253"/>
      <c r="CG52" s="253"/>
      <c r="CH52" s="253"/>
      <c r="CI52" s="253"/>
      <c r="CJ52" s="253"/>
      <c r="CK52" s="253"/>
      <c r="CL52" s="253"/>
      <c r="CM52" s="253"/>
      <c r="CN52" s="253"/>
      <c r="CO52" s="253"/>
      <c r="CP52" s="253"/>
      <c r="CQ52" s="253"/>
      <c r="CR52" s="253"/>
      <c r="CS52" s="253"/>
      <c r="CT52" s="253"/>
      <c r="CU52" s="253"/>
      <c r="CV52" s="253"/>
      <c r="CW52" s="253"/>
      <c r="CX52" s="253"/>
      <c r="CY52" s="253"/>
      <c r="CZ52" s="253"/>
      <c r="DA52" s="253"/>
      <c r="DB52" s="253"/>
      <c r="DC52" s="253"/>
      <c r="DD52" s="253"/>
      <c r="DE52" s="253"/>
      <c r="DF52" s="253"/>
      <c r="DG52" s="253"/>
      <c r="DH52" s="253"/>
      <c r="DI52" s="253"/>
      <c r="DJ52" s="253"/>
      <c r="DK52" s="253"/>
      <c r="DL52" s="253"/>
      <c r="DM52" s="253"/>
      <c r="DN52" s="253"/>
      <c r="DO52" s="253"/>
      <c r="DP52" s="253"/>
      <c r="DQ52" s="253"/>
      <c r="DR52" s="253"/>
      <c r="DS52" s="253"/>
      <c r="DT52" s="253"/>
      <c r="DU52" s="253"/>
      <c r="DV52" s="253"/>
      <c r="DW52" s="253"/>
      <c r="DX52" s="253"/>
      <c r="DY52" s="253"/>
      <c r="DZ52" s="253"/>
      <c r="EA52" s="253"/>
      <c r="EB52" s="253"/>
      <c r="EC52" s="253"/>
      <c r="ED52" s="253"/>
      <c r="EE52" s="253"/>
      <c r="EF52" s="253"/>
      <c r="EG52" s="253"/>
      <c r="EH52" s="253"/>
      <c r="EI52" s="253"/>
      <c r="EJ52" s="253"/>
      <c r="EK52" s="253"/>
      <c r="EL52" s="253"/>
      <c r="EM52" s="253"/>
      <c r="EN52" s="253"/>
      <c r="EO52" s="253"/>
      <c r="EP52" s="253"/>
      <c r="EQ52" s="253"/>
      <c r="ER52" s="253"/>
      <c r="ES52" s="253"/>
      <c r="ET52" s="253"/>
      <c r="EU52" s="253"/>
      <c r="EV52" s="253"/>
      <c r="EW52" s="253"/>
      <c r="EX52" s="253"/>
      <c r="EY52" s="253"/>
      <c r="EZ52" s="253"/>
      <c r="FA52" s="253"/>
      <c r="FB52" s="253"/>
      <c r="FC52" s="253"/>
      <c r="FD52" s="253"/>
      <c r="FE52" s="253"/>
      <c r="FF52" s="253"/>
      <c r="FG52" s="256"/>
      <c r="FH52" s="257" t="s">
        <v>892</v>
      </c>
      <c r="FI52" s="258" t="s">
        <v>389</v>
      </c>
      <c r="FJ52" s="258" t="s">
        <v>906</v>
      </c>
      <c r="FK52" s="258" t="s">
        <v>420</v>
      </c>
      <c r="FL52" s="259">
        <f t="shared" si="0"/>
        <v>0</v>
      </c>
      <c r="FM52" s="260" t="s">
        <v>421</v>
      </c>
      <c r="FN52" s="260"/>
    </row>
    <row r="53" spans="1:170">
      <c r="A53" s="251" t="s">
        <v>393</v>
      </c>
      <c r="B53" s="251" t="s">
        <v>392</v>
      </c>
      <c r="C53" s="251" t="s">
        <v>411</v>
      </c>
      <c r="D53" s="251" t="s">
        <v>1</v>
      </c>
      <c r="E53" s="252" t="s">
        <v>904</v>
      </c>
      <c r="F53" s="251" t="s">
        <v>388</v>
      </c>
      <c r="G53" s="251" t="s">
        <v>905</v>
      </c>
      <c r="H53" s="253"/>
      <c r="I53" s="253"/>
      <c r="J53" s="253"/>
      <c r="K53" s="253"/>
      <c r="L53" s="255">
        <f>30-30</f>
        <v>0</v>
      </c>
      <c r="M53" s="253"/>
      <c r="N53" s="253"/>
      <c r="O53" s="253"/>
      <c r="P53" s="253"/>
      <c r="Q53" s="253"/>
      <c r="R53" s="253"/>
      <c r="S53" s="253"/>
      <c r="T53" s="255">
        <f>40-40</f>
        <v>0</v>
      </c>
      <c r="U53" s="253"/>
      <c r="V53" s="255">
        <f>100-100</f>
        <v>0</v>
      </c>
      <c r="W53" s="253"/>
      <c r="X53" s="253"/>
      <c r="Y53" s="253"/>
      <c r="Z53" s="253"/>
      <c r="AA53" s="253"/>
      <c r="AB53" s="253"/>
      <c r="AC53" s="253"/>
      <c r="AD53" s="253"/>
      <c r="AE53" s="253"/>
      <c r="AF53" s="253"/>
      <c r="AG53" s="253"/>
      <c r="AH53" s="253"/>
      <c r="AI53" s="253"/>
      <c r="AJ53" s="254">
        <f>0+10</f>
        <v>10</v>
      </c>
      <c r="AK53" s="255">
        <f>50-50</f>
        <v>0</v>
      </c>
      <c r="AL53" s="253"/>
      <c r="AM53" s="253"/>
      <c r="AN53" s="253"/>
      <c r="AO53" s="255">
        <f>100-100</f>
        <v>0</v>
      </c>
      <c r="AP53" s="253"/>
      <c r="AQ53" s="253"/>
      <c r="AR53" s="253"/>
      <c r="AS53" s="253"/>
      <c r="AT53" s="253"/>
      <c r="AU53" s="253"/>
      <c r="AV53" s="253"/>
      <c r="AW53" s="253"/>
      <c r="AX53" s="253"/>
      <c r="AY53" s="253"/>
      <c r="AZ53" s="253"/>
      <c r="BA53" s="253"/>
      <c r="BB53" s="253"/>
      <c r="BC53" s="253"/>
      <c r="BD53" s="253"/>
      <c r="BE53" s="253"/>
      <c r="BF53" s="253"/>
      <c r="BG53" s="253"/>
      <c r="BH53" s="253"/>
      <c r="BI53" s="253"/>
      <c r="BJ53" s="253"/>
      <c r="BK53" s="253"/>
      <c r="BL53" s="253"/>
      <c r="BM53" s="253"/>
      <c r="BN53" s="253"/>
      <c r="BO53" s="253"/>
      <c r="BP53" s="253"/>
      <c r="BQ53" s="253"/>
      <c r="BR53" s="253"/>
      <c r="BS53" s="253"/>
      <c r="BT53" s="253"/>
      <c r="BU53" s="253"/>
      <c r="BV53" s="253"/>
      <c r="BW53" s="253"/>
      <c r="BX53" s="253"/>
      <c r="BY53" s="253"/>
      <c r="BZ53" s="253"/>
      <c r="CA53" s="253"/>
      <c r="CB53" s="253"/>
      <c r="CC53" s="253"/>
      <c r="CD53" s="253"/>
      <c r="CE53" s="253"/>
      <c r="CF53" s="253"/>
      <c r="CG53" s="253"/>
      <c r="CH53" s="253"/>
      <c r="CI53" s="253"/>
      <c r="CJ53" s="253"/>
      <c r="CK53" s="253"/>
      <c r="CL53" s="253"/>
      <c r="CM53" s="253"/>
      <c r="CN53" s="253"/>
      <c r="CO53" s="253"/>
      <c r="CP53" s="253"/>
      <c r="CQ53" s="253"/>
      <c r="CR53" s="253"/>
      <c r="CS53" s="253"/>
      <c r="CT53" s="253"/>
      <c r="CU53" s="253"/>
      <c r="CV53" s="253"/>
      <c r="CW53" s="253"/>
      <c r="CX53" s="253"/>
      <c r="CY53" s="253"/>
      <c r="CZ53" s="253"/>
      <c r="DA53" s="253"/>
      <c r="DB53" s="253"/>
      <c r="DC53" s="253"/>
      <c r="DD53" s="253"/>
      <c r="DE53" s="253"/>
      <c r="DF53" s="253"/>
      <c r="DG53" s="253"/>
      <c r="DH53" s="253"/>
      <c r="DI53" s="253"/>
      <c r="DJ53" s="253"/>
      <c r="DK53" s="253"/>
      <c r="DL53" s="253"/>
      <c r="DM53" s="253"/>
      <c r="DN53" s="253"/>
      <c r="DO53" s="253"/>
      <c r="DP53" s="253"/>
      <c r="DQ53" s="253"/>
      <c r="DR53" s="253"/>
      <c r="DS53" s="253"/>
      <c r="DT53" s="253"/>
      <c r="DU53" s="253"/>
      <c r="DV53" s="253"/>
      <c r="DW53" s="253"/>
      <c r="DX53" s="253"/>
      <c r="DY53" s="253"/>
      <c r="DZ53" s="253"/>
      <c r="EA53" s="253"/>
      <c r="EB53" s="253"/>
      <c r="EC53" s="253"/>
      <c r="ED53" s="253"/>
      <c r="EE53" s="253"/>
      <c r="EF53" s="253"/>
      <c r="EG53" s="253"/>
      <c r="EH53" s="253"/>
      <c r="EI53" s="253"/>
      <c r="EJ53" s="253"/>
      <c r="EK53" s="253"/>
      <c r="EL53" s="253"/>
      <c r="EM53" s="253"/>
      <c r="EN53" s="253"/>
      <c r="EO53" s="253"/>
      <c r="EP53" s="253"/>
      <c r="EQ53" s="253"/>
      <c r="ER53" s="253"/>
      <c r="ES53" s="253"/>
      <c r="ET53" s="253"/>
      <c r="EU53" s="253"/>
      <c r="EV53" s="253"/>
      <c r="EW53" s="253"/>
      <c r="EX53" s="253"/>
      <c r="EY53" s="253"/>
      <c r="EZ53" s="253"/>
      <c r="FA53" s="253"/>
      <c r="FB53" s="253"/>
      <c r="FC53" s="253"/>
      <c r="FD53" s="253"/>
      <c r="FE53" s="253"/>
      <c r="FF53" s="253"/>
      <c r="FG53" s="256"/>
      <c r="FH53" s="257" t="s">
        <v>892</v>
      </c>
      <c r="FI53" s="258" t="s">
        <v>389</v>
      </c>
      <c r="FJ53" s="258" t="s">
        <v>906</v>
      </c>
      <c r="FK53" s="258" t="s">
        <v>420</v>
      </c>
      <c r="FL53" s="259">
        <f t="shared" si="0"/>
        <v>10</v>
      </c>
      <c r="FM53" s="260" t="s">
        <v>421</v>
      </c>
      <c r="FN53" s="260"/>
    </row>
    <row r="54" spans="1:170">
      <c r="A54" s="251" t="s">
        <v>393</v>
      </c>
      <c r="B54" s="251" t="s">
        <v>385</v>
      </c>
      <c r="C54" s="251" t="s">
        <v>411</v>
      </c>
      <c r="D54" s="251" t="s">
        <v>291</v>
      </c>
      <c r="E54" s="252" t="s">
        <v>422</v>
      </c>
      <c r="F54" s="251" t="s">
        <v>388</v>
      </c>
      <c r="G54" s="251"/>
      <c r="H54" s="253"/>
      <c r="I54" s="253"/>
      <c r="J54" s="253"/>
      <c r="K54" s="253"/>
      <c r="L54" s="253"/>
      <c r="M54" s="253"/>
      <c r="N54" s="253"/>
      <c r="O54" s="253"/>
      <c r="P54" s="253"/>
      <c r="Q54" s="253"/>
      <c r="R54" s="253"/>
      <c r="S54" s="253"/>
      <c r="T54" s="253"/>
      <c r="U54" s="253"/>
      <c r="V54" s="253"/>
      <c r="W54" s="253"/>
      <c r="X54" s="253"/>
      <c r="Y54" s="253"/>
      <c r="Z54" s="253"/>
      <c r="AA54" s="253"/>
      <c r="AB54" s="253"/>
      <c r="AC54" s="253"/>
      <c r="AD54" s="253"/>
      <c r="AE54" s="253"/>
      <c r="AF54" s="253"/>
      <c r="AG54" s="253"/>
      <c r="AH54" s="253"/>
      <c r="AI54" s="255">
        <f>1500-1500</f>
        <v>0</v>
      </c>
      <c r="AJ54" s="255">
        <f>360-360</f>
        <v>0</v>
      </c>
      <c r="AK54" s="253"/>
      <c r="AL54" s="253"/>
      <c r="AM54" s="253"/>
      <c r="AN54" s="253"/>
      <c r="AO54" s="253"/>
      <c r="AP54" s="253"/>
      <c r="AQ54" s="253"/>
      <c r="AR54" s="253"/>
      <c r="AS54" s="253"/>
      <c r="AT54" s="253"/>
      <c r="AU54" s="253"/>
      <c r="AV54" s="253"/>
      <c r="AW54" s="253"/>
      <c r="AX54" s="253"/>
      <c r="AY54" s="253"/>
      <c r="AZ54" s="253"/>
      <c r="BA54" s="253"/>
      <c r="BB54" s="253"/>
      <c r="BC54" s="253"/>
      <c r="BD54" s="253"/>
      <c r="BE54" s="253"/>
      <c r="BF54" s="253"/>
      <c r="BG54" s="253"/>
      <c r="BH54" s="253"/>
      <c r="BI54" s="253"/>
      <c r="BJ54" s="253"/>
      <c r="BK54" s="253"/>
      <c r="BL54" s="253"/>
      <c r="BM54" s="253"/>
      <c r="BN54" s="253"/>
      <c r="BO54" s="253"/>
      <c r="BP54" s="253"/>
      <c r="BQ54" s="253"/>
      <c r="BR54" s="253"/>
      <c r="BS54" s="253"/>
      <c r="BT54" s="253"/>
      <c r="BU54" s="253"/>
      <c r="BV54" s="253"/>
      <c r="BW54" s="253"/>
      <c r="BX54" s="253"/>
      <c r="BY54" s="253"/>
      <c r="BZ54" s="253"/>
      <c r="CA54" s="253"/>
      <c r="CB54" s="253"/>
      <c r="CC54" s="253"/>
      <c r="CD54" s="253"/>
      <c r="CE54" s="253"/>
      <c r="CF54" s="253"/>
      <c r="CG54" s="253"/>
      <c r="CH54" s="253"/>
      <c r="CI54" s="253"/>
      <c r="CJ54" s="253"/>
      <c r="CK54" s="253"/>
      <c r="CL54" s="253"/>
      <c r="CM54" s="253"/>
      <c r="CN54" s="253"/>
      <c r="CO54" s="253"/>
      <c r="CP54" s="253"/>
      <c r="CQ54" s="253"/>
      <c r="CR54" s="253"/>
      <c r="CS54" s="253"/>
      <c r="CT54" s="253"/>
      <c r="CU54" s="253"/>
      <c r="CV54" s="253"/>
      <c r="CW54" s="253"/>
      <c r="CX54" s="253"/>
      <c r="CY54" s="253"/>
      <c r="CZ54" s="253"/>
      <c r="DA54" s="253"/>
      <c r="DB54" s="253"/>
      <c r="DC54" s="253"/>
      <c r="DD54" s="253"/>
      <c r="DE54" s="253"/>
      <c r="DF54" s="253"/>
      <c r="DG54" s="253"/>
      <c r="DH54" s="253"/>
      <c r="DI54" s="253"/>
      <c r="DJ54" s="253"/>
      <c r="DK54" s="253"/>
      <c r="DL54" s="253"/>
      <c r="DM54" s="253"/>
      <c r="DN54" s="253"/>
      <c r="DO54" s="253"/>
      <c r="DP54" s="253"/>
      <c r="DQ54" s="253"/>
      <c r="DR54" s="253"/>
      <c r="DS54" s="253"/>
      <c r="DT54" s="253"/>
      <c r="DU54" s="253"/>
      <c r="DV54" s="253"/>
      <c r="DW54" s="253"/>
      <c r="DX54" s="253"/>
      <c r="DY54" s="253"/>
      <c r="DZ54" s="253"/>
      <c r="EA54" s="253"/>
      <c r="EB54" s="253"/>
      <c r="EC54" s="253"/>
      <c r="ED54" s="253"/>
      <c r="EE54" s="253"/>
      <c r="EF54" s="253"/>
      <c r="EG54" s="253"/>
      <c r="EH54" s="253"/>
      <c r="EI54" s="253"/>
      <c r="EJ54" s="253"/>
      <c r="EK54" s="253"/>
      <c r="EL54" s="253"/>
      <c r="EM54" s="253"/>
      <c r="EN54" s="253"/>
      <c r="EO54" s="253"/>
      <c r="EP54" s="253"/>
      <c r="EQ54" s="253"/>
      <c r="ER54" s="253"/>
      <c r="ES54" s="253"/>
      <c r="ET54" s="253"/>
      <c r="EU54" s="253"/>
      <c r="EV54" s="253"/>
      <c r="EW54" s="253"/>
      <c r="EX54" s="253"/>
      <c r="EY54" s="253"/>
      <c r="EZ54" s="253"/>
      <c r="FA54" s="253"/>
      <c r="FB54" s="253"/>
      <c r="FC54" s="253"/>
      <c r="FD54" s="253"/>
      <c r="FE54" s="253"/>
      <c r="FF54" s="253"/>
      <c r="FG54" s="256"/>
      <c r="FH54" s="257" t="s">
        <v>892</v>
      </c>
      <c r="FI54" s="258" t="s">
        <v>389</v>
      </c>
      <c r="FJ54" s="258"/>
      <c r="FK54" s="258" t="s">
        <v>423</v>
      </c>
      <c r="FL54" s="259">
        <f t="shared" si="0"/>
        <v>0</v>
      </c>
      <c r="FM54" s="260" t="s">
        <v>424</v>
      </c>
      <c r="FN54" s="260"/>
    </row>
    <row r="55" spans="1:170">
      <c r="A55" s="251" t="s">
        <v>393</v>
      </c>
      <c r="B55" s="251" t="s">
        <v>385</v>
      </c>
      <c r="C55" s="251" t="s">
        <v>411</v>
      </c>
      <c r="D55" s="251" t="s">
        <v>1</v>
      </c>
      <c r="E55" s="252" t="s">
        <v>422</v>
      </c>
      <c r="F55" s="251" t="s">
        <v>388</v>
      </c>
      <c r="G55" s="251"/>
      <c r="H55" s="253"/>
      <c r="I55" s="253"/>
      <c r="J55" s="253"/>
      <c r="K55" s="253"/>
      <c r="L55" s="253"/>
      <c r="M55" s="253"/>
      <c r="N55" s="253"/>
      <c r="O55" s="253"/>
      <c r="P55" s="253"/>
      <c r="Q55" s="253"/>
      <c r="R55" s="253"/>
      <c r="S55" s="253"/>
      <c r="T55" s="253"/>
      <c r="U55" s="253"/>
      <c r="V55" s="253"/>
      <c r="W55" s="253"/>
      <c r="X55" s="253"/>
      <c r="Y55" s="253"/>
      <c r="Z55" s="253"/>
      <c r="AA55" s="253"/>
      <c r="AB55" s="253"/>
      <c r="AC55" s="253"/>
      <c r="AD55" s="254">
        <f>680-680+10</f>
        <v>10</v>
      </c>
      <c r="AE55" s="255">
        <f>960-960</f>
        <v>0</v>
      </c>
      <c r="AF55" s="253"/>
      <c r="AG55" s="253"/>
      <c r="AH55" s="255">
        <f>400-400</f>
        <v>0</v>
      </c>
      <c r="AI55" s="253"/>
      <c r="AJ55" s="253"/>
      <c r="AK55" s="253"/>
      <c r="AL55" s="253"/>
      <c r="AM55" s="253"/>
      <c r="AN55" s="253"/>
      <c r="AO55" s="255">
        <f>1750-1750</f>
        <v>0</v>
      </c>
      <c r="AP55" s="253"/>
      <c r="AQ55" s="253"/>
      <c r="AR55" s="253"/>
      <c r="AS55" s="253"/>
      <c r="AT55" s="253"/>
      <c r="AU55" s="253"/>
      <c r="AV55" s="253"/>
      <c r="AW55" s="255">
        <f>1840-1840</f>
        <v>0</v>
      </c>
      <c r="AX55" s="253"/>
      <c r="AY55" s="253"/>
      <c r="AZ55" s="253"/>
      <c r="BA55" s="253"/>
      <c r="BB55" s="253"/>
      <c r="BC55" s="255">
        <f>510-510</f>
        <v>0</v>
      </c>
      <c r="BD55" s="253"/>
      <c r="BE55" s="253"/>
      <c r="BF55" s="253"/>
      <c r="BG55" s="253"/>
      <c r="BH55" s="253"/>
      <c r="BI55" s="253"/>
      <c r="BJ55" s="253"/>
      <c r="BK55" s="253"/>
      <c r="BL55" s="253"/>
      <c r="BM55" s="253"/>
      <c r="BN55" s="253"/>
      <c r="BO55" s="253"/>
      <c r="BP55" s="253"/>
      <c r="BQ55" s="253"/>
      <c r="BR55" s="253"/>
      <c r="BS55" s="253"/>
      <c r="BT55" s="253"/>
      <c r="BU55" s="253"/>
      <c r="BV55" s="253"/>
      <c r="BW55" s="253"/>
      <c r="BX55" s="253"/>
      <c r="BY55" s="253"/>
      <c r="BZ55" s="253"/>
      <c r="CA55" s="253"/>
      <c r="CB55" s="253"/>
      <c r="CC55" s="253"/>
      <c r="CD55" s="253"/>
      <c r="CE55" s="253"/>
      <c r="CF55" s="253"/>
      <c r="CG55" s="253"/>
      <c r="CH55" s="253"/>
      <c r="CI55" s="253"/>
      <c r="CJ55" s="253"/>
      <c r="CK55" s="253"/>
      <c r="CL55" s="253"/>
      <c r="CM55" s="253"/>
      <c r="CN55" s="253"/>
      <c r="CO55" s="253"/>
      <c r="CP55" s="253"/>
      <c r="CQ55" s="253"/>
      <c r="CR55" s="253"/>
      <c r="CS55" s="253"/>
      <c r="CT55" s="253"/>
      <c r="CU55" s="253"/>
      <c r="CV55" s="253"/>
      <c r="CW55" s="253"/>
      <c r="CX55" s="253"/>
      <c r="CY55" s="253"/>
      <c r="CZ55" s="253"/>
      <c r="DA55" s="253"/>
      <c r="DB55" s="253"/>
      <c r="DC55" s="253"/>
      <c r="DD55" s="253"/>
      <c r="DE55" s="253"/>
      <c r="DF55" s="253"/>
      <c r="DG55" s="253"/>
      <c r="DH55" s="253"/>
      <c r="DI55" s="253"/>
      <c r="DJ55" s="253"/>
      <c r="DK55" s="253"/>
      <c r="DL55" s="253"/>
      <c r="DM55" s="253"/>
      <c r="DN55" s="253"/>
      <c r="DO55" s="253"/>
      <c r="DP55" s="253"/>
      <c r="DQ55" s="253"/>
      <c r="DR55" s="253"/>
      <c r="DS55" s="253"/>
      <c r="DT55" s="253"/>
      <c r="DU55" s="253"/>
      <c r="DV55" s="255">
        <f>500-500</f>
        <v>0</v>
      </c>
      <c r="DW55" s="255">
        <f>490-490</f>
        <v>0</v>
      </c>
      <c r="DX55" s="253"/>
      <c r="DY55" s="253"/>
      <c r="DZ55" s="255">
        <f>1000-1000</f>
        <v>0</v>
      </c>
      <c r="EA55" s="255">
        <f>800-800</f>
        <v>0</v>
      </c>
      <c r="EB55" s="255">
        <f>1600-1600</f>
        <v>0</v>
      </c>
      <c r="EC55" s="255">
        <f>390-390</f>
        <v>0</v>
      </c>
      <c r="ED55" s="255">
        <f>800-800</f>
        <v>0</v>
      </c>
      <c r="EE55" s="253"/>
      <c r="EF55" s="253"/>
      <c r="EG55" s="253"/>
      <c r="EH55" s="253"/>
      <c r="EI55" s="253"/>
      <c r="EJ55" s="253"/>
      <c r="EK55" s="253"/>
      <c r="EL55" s="253"/>
      <c r="EM55" s="253"/>
      <c r="EN55" s="253"/>
      <c r="EO55" s="253"/>
      <c r="EP55" s="253"/>
      <c r="EQ55" s="253"/>
      <c r="ER55" s="253"/>
      <c r="ES55" s="253"/>
      <c r="ET55" s="253"/>
      <c r="EU55" s="253"/>
      <c r="EV55" s="253"/>
      <c r="EW55" s="253"/>
      <c r="EX55" s="253"/>
      <c r="EY55" s="253"/>
      <c r="EZ55" s="253"/>
      <c r="FA55" s="253"/>
      <c r="FB55" s="253"/>
      <c r="FC55" s="255">
        <f>500-500</f>
        <v>0</v>
      </c>
      <c r="FD55" s="255">
        <f>500-500</f>
        <v>0</v>
      </c>
      <c r="FE55" s="253"/>
      <c r="FF55" s="253"/>
      <c r="FG55" s="256"/>
      <c r="FH55" s="257" t="s">
        <v>892</v>
      </c>
      <c r="FI55" s="258" t="s">
        <v>389</v>
      </c>
      <c r="FJ55" s="258"/>
      <c r="FK55" s="258" t="s">
        <v>423</v>
      </c>
      <c r="FL55" s="259">
        <f t="shared" si="0"/>
        <v>10</v>
      </c>
      <c r="FM55" s="260" t="s">
        <v>424</v>
      </c>
      <c r="FN55" s="260"/>
    </row>
    <row r="56" spans="1:170">
      <c r="A56" s="251" t="s">
        <v>393</v>
      </c>
      <c r="B56" s="251" t="s">
        <v>385</v>
      </c>
      <c r="C56" s="251" t="s">
        <v>411</v>
      </c>
      <c r="D56" s="251" t="s">
        <v>291</v>
      </c>
      <c r="E56" s="252" t="s">
        <v>907</v>
      </c>
      <c r="F56" s="251" t="s">
        <v>388</v>
      </c>
      <c r="G56" s="251" t="s">
        <v>908</v>
      </c>
      <c r="H56" s="253"/>
      <c r="I56" s="253"/>
      <c r="J56" s="253"/>
      <c r="K56" s="253"/>
      <c r="L56" s="253"/>
      <c r="M56" s="253"/>
      <c r="N56" s="255">
        <f>20-20</f>
        <v>0</v>
      </c>
      <c r="O56" s="253"/>
      <c r="P56" s="253"/>
      <c r="Q56" s="253"/>
      <c r="R56" s="255">
        <f>50-50</f>
        <v>0</v>
      </c>
      <c r="S56" s="253"/>
      <c r="T56" s="253"/>
      <c r="U56" s="255">
        <f>50-50</f>
        <v>0</v>
      </c>
      <c r="V56" s="253"/>
      <c r="W56" s="253"/>
      <c r="X56" s="253"/>
      <c r="Y56" s="253"/>
      <c r="Z56" s="253"/>
      <c r="AA56" s="253"/>
      <c r="AB56" s="253"/>
      <c r="AC56" s="253"/>
      <c r="AD56" s="253"/>
      <c r="AE56" s="253"/>
      <c r="AF56" s="253"/>
      <c r="AG56" s="253"/>
      <c r="AH56" s="253"/>
      <c r="AI56" s="255">
        <f>50-50</f>
        <v>0</v>
      </c>
      <c r="AJ56" s="255">
        <f>50-50</f>
        <v>0</v>
      </c>
      <c r="AK56" s="253"/>
      <c r="AL56" s="253"/>
      <c r="AM56" s="253"/>
      <c r="AN56" s="253"/>
      <c r="AO56" s="253"/>
      <c r="AP56" s="253"/>
      <c r="AQ56" s="255">
        <f>50-50</f>
        <v>0</v>
      </c>
      <c r="AR56" s="253"/>
      <c r="AS56" s="253"/>
      <c r="AT56" s="253"/>
      <c r="AU56" s="253"/>
      <c r="AV56" s="253"/>
      <c r="AW56" s="253"/>
      <c r="AX56" s="253"/>
      <c r="AY56" s="253"/>
      <c r="AZ56" s="253"/>
      <c r="BA56" s="253"/>
      <c r="BB56" s="253"/>
      <c r="BC56" s="253"/>
      <c r="BD56" s="253"/>
      <c r="BE56" s="253"/>
      <c r="BF56" s="253"/>
      <c r="BG56" s="255">
        <f>20-20</f>
        <v>0</v>
      </c>
      <c r="BH56" s="253"/>
      <c r="BI56" s="253"/>
      <c r="BJ56" s="253"/>
      <c r="BK56" s="253"/>
      <c r="BL56" s="253"/>
      <c r="BM56" s="253"/>
      <c r="BN56" s="253"/>
      <c r="BO56" s="253"/>
      <c r="BP56" s="253"/>
      <c r="BQ56" s="253"/>
      <c r="BR56" s="253"/>
      <c r="BS56" s="253"/>
      <c r="BT56" s="253"/>
      <c r="BU56" s="253"/>
      <c r="BV56" s="253"/>
      <c r="BW56" s="253"/>
      <c r="BX56" s="253"/>
      <c r="BY56" s="253"/>
      <c r="BZ56" s="253"/>
      <c r="CA56" s="253"/>
      <c r="CB56" s="253"/>
      <c r="CC56" s="253"/>
      <c r="CD56" s="253"/>
      <c r="CE56" s="253"/>
      <c r="CF56" s="253"/>
      <c r="CG56" s="253"/>
      <c r="CH56" s="253"/>
      <c r="CI56" s="253"/>
      <c r="CJ56" s="253"/>
      <c r="CK56" s="253"/>
      <c r="CL56" s="253"/>
      <c r="CM56" s="253"/>
      <c r="CN56" s="253"/>
      <c r="CO56" s="253"/>
      <c r="CP56" s="253"/>
      <c r="CQ56" s="253"/>
      <c r="CR56" s="253"/>
      <c r="CS56" s="253"/>
      <c r="CT56" s="253"/>
      <c r="CU56" s="253"/>
      <c r="CV56" s="253"/>
      <c r="CW56" s="253"/>
      <c r="CX56" s="253"/>
      <c r="CY56" s="253"/>
      <c r="CZ56" s="253"/>
      <c r="DA56" s="253"/>
      <c r="DB56" s="253"/>
      <c r="DC56" s="253"/>
      <c r="DD56" s="253"/>
      <c r="DE56" s="253"/>
      <c r="DF56" s="253"/>
      <c r="DG56" s="253"/>
      <c r="DH56" s="253"/>
      <c r="DI56" s="253"/>
      <c r="DJ56" s="253"/>
      <c r="DK56" s="253"/>
      <c r="DL56" s="253"/>
      <c r="DM56" s="253"/>
      <c r="DN56" s="253"/>
      <c r="DO56" s="253"/>
      <c r="DP56" s="253"/>
      <c r="DQ56" s="253"/>
      <c r="DR56" s="253"/>
      <c r="DS56" s="253"/>
      <c r="DT56" s="253"/>
      <c r="DU56" s="253"/>
      <c r="DV56" s="253"/>
      <c r="DW56" s="253"/>
      <c r="DX56" s="253"/>
      <c r="DY56" s="253"/>
      <c r="DZ56" s="253"/>
      <c r="EA56" s="253"/>
      <c r="EB56" s="253"/>
      <c r="EC56" s="253"/>
      <c r="ED56" s="253"/>
      <c r="EE56" s="253"/>
      <c r="EF56" s="253"/>
      <c r="EG56" s="253"/>
      <c r="EH56" s="253"/>
      <c r="EI56" s="253"/>
      <c r="EJ56" s="253"/>
      <c r="EK56" s="253"/>
      <c r="EL56" s="253"/>
      <c r="EM56" s="253"/>
      <c r="EN56" s="253"/>
      <c r="EO56" s="253"/>
      <c r="EP56" s="253"/>
      <c r="EQ56" s="253"/>
      <c r="ER56" s="253"/>
      <c r="ES56" s="253"/>
      <c r="ET56" s="253"/>
      <c r="EU56" s="253"/>
      <c r="EV56" s="253"/>
      <c r="EW56" s="253"/>
      <c r="EX56" s="253"/>
      <c r="EY56" s="253"/>
      <c r="EZ56" s="253"/>
      <c r="FA56" s="253"/>
      <c r="FB56" s="253"/>
      <c r="FC56" s="253"/>
      <c r="FD56" s="253"/>
      <c r="FE56" s="253"/>
      <c r="FF56" s="253"/>
      <c r="FG56" s="256"/>
      <c r="FH56" s="257" t="s">
        <v>892</v>
      </c>
      <c r="FI56" s="258" t="s">
        <v>389</v>
      </c>
      <c r="FJ56" s="258"/>
      <c r="FK56" s="258" t="s">
        <v>423</v>
      </c>
      <c r="FL56" s="259">
        <f t="shared" si="0"/>
        <v>0</v>
      </c>
      <c r="FM56" s="260" t="s">
        <v>835</v>
      </c>
      <c r="FN56" s="260"/>
    </row>
    <row r="57" spans="1:170">
      <c r="A57" s="251" t="s">
        <v>393</v>
      </c>
      <c r="B57" s="251" t="s">
        <v>385</v>
      </c>
      <c r="C57" s="251" t="s">
        <v>411</v>
      </c>
      <c r="D57" s="251" t="s">
        <v>1</v>
      </c>
      <c r="E57" s="252" t="s">
        <v>907</v>
      </c>
      <c r="F57" s="251" t="s">
        <v>388</v>
      </c>
      <c r="G57" s="251" t="s">
        <v>908</v>
      </c>
      <c r="H57" s="253"/>
      <c r="I57" s="253"/>
      <c r="J57" s="253"/>
      <c r="K57" s="253"/>
      <c r="L57" s="253"/>
      <c r="M57" s="253"/>
      <c r="N57" s="253"/>
      <c r="O57" s="253"/>
      <c r="P57" s="255">
        <f>20-20</f>
        <v>0</v>
      </c>
      <c r="Q57" s="255">
        <f>20-20</f>
        <v>0</v>
      </c>
      <c r="R57" s="253"/>
      <c r="S57" s="253"/>
      <c r="T57" s="255">
        <f>50-50</f>
        <v>0</v>
      </c>
      <c r="U57" s="253"/>
      <c r="V57" s="255">
        <f>50-50</f>
        <v>0</v>
      </c>
      <c r="W57" s="255">
        <f>50-50</f>
        <v>0</v>
      </c>
      <c r="X57" s="253"/>
      <c r="Y57" s="253"/>
      <c r="Z57" s="254">
        <f>50-50+8</f>
        <v>8</v>
      </c>
      <c r="AA57" s="253"/>
      <c r="AB57" s="255">
        <f t="shared" ref="AB57:AH57" si="5">50-50</f>
        <v>0</v>
      </c>
      <c r="AC57" s="255">
        <f t="shared" si="5"/>
        <v>0</v>
      </c>
      <c r="AD57" s="255">
        <f t="shared" si="5"/>
        <v>0</v>
      </c>
      <c r="AE57" s="255">
        <f t="shared" si="5"/>
        <v>0</v>
      </c>
      <c r="AF57" s="254">
        <f>50-50+10</f>
        <v>10</v>
      </c>
      <c r="AG57" s="255">
        <f t="shared" si="5"/>
        <v>0</v>
      </c>
      <c r="AH57" s="255">
        <f t="shared" si="5"/>
        <v>0</v>
      </c>
      <c r="AI57" s="253"/>
      <c r="AJ57" s="253"/>
      <c r="AK57" s="255">
        <f>50-50</f>
        <v>0</v>
      </c>
      <c r="AL57" s="253"/>
      <c r="AM57" s="253"/>
      <c r="AN57" s="253"/>
      <c r="AO57" s="255">
        <f>50-50</f>
        <v>0</v>
      </c>
      <c r="AP57" s="253"/>
      <c r="AQ57" s="253"/>
      <c r="AR57" s="253"/>
      <c r="AS57" s="253"/>
      <c r="AT57" s="253"/>
      <c r="AU57" s="253"/>
      <c r="AV57" s="253"/>
      <c r="AW57" s="255">
        <f>50-50</f>
        <v>0</v>
      </c>
      <c r="AX57" s="253"/>
      <c r="AY57" s="253"/>
      <c r="AZ57" s="253"/>
      <c r="BA57" s="253"/>
      <c r="BB57" s="253"/>
      <c r="BC57" s="255">
        <f>20-20</f>
        <v>0</v>
      </c>
      <c r="BD57" s="253"/>
      <c r="BE57" s="253"/>
      <c r="BF57" s="253"/>
      <c r="BG57" s="253"/>
      <c r="BH57" s="253"/>
      <c r="BI57" s="253"/>
      <c r="BJ57" s="253"/>
      <c r="BK57" s="253"/>
      <c r="BL57" s="253"/>
      <c r="BM57" s="253"/>
      <c r="BN57" s="253"/>
      <c r="BO57" s="253"/>
      <c r="BP57" s="253"/>
      <c r="BQ57" s="253"/>
      <c r="BR57" s="253"/>
      <c r="BS57" s="253"/>
      <c r="BT57" s="253"/>
      <c r="BU57" s="253"/>
      <c r="BV57" s="253"/>
      <c r="BW57" s="253"/>
      <c r="BX57" s="253"/>
      <c r="BY57" s="253"/>
      <c r="BZ57" s="253"/>
      <c r="CA57" s="253"/>
      <c r="CB57" s="253"/>
      <c r="CC57" s="253"/>
      <c r="CD57" s="253"/>
      <c r="CE57" s="253"/>
      <c r="CF57" s="253"/>
      <c r="CG57" s="253"/>
      <c r="CH57" s="253"/>
      <c r="CI57" s="253"/>
      <c r="CJ57" s="253"/>
      <c r="CK57" s="253"/>
      <c r="CL57" s="253"/>
      <c r="CM57" s="253"/>
      <c r="CN57" s="253"/>
      <c r="CO57" s="253"/>
      <c r="CP57" s="253"/>
      <c r="CQ57" s="253"/>
      <c r="CR57" s="253"/>
      <c r="CS57" s="253"/>
      <c r="CT57" s="253"/>
      <c r="CU57" s="253"/>
      <c r="CV57" s="253"/>
      <c r="CW57" s="253"/>
      <c r="CX57" s="253"/>
      <c r="CY57" s="253"/>
      <c r="CZ57" s="253"/>
      <c r="DA57" s="253"/>
      <c r="DB57" s="253"/>
      <c r="DC57" s="253"/>
      <c r="DD57" s="253"/>
      <c r="DE57" s="253"/>
      <c r="DF57" s="253"/>
      <c r="DG57" s="253"/>
      <c r="DH57" s="253"/>
      <c r="DI57" s="253"/>
      <c r="DJ57" s="253"/>
      <c r="DK57" s="253"/>
      <c r="DL57" s="253"/>
      <c r="DM57" s="253"/>
      <c r="DN57" s="253"/>
      <c r="DO57" s="253"/>
      <c r="DP57" s="253"/>
      <c r="DQ57" s="253"/>
      <c r="DR57" s="253"/>
      <c r="DS57" s="253"/>
      <c r="DT57" s="253"/>
      <c r="DU57" s="253"/>
      <c r="DV57" s="255">
        <f>20-20</f>
        <v>0</v>
      </c>
      <c r="DW57" s="255">
        <f>10-10</f>
        <v>0</v>
      </c>
      <c r="DX57" s="253"/>
      <c r="DY57" s="253"/>
      <c r="DZ57" s="255">
        <f>20-20</f>
        <v>0</v>
      </c>
      <c r="EA57" s="255">
        <f>10-10</f>
        <v>0</v>
      </c>
      <c r="EB57" s="253"/>
      <c r="EC57" s="253"/>
      <c r="ED57" s="253"/>
      <c r="EE57" s="255">
        <f>20-20</f>
        <v>0</v>
      </c>
      <c r="EF57" s="255">
        <f>20-20</f>
        <v>0</v>
      </c>
      <c r="EG57" s="255">
        <f>20-20</f>
        <v>0</v>
      </c>
      <c r="EH57" s="255">
        <f>20-20</f>
        <v>0</v>
      </c>
      <c r="EI57" s="255">
        <f>20-20</f>
        <v>0</v>
      </c>
      <c r="EJ57" s="253"/>
      <c r="EK57" s="253"/>
      <c r="EL57" s="253"/>
      <c r="EM57" s="253"/>
      <c r="EN57" s="253"/>
      <c r="EO57" s="253"/>
      <c r="EP57" s="253"/>
      <c r="EQ57" s="253"/>
      <c r="ER57" s="253"/>
      <c r="ES57" s="253"/>
      <c r="ET57" s="253"/>
      <c r="EU57" s="253"/>
      <c r="EV57" s="253"/>
      <c r="EW57" s="253"/>
      <c r="EX57" s="253"/>
      <c r="EY57" s="253"/>
      <c r="EZ57" s="253"/>
      <c r="FA57" s="253"/>
      <c r="FB57" s="253"/>
      <c r="FC57" s="255">
        <f>20-20</f>
        <v>0</v>
      </c>
      <c r="FD57" s="255">
        <f>20-20</f>
        <v>0</v>
      </c>
      <c r="FE57" s="253"/>
      <c r="FF57" s="253"/>
      <c r="FG57" s="256"/>
      <c r="FH57" s="257" t="s">
        <v>892</v>
      </c>
      <c r="FI57" s="258" t="s">
        <v>389</v>
      </c>
      <c r="FJ57" s="258"/>
      <c r="FK57" s="258" t="s">
        <v>423</v>
      </c>
      <c r="FL57" s="259">
        <f t="shared" si="0"/>
        <v>18</v>
      </c>
      <c r="FM57" s="260" t="s">
        <v>835</v>
      </c>
      <c r="FN57" s="260"/>
    </row>
    <row r="58" spans="1:170">
      <c r="A58" s="251" t="s">
        <v>393</v>
      </c>
      <c r="B58" s="251" t="s">
        <v>385</v>
      </c>
      <c r="C58" s="251" t="s">
        <v>411</v>
      </c>
      <c r="D58" s="251" t="s">
        <v>291</v>
      </c>
      <c r="E58" s="252" t="s">
        <v>425</v>
      </c>
      <c r="F58" s="251" t="s">
        <v>388</v>
      </c>
      <c r="G58" s="251"/>
      <c r="H58" s="253"/>
      <c r="I58" s="253"/>
      <c r="J58" s="253"/>
      <c r="K58" s="253"/>
      <c r="L58" s="253"/>
      <c r="M58" s="253"/>
      <c r="N58" s="253"/>
      <c r="O58" s="253"/>
      <c r="P58" s="253"/>
      <c r="Q58" s="253"/>
      <c r="R58" s="253"/>
      <c r="S58" s="253"/>
      <c r="T58" s="253"/>
      <c r="U58" s="253"/>
      <c r="V58" s="253"/>
      <c r="W58" s="253"/>
      <c r="X58" s="253"/>
      <c r="Y58" s="253"/>
      <c r="Z58" s="253"/>
      <c r="AA58" s="253"/>
      <c r="AB58" s="253"/>
      <c r="AC58" s="253"/>
      <c r="AD58" s="253"/>
      <c r="AE58" s="253"/>
      <c r="AF58" s="253"/>
      <c r="AG58" s="253"/>
      <c r="AH58" s="253"/>
      <c r="AI58" s="253"/>
      <c r="AJ58" s="253"/>
      <c r="AK58" s="253"/>
      <c r="AL58" s="253"/>
      <c r="AM58" s="253"/>
      <c r="AN58" s="253"/>
      <c r="AO58" s="253"/>
      <c r="AP58" s="253"/>
      <c r="AQ58" s="253"/>
      <c r="AR58" s="253"/>
      <c r="AS58" s="253"/>
      <c r="AT58" s="255">
        <f>50-50</f>
        <v>0</v>
      </c>
      <c r="AU58" s="253"/>
      <c r="AV58" s="253"/>
      <c r="AW58" s="253"/>
      <c r="AX58" s="253"/>
      <c r="AY58" s="253"/>
      <c r="AZ58" s="253"/>
      <c r="BA58" s="253"/>
      <c r="BB58" s="253"/>
      <c r="BC58" s="253"/>
      <c r="BD58" s="253"/>
      <c r="BE58" s="253"/>
      <c r="BF58" s="253"/>
      <c r="BG58" s="253"/>
      <c r="BH58" s="253"/>
      <c r="BI58" s="253"/>
      <c r="BJ58" s="253"/>
      <c r="BK58" s="253"/>
      <c r="BL58" s="253"/>
      <c r="BM58" s="253"/>
      <c r="BN58" s="253"/>
      <c r="BO58" s="253"/>
      <c r="BP58" s="253"/>
      <c r="BQ58" s="253"/>
      <c r="BR58" s="253"/>
      <c r="BS58" s="253"/>
      <c r="BT58" s="253"/>
      <c r="BU58" s="253"/>
      <c r="BV58" s="253"/>
      <c r="BW58" s="253"/>
      <c r="BX58" s="253"/>
      <c r="BY58" s="253"/>
      <c r="BZ58" s="253"/>
      <c r="CA58" s="253"/>
      <c r="CB58" s="253"/>
      <c r="CC58" s="253"/>
      <c r="CD58" s="253"/>
      <c r="CE58" s="253"/>
      <c r="CF58" s="253"/>
      <c r="CG58" s="253"/>
      <c r="CH58" s="253"/>
      <c r="CI58" s="253"/>
      <c r="CJ58" s="253"/>
      <c r="CK58" s="253"/>
      <c r="CL58" s="253"/>
      <c r="CM58" s="253"/>
      <c r="CN58" s="253"/>
      <c r="CO58" s="253"/>
      <c r="CP58" s="253"/>
      <c r="CQ58" s="253"/>
      <c r="CR58" s="253"/>
      <c r="CS58" s="253"/>
      <c r="CT58" s="253"/>
      <c r="CU58" s="253"/>
      <c r="CV58" s="253"/>
      <c r="CW58" s="253"/>
      <c r="CX58" s="253"/>
      <c r="CY58" s="253"/>
      <c r="CZ58" s="253"/>
      <c r="DA58" s="253"/>
      <c r="DB58" s="253"/>
      <c r="DC58" s="253"/>
      <c r="DD58" s="253"/>
      <c r="DE58" s="253"/>
      <c r="DF58" s="253"/>
      <c r="DG58" s="253"/>
      <c r="DH58" s="253"/>
      <c r="DI58" s="253"/>
      <c r="DJ58" s="253"/>
      <c r="DK58" s="253"/>
      <c r="DL58" s="253"/>
      <c r="DM58" s="253"/>
      <c r="DN58" s="253"/>
      <c r="DO58" s="253"/>
      <c r="DP58" s="253"/>
      <c r="DQ58" s="253"/>
      <c r="DR58" s="253"/>
      <c r="DS58" s="253"/>
      <c r="DT58" s="253"/>
      <c r="DU58" s="253"/>
      <c r="DV58" s="253"/>
      <c r="DW58" s="253"/>
      <c r="DX58" s="253"/>
      <c r="DY58" s="253"/>
      <c r="DZ58" s="253"/>
      <c r="EA58" s="253"/>
      <c r="EB58" s="253"/>
      <c r="EC58" s="253"/>
      <c r="ED58" s="253"/>
      <c r="EE58" s="253"/>
      <c r="EF58" s="253"/>
      <c r="EG58" s="253"/>
      <c r="EH58" s="253"/>
      <c r="EI58" s="253"/>
      <c r="EJ58" s="253"/>
      <c r="EK58" s="253"/>
      <c r="EL58" s="253"/>
      <c r="EM58" s="253"/>
      <c r="EN58" s="253"/>
      <c r="EO58" s="253"/>
      <c r="EP58" s="253"/>
      <c r="EQ58" s="253"/>
      <c r="ER58" s="253"/>
      <c r="ES58" s="253"/>
      <c r="ET58" s="253"/>
      <c r="EU58" s="253"/>
      <c r="EV58" s="253"/>
      <c r="EW58" s="253"/>
      <c r="EX58" s="253"/>
      <c r="EY58" s="253"/>
      <c r="EZ58" s="253"/>
      <c r="FA58" s="253"/>
      <c r="FB58" s="253"/>
      <c r="FC58" s="253"/>
      <c r="FD58" s="253"/>
      <c r="FE58" s="253"/>
      <c r="FF58" s="253"/>
      <c r="FG58" s="256"/>
      <c r="FH58" s="257" t="s">
        <v>892</v>
      </c>
      <c r="FI58" s="258" t="s">
        <v>389</v>
      </c>
      <c r="FJ58" s="258"/>
      <c r="FK58" s="258" t="s">
        <v>413</v>
      </c>
      <c r="FL58" s="259">
        <f t="shared" si="0"/>
        <v>0</v>
      </c>
      <c r="FM58" s="260" t="s">
        <v>414</v>
      </c>
      <c r="FN58" s="260"/>
    </row>
    <row r="59" spans="1:170">
      <c r="A59" s="251" t="s">
        <v>393</v>
      </c>
      <c r="B59" s="251" t="s">
        <v>385</v>
      </c>
      <c r="C59" s="251" t="s">
        <v>411</v>
      </c>
      <c r="D59" s="251" t="s">
        <v>1</v>
      </c>
      <c r="E59" s="252" t="s">
        <v>425</v>
      </c>
      <c r="F59" s="251" t="s">
        <v>388</v>
      </c>
      <c r="G59" s="251"/>
      <c r="H59" s="253"/>
      <c r="I59" s="253"/>
      <c r="J59" s="253"/>
      <c r="K59" s="253"/>
      <c r="L59" s="253"/>
      <c r="M59" s="253"/>
      <c r="N59" s="253"/>
      <c r="O59" s="253"/>
      <c r="P59" s="253"/>
      <c r="Q59" s="253"/>
      <c r="R59" s="253"/>
      <c r="S59" s="253"/>
      <c r="T59" s="253"/>
      <c r="U59" s="253"/>
      <c r="V59" s="253"/>
      <c r="W59" s="253"/>
      <c r="X59" s="253"/>
      <c r="Y59" s="253"/>
      <c r="Z59" s="253"/>
      <c r="AA59" s="253"/>
      <c r="AB59" s="253"/>
      <c r="AC59" s="253"/>
      <c r="AD59" s="253"/>
      <c r="AE59" s="253"/>
      <c r="AF59" s="253"/>
      <c r="AG59" s="253"/>
      <c r="AH59" s="253"/>
      <c r="AI59" s="253"/>
      <c r="AJ59" s="253"/>
      <c r="AK59" s="253"/>
      <c r="AL59" s="253"/>
      <c r="AM59" s="253"/>
      <c r="AN59" s="253"/>
      <c r="AO59" s="253"/>
      <c r="AP59" s="253"/>
      <c r="AQ59" s="253"/>
      <c r="AR59" s="253"/>
      <c r="AS59" s="253"/>
      <c r="AT59" s="253"/>
      <c r="AU59" s="253"/>
      <c r="AV59" s="253"/>
      <c r="AW59" s="255">
        <f>50-50</f>
        <v>0</v>
      </c>
      <c r="AX59" s="253"/>
      <c r="AY59" s="253"/>
      <c r="AZ59" s="253"/>
      <c r="BA59" s="253"/>
      <c r="BB59" s="253"/>
      <c r="BC59" s="253"/>
      <c r="BD59" s="253"/>
      <c r="BE59" s="253"/>
      <c r="BF59" s="253"/>
      <c r="BG59" s="253"/>
      <c r="BH59" s="253"/>
      <c r="BI59" s="253"/>
      <c r="BJ59" s="253"/>
      <c r="BK59" s="253"/>
      <c r="BL59" s="253"/>
      <c r="BM59" s="253"/>
      <c r="BN59" s="253"/>
      <c r="BO59" s="253"/>
      <c r="BP59" s="253"/>
      <c r="BQ59" s="253"/>
      <c r="BR59" s="253"/>
      <c r="BS59" s="253"/>
      <c r="BT59" s="253"/>
      <c r="BU59" s="253"/>
      <c r="BV59" s="253"/>
      <c r="BW59" s="253"/>
      <c r="BX59" s="253"/>
      <c r="BY59" s="253"/>
      <c r="BZ59" s="253"/>
      <c r="CA59" s="253"/>
      <c r="CB59" s="253"/>
      <c r="CC59" s="253"/>
      <c r="CD59" s="253"/>
      <c r="CE59" s="253"/>
      <c r="CF59" s="253"/>
      <c r="CG59" s="253"/>
      <c r="CH59" s="253"/>
      <c r="CI59" s="253"/>
      <c r="CJ59" s="253"/>
      <c r="CK59" s="253"/>
      <c r="CL59" s="253"/>
      <c r="CM59" s="253"/>
      <c r="CN59" s="253"/>
      <c r="CO59" s="253"/>
      <c r="CP59" s="253"/>
      <c r="CQ59" s="253"/>
      <c r="CR59" s="253"/>
      <c r="CS59" s="253"/>
      <c r="CT59" s="253"/>
      <c r="CU59" s="253"/>
      <c r="CV59" s="253"/>
      <c r="CW59" s="253"/>
      <c r="CX59" s="253"/>
      <c r="CY59" s="253"/>
      <c r="CZ59" s="253"/>
      <c r="DA59" s="253"/>
      <c r="DB59" s="253"/>
      <c r="DC59" s="253"/>
      <c r="DD59" s="253"/>
      <c r="DE59" s="253"/>
      <c r="DF59" s="253"/>
      <c r="DG59" s="253"/>
      <c r="DH59" s="253"/>
      <c r="DI59" s="253"/>
      <c r="DJ59" s="253"/>
      <c r="DK59" s="253"/>
      <c r="DL59" s="253"/>
      <c r="DM59" s="253"/>
      <c r="DN59" s="253"/>
      <c r="DO59" s="253"/>
      <c r="DP59" s="253"/>
      <c r="DQ59" s="253"/>
      <c r="DR59" s="253"/>
      <c r="DS59" s="253"/>
      <c r="DT59" s="253"/>
      <c r="DU59" s="253"/>
      <c r="DV59" s="253"/>
      <c r="DW59" s="253"/>
      <c r="DX59" s="253"/>
      <c r="DY59" s="253"/>
      <c r="DZ59" s="253"/>
      <c r="EA59" s="253"/>
      <c r="EB59" s="253"/>
      <c r="EC59" s="253"/>
      <c r="ED59" s="253"/>
      <c r="EE59" s="253"/>
      <c r="EF59" s="253"/>
      <c r="EG59" s="253"/>
      <c r="EH59" s="253"/>
      <c r="EI59" s="253"/>
      <c r="EJ59" s="253"/>
      <c r="EK59" s="253"/>
      <c r="EL59" s="253"/>
      <c r="EM59" s="253"/>
      <c r="EN59" s="253"/>
      <c r="EO59" s="253"/>
      <c r="EP59" s="253"/>
      <c r="EQ59" s="253"/>
      <c r="ER59" s="253"/>
      <c r="ES59" s="253"/>
      <c r="ET59" s="253"/>
      <c r="EU59" s="253"/>
      <c r="EV59" s="253"/>
      <c r="EW59" s="253"/>
      <c r="EX59" s="253"/>
      <c r="EY59" s="253"/>
      <c r="EZ59" s="253"/>
      <c r="FA59" s="253"/>
      <c r="FB59" s="253"/>
      <c r="FC59" s="253"/>
      <c r="FD59" s="253"/>
      <c r="FE59" s="253"/>
      <c r="FF59" s="253"/>
      <c r="FG59" s="256"/>
      <c r="FH59" s="257" t="s">
        <v>892</v>
      </c>
      <c r="FI59" s="258" t="s">
        <v>389</v>
      </c>
      <c r="FJ59" s="258"/>
      <c r="FK59" s="258" t="s">
        <v>413</v>
      </c>
      <c r="FL59" s="259">
        <f t="shared" si="0"/>
        <v>0</v>
      </c>
      <c r="FM59" s="260" t="s">
        <v>414</v>
      </c>
      <c r="FN59" s="260"/>
    </row>
    <row r="60" spans="1:170">
      <c r="A60" s="251" t="s">
        <v>385</v>
      </c>
      <c r="B60" s="251" t="s">
        <v>385</v>
      </c>
      <c r="C60" s="251" t="s">
        <v>411</v>
      </c>
      <c r="D60" s="251" t="s">
        <v>291</v>
      </c>
      <c r="E60" s="252" t="s">
        <v>203</v>
      </c>
      <c r="F60" s="251" t="s">
        <v>388</v>
      </c>
      <c r="G60" s="251" t="s">
        <v>909</v>
      </c>
      <c r="H60" s="253"/>
      <c r="I60" s="255">
        <f>300-300</f>
        <v>0</v>
      </c>
      <c r="J60" s="253"/>
      <c r="K60" s="255">
        <f>60-60</f>
        <v>0</v>
      </c>
      <c r="L60" s="253"/>
      <c r="M60" s="253"/>
      <c r="N60" s="255">
        <f>200-200</f>
        <v>0</v>
      </c>
      <c r="O60" s="253"/>
      <c r="P60" s="253"/>
      <c r="Q60" s="253"/>
      <c r="R60" s="253"/>
      <c r="S60" s="253"/>
      <c r="T60" s="253"/>
      <c r="U60" s="253"/>
      <c r="V60" s="253"/>
      <c r="W60" s="253"/>
      <c r="X60" s="253"/>
      <c r="Y60" s="253"/>
      <c r="Z60" s="253"/>
      <c r="AA60" s="253"/>
      <c r="AB60" s="253"/>
      <c r="AC60" s="253"/>
      <c r="AD60" s="253"/>
      <c r="AE60" s="253"/>
      <c r="AF60" s="253"/>
      <c r="AG60" s="253"/>
      <c r="AH60" s="253"/>
      <c r="AI60" s="255">
        <f>200-200</f>
        <v>0</v>
      </c>
      <c r="AJ60" s="255">
        <f>200-200</f>
        <v>0</v>
      </c>
      <c r="AK60" s="253"/>
      <c r="AL60" s="253"/>
      <c r="AM60" s="253"/>
      <c r="AN60" s="253"/>
      <c r="AO60" s="253"/>
      <c r="AP60" s="253"/>
      <c r="AQ60" s="253"/>
      <c r="AR60" s="253"/>
      <c r="AS60" s="255">
        <f>200-200</f>
        <v>0</v>
      </c>
      <c r="AT60" s="255">
        <f>200-200</f>
        <v>0</v>
      </c>
      <c r="AU60" s="253"/>
      <c r="AV60" s="253"/>
      <c r="AW60" s="253"/>
      <c r="AX60" s="253"/>
      <c r="AY60" s="253"/>
      <c r="AZ60" s="253"/>
      <c r="BA60" s="253"/>
      <c r="BB60" s="253"/>
      <c r="BC60" s="253"/>
      <c r="BD60" s="253"/>
      <c r="BE60" s="253"/>
      <c r="BF60" s="253"/>
      <c r="BG60" s="255">
        <f>200-200</f>
        <v>0</v>
      </c>
      <c r="BH60" s="253"/>
      <c r="BI60" s="253"/>
      <c r="BJ60" s="253"/>
      <c r="BK60" s="253"/>
      <c r="BL60" s="253"/>
      <c r="BM60" s="253"/>
      <c r="BN60" s="253"/>
      <c r="BO60" s="253"/>
      <c r="BP60" s="253"/>
      <c r="BQ60" s="253"/>
      <c r="BR60" s="253"/>
      <c r="BS60" s="253"/>
      <c r="BT60" s="253"/>
      <c r="BU60" s="253"/>
      <c r="BV60" s="253"/>
      <c r="BW60" s="253"/>
      <c r="BX60" s="253"/>
      <c r="BY60" s="253"/>
      <c r="BZ60" s="253"/>
      <c r="CA60" s="253"/>
      <c r="CB60" s="253"/>
      <c r="CC60" s="253"/>
      <c r="CD60" s="253"/>
      <c r="CE60" s="253"/>
      <c r="CF60" s="253"/>
      <c r="CG60" s="253"/>
      <c r="CH60" s="253"/>
      <c r="CI60" s="253"/>
      <c r="CJ60" s="253"/>
      <c r="CK60" s="253"/>
      <c r="CL60" s="253"/>
      <c r="CM60" s="253"/>
      <c r="CN60" s="253"/>
      <c r="CO60" s="253"/>
      <c r="CP60" s="253"/>
      <c r="CQ60" s="253"/>
      <c r="CR60" s="253"/>
      <c r="CS60" s="253"/>
      <c r="CT60" s="253"/>
      <c r="CU60" s="253"/>
      <c r="CV60" s="253"/>
      <c r="CW60" s="253"/>
      <c r="CX60" s="253"/>
      <c r="CY60" s="253"/>
      <c r="CZ60" s="253"/>
      <c r="DA60" s="253"/>
      <c r="DB60" s="253"/>
      <c r="DC60" s="253"/>
      <c r="DD60" s="253"/>
      <c r="DE60" s="253"/>
      <c r="DF60" s="253"/>
      <c r="DG60" s="253"/>
      <c r="DH60" s="253"/>
      <c r="DI60" s="253"/>
      <c r="DJ60" s="253"/>
      <c r="DK60" s="253"/>
      <c r="DL60" s="253"/>
      <c r="DM60" s="253"/>
      <c r="DN60" s="253"/>
      <c r="DO60" s="253"/>
      <c r="DP60" s="253"/>
      <c r="DQ60" s="253"/>
      <c r="DR60" s="253"/>
      <c r="DS60" s="253"/>
      <c r="DT60" s="253"/>
      <c r="DU60" s="253"/>
      <c r="DV60" s="253"/>
      <c r="DW60" s="253"/>
      <c r="DX60" s="253"/>
      <c r="DY60" s="253"/>
      <c r="DZ60" s="253"/>
      <c r="EA60" s="253"/>
      <c r="EB60" s="253"/>
      <c r="EC60" s="253"/>
      <c r="ED60" s="253"/>
      <c r="EE60" s="253"/>
      <c r="EF60" s="253"/>
      <c r="EG60" s="253"/>
      <c r="EH60" s="253"/>
      <c r="EI60" s="253"/>
      <c r="EJ60" s="253"/>
      <c r="EK60" s="253"/>
      <c r="EL60" s="253"/>
      <c r="EM60" s="253"/>
      <c r="EN60" s="253"/>
      <c r="EO60" s="253"/>
      <c r="EP60" s="253"/>
      <c r="EQ60" s="253"/>
      <c r="ER60" s="253"/>
      <c r="ES60" s="253"/>
      <c r="ET60" s="253"/>
      <c r="EU60" s="253"/>
      <c r="EV60" s="253"/>
      <c r="EW60" s="253"/>
      <c r="EX60" s="253"/>
      <c r="EY60" s="253"/>
      <c r="EZ60" s="253"/>
      <c r="FA60" s="253"/>
      <c r="FB60" s="253"/>
      <c r="FC60" s="253"/>
      <c r="FD60" s="253"/>
      <c r="FE60" s="253"/>
      <c r="FF60" s="253"/>
      <c r="FG60" s="256"/>
      <c r="FH60" s="257" t="s">
        <v>892</v>
      </c>
      <c r="FI60" s="258" t="s">
        <v>389</v>
      </c>
      <c r="FJ60" s="258" t="s">
        <v>839</v>
      </c>
      <c r="FK60" s="258" t="s">
        <v>426</v>
      </c>
      <c r="FL60" s="259">
        <f t="shared" si="0"/>
        <v>0</v>
      </c>
      <c r="FM60" s="260" t="s">
        <v>433</v>
      </c>
      <c r="FN60" s="260"/>
    </row>
    <row r="61" spans="1:170">
      <c r="A61" s="251" t="s">
        <v>385</v>
      </c>
      <c r="B61" s="251" t="s">
        <v>385</v>
      </c>
      <c r="C61" s="251" t="s">
        <v>411</v>
      </c>
      <c r="D61" s="251" t="s">
        <v>1</v>
      </c>
      <c r="E61" s="252" t="s">
        <v>203</v>
      </c>
      <c r="F61" s="251" t="s">
        <v>388</v>
      </c>
      <c r="G61" s="251" t="s">
        <v>909</v>
      </c>
      <c r="H61" s="253"/>
      <c r="I61" s="253"/>
      <c r="J61" s="253"/>
      <c r="K61" s="253"/>
      <c r="L61" s="253"/>
      <c r="M61" s="253"/>
      <c r="N61" s="253"/>
      <c r="O61" s="253"/>
      <c r="P61" s="254">
        <f>200-200+10</f>
        <v>10</v>
      </c>
      <c r="Q61" s="255">
        <f>300-300</f>
        <v>0</v>
      </c>
      <c r="R61" s="253"/>
      <c r="S61" s="253"/>
      <c r="T61" s="253"/>
      <c r="U61" s="253"/>
      <c r="V61" s="253"/>
      <c r="W61" s="253"/>
      <c r="X61" s="253"/>
      <c r="Y61" s="253"/>
      <c r="Z61" s="253"/>
      <c r="AA61" s="253"/>
      <c r="AB61" s="253"/>
      <c r="AC61" s="253"/>
      <c r="AD61" s="255">
        <f>200-200</f>
        <v>0</v>
      </c>
      <c r="AE61" s="254">
        <f>200-200+10</f>
        <v>10</v>
      </c>
      <c r="AF61" s="253"/>
      <c r="AG61" s="255">
        <f>200-200</f>
        <v>0</v>
      </c>
      <c r="AH61" s="253"/>
      <c r="AI61" s="253"/>
      <c r="AJ61" s="253"/>
      <c r="AK61" s="253"/>
      <c r="AL61" s="253"/>
      <c r="AM61" s="255">
        <f>200-200</f>
        <v>0</v>
      </c>
      <c r="AN61" s="253"/>
      <c r="AO61" s="255">
        <f>200-200</f>
        <v>0</v>
      </c>
      <c r="AP61" s="253"/>
      <c r="AQ61" s="253"/>
      <c r="AR61" s="253"/>
      <c r="AS61" s="253"/>
      <c r="AT61" s="253"/>
      <c r="AU61" s="253"/>
      <c r="AV61" s="253"/>
      <c r="AW61" s="255">
        <f>300-300</f>
        <v>0</v>
      </c>
      <c r="AX61" s="253"/>
      <c r="AY61" s="253"/>
      <c r="AZ61" s="253"/>
      <c r="BA61" s="253"/>
      <c r="BB61" s="253"/>
      <c r="BC61" s="255">
        <f>200-200</f>
        <v>0</v>
      </c>
      <c r="BD61" s="253"/>
      <c r="BE61" s="253"/>
      <c r="BF61" s="253"/>
      <c r="BG61" s="253"/>
      <c r="BH61" s="255">
        <f>200-200</f>
        <v>0</v>
      </c>
      <c r="BI61" s="255">
        <f>200-200</f>
        <v>0</v>
      </c>
      <c r="BJ61" s="253"/>
      <c r="BK61" s="253"/>
      <c r="BL61" s="253"/>
      <c r="BM61" s="253"/>
      <c r="BN61" s="253"/>
      <c r="BO61" s="253"/>
      <c r="BP61" s="253"/>
      <c r="BQ61" s="253"/>
      <c r="BR61" s="253"/>
      <c r="BS61" s="253"/>
      <c r="BT61" s="253"/>
      <c r="BU61" s="253"/>
      <c r="BV61" s="253"/>
      <c r="BW61" s="253"/>
      <c r="BX61" s="253"/>
      <c r="BY61" s="253"/>
      <c r="BZ61" s="253"/>
      <c r="CA61" s="253"/>
      <c r="CB61" s="253"/>
      <c r="CC61" s="253"/>
      <c r="CD61" s="253"/>
      <c r="CE61" s="253"/>
      <c r="CF61" s="253"/>
      <c r="CG61" s="253"/>
      <c r="CH61" s="253"/>
      <c r="CI61" s="253"/>
      <c r="CJ61" s="253"/>
      <c r="CK61" s="253"/>
      <c r="CL61" s="253"/>
      <c r="CM61" s="253"/>
      <c r="CN61" s="253"/>
      <c r="CO61" s="253"/>
      <c r="CP61" s="253"/>
      <c r="CQ61" s="253"/>
      <c r="CR61" s="253"/>
      <c r="CS61" s="253"/>
      <c r="CT61" s="253"/>
      <c r="CU61" s="253"/>
      <c r="CV61" s="253"/>
      <c r="CW61" s="253"/>
      <c r="CX61" s="253"/>
      <c r="CY61" s="253"/>
      <c r="CZ61" s="253"/>
      <c r="DA61" s="253"/>
      <c r="DB61" s="253"/>
      <c r="DC61" s="253"/>
      <c r="DD61" s="253"/>
      <c r="DE61" s="253"/>
      <c r="DF61" s="253"/>
      <c r="DG61" s="253"/>
      <c r="DH61" s="253"/>
      <c r="DI61" s="253"/>
      <c r="DJ61" s="253"/>
      <c r="DK61" s="253"/>
      <c r="DL61" s="253"/>
      <c r="DM61" s="253"/>
      <c r="DN61" s="253"/>
      <c r="DO61" s="253"/>
      <c r="DP61" s="253"/>
      <c r="DQ61" s="253"/>
      <c r="DR61" s="253"/>
      <c r="DS61" s="253"/>
      <c r="DT61" s="253"/>
      <c r="DU61" s="253"/>
      <c r="DV61" s="253"/>
      <c r="DW61" s="253"/>
      <c r="DX61" s="253"/>
      <c r="DY61" s="253"/>
      <c r="DZ61" s="255">
        <f>100-100</f>
        <v>0</v>
      </c>
      <c r="EA61" s="255">
        <f>100-100</f>
        <v>0</v>
      </c>
      <c r="EB61" s="253"/>
      <c r="EC61" s="253"/>
      <c r="ED61" s="255">
        <f>100-100</f>
        <v>0</v>
      </c>
      <c r="EE61" s="253"/>
      <c r="EF61" s="253"/>
      <c r="EG61" s="255">
        <f>100-100</f>
        <v>0</v>
      </c>
      <c r="EH61" s="253"/>
      <c r="EI61" s="255">
        <f>200-200</f>
        <v>0</v>
      </c>
      <c r="EJ61" s="253"/>
      <c r="EK61" s="253"/>
      <c r="EL61" s="253"/>
      <c r="EM61" s="253"/>
      <c r="EN61" s="253"/>
      <c r="EO61" s="253"/>
      <c r="EP61" s="253"/>
      <c r="EQ61" s="253"/>
      <c r="ER61" s="253"/>
      <c r="ES61" s="253"/>
      <c r="ET61" s="253"/>
      <c r="EU61" s="253"/>
      <c r="EV61" s="253"/>
      <c r="EW61" s="253"/>
      <c r="EX61" s="253"/>
      <c r="EY61" s="253"/>
      <c r="EZ61" s="253"/>
      <c r="FA61" s="253"/>
      <c r="FB61" s="253"/>
      <c r="FC61" s="253"/>
      <c r="FD61" s="253"/>
      <c r="FE61" s="253"/>
      <c r="FF61" s="253"/>
      <c r="FG61" s="256"/>
      <c r="FH61" s="257" t="s">
        <v>892</v>
      </c>
      <c r="FI61" s="258" t="s">
        <v>389</v>
      </c>
      <c r="FJ61" s="258" t="s">
        <v>839</v>
      </c>
      <c r="FK61" s="258" t="s">
        <v>426</v>
      </c>
      <c r="FL61" s="259">
        <f t="shared" si="0"/>
        <v>20</v>
      </c>
      <c r="FM61" s="260" t="s">
        <v>433</v>
      </c>
      <c r="FN61" s="260"/>
    </row>
    <row r="62" spans="1:170">
      <c r="A62" s="251" t="s">
        <v>393</v>
      </c>
      <c r="B62" s="251" t="s">
        <v>385</v>
      </c>
      <c r="C62" s="251" t="s">
        <v>411</v>
      </c>
      <c r="D62" s="251" t="s">
        <v>291</v>
      </c>
      <c r="E62" s="252" t="s">
        <v>427</v>
      </c>
      <c r="F62" s="251" t="s">
        <v>388</v>
      </c>
      <c r="G62" s="251" t="s">
        <v>910</v>
      </c>
      <c r="H62" s="253"/>
      <c r="I62" s="255">
        <f>200-200</f>
        <v>0</v>
      </c>
      <c r="J62" s="253"/>
      <c r="K62" s="255">
        <f>200-200</f>
        <v>0</v>
      </c>
      <c r="L62" s="253"/>
      <c r="M62" s="253"/>
      <c r="N62" s="255">
        <f>180-180</f>
        <v>0</v>
      </c>
      <c r="O62" s="253"/>
      <c r="P62" s="253"/>
      <c r="Q62" s="253"/>
      <c r="R62" s="253"/>
      <c r="S62" s="253"/>
      <c r="T62" s="253"/>
      <c r="U62" s="253"/>
      <c r="V62" s="253"/>
      <c r="W62" s="253"/>
      <c r="X62" s="253"/>
      <c r="Y62" s="253"/>
      <c r="Z62" s="253"/>
      <c r="AA62" s="253"/>
      <c r="AB62" s="253"/>
      <c r="AC62" s="253"/>
      <c r="AD62" s="253"/>
      <c r="AE62" s="253"/>
      <c r="AF62" s="253"/>
      <c r="AG62" s="254">
        <f>0+20</f>
        <v>20</v>
      </c>
      <c r="AH62" s="253"/>
      <c r="AI62" s="255">
        <f>200-200</f>
        <v>0</v>
      </c>
      <c r="AJ62" s="255">
        <f>200-200</f>
        <v>0</v>
      </c>
      <c r="AK62" s="253"/>
      <c r="AL62" s="253"/>
      <c r="AM62" s="253"/>
      <c r="AN62" s="253"/>
      <c r="AO62" s="253"/>
      <c r="AP62" s="253"/>
      <c r="AQ62" s="253"/>
      <c r="AR62" s="253"/>
      <c r="AS62" s="255">
        <f>200-200</f>
        <v>0</v>
      </c>
      <c r="AT62" s="255">
        <f>200-200</f>
        <v>0</v>
      </c>
      <c r="AU62" s="253"/>
      <c r="AV62" s="253"/>
      <c r="AW62" s="253"/>
      <c r="AX62" s="253"/>
      <c r="AY62" s="253"/>
      <c r="AZ62" s="253"/>
      <c r="BA62" s="253"/>
      <c r="BB62" s="253"/>
      <c r="BC62" s="253"/>
      <c r="BD62" s="253"/>
      <c r="BE62" s="253"/>
      <c r="BF62" s="253"/>
      <c r="BG62" s="253"/>
      <c r="BH62" s="253"/>
      <c r="BI62" s="253"/>
      <c r="BJ62" s="253"/>
      <c r="BK62" s="253"/>
      <c r="BL62" s="253"/>
      <c r="BM62" s="253"/>
      <c r="BN62" s="253"/>
      <c r="BO62" s="253"/>
      <c r="BP62" s="253"/>
      <c r="BQ62" s="253"/>
      <c r="BR62" s="253"/>
      <c r="BS62" s="253"/>
      <c r="BT62" s="253"/>
      <c r="BU62" s="253"/>
      <c r="BV62" s="253"/>
      <c r="BW62" s="253"/>
      <c r="BX62" s="253"/>
      <c r="BY62" s="253"/>
      <c r="BZ62" s="253"/>
      <c r="CA62" s="253"/>
      <c r="CB62" s="253"/>
      <c r="CC62" s="253"/>
      <c r="CD62" s="253"/>
      <c r="CE62" s="253"/>
      <c r="CF62" s="253"/>
      <c r="CG62" s="253"/>
      <c r="CH62" s="253"/>
      <c r="CI62" s="253"/>
      <c r="CJ62" s="253"/>
      <c r="CK62" s="253"/>
      <c r="CL62" s="253"/>
      <c r="CM62" s="253"/>
      <c r="CN62" s="253"/>
      <c r="CO62" s="253"/>
      <c r="CP62" s="253"/>
      <c r="CQ62" s="253"/>
      <c r="CR62" s="253"/>
      <c r="CS62" s="253"/>
      <c r="CT62" s="253"/>
      <c r="CU62" s="253"/>
      <c r="CV62" s="253"/>
      <c r="CW62" s="253"/>
      <c r="CX62" s="253"/>
      <c r="CY62" s="253"/>
      <c r="CZ62" s="253"/>
      <c r="DA62" s="253"/>
      <c r="DB62" s="253"/>
      <c r="DC62" s="253"/>
      <c r="DD62" s="253"/>
      <c r="DE62" s="253"/>
      <c r="DF62" s="253"/>
      <c r="DG62" s="253"/>
      <c r="DH62" s="253"/>
      <c r="DI62" s="253"/>
      <c r="DJ62" s="253"/>
      <c r="DK62" s="253"/>
      <c r="DL62" s="253"/>
      <c r="DM62" s="253"/>
      <c r="DN62" s="253"/>
      <c r="DO62" s="253"/>
      <c r="DP62" s="255">
        <f>100-100</f>
        <v>0</v>
      </c>
      <c r="DQ62" s="253"/>
      <c r="DR62" s="253"/>
      <c r="DS62" s="253"/>
      <c r="DT62" s="255">
        <f>80-80</f>
        <v>0</v>
      </c>
      <c r="DU62" s="255">
        <f>60-60</f>
        <v>0</v>
      </c>
      <c r="DV62" s="253"/>
      <c r="DW62" s="253"/>
      <c r="DX62" s="253"/>
      <c r="DY62" s="253"/>
      <c r="DZ62" s="253"/>
      <c r="EA62" s="253"/>
      <c r="EB62" s="253"/>
      <c r="EC62" s="253"/>
      <c r="ED62" s="253"/>
      <c r="EE62" s="253"/>
      <c r="EF62" s="253"/>
      <c r="EG62" s="253"/>
      <c r="EH62" s="253"/>
      <c r="EI62" s="253"/>
      <c r="EJ62" s="253"/>
      <c r="EK62" s="253"/>
      <c r="EL62" s="253"/>
      <c r="EM62" s="253"/>
      <c r="EN62" s="253"/>
      <c r="EO62" s="253"/>
      <c r="EP62" s="253"/>
      <c r="EQ62" s="253"/>
      <c r="ER62" s="253"/>
      <c r="ES62" s="253"/>
      <c r="ET62" s="253"/>
      <c r="EU62" s="253"/>
      <c r="EV62" s="253"/>
      <c r="EW62" s="253"/>
      <c r="EX62" s="253"/>
      <c r="EY62" s="253"/>
      <c r="EZ62" s="253"/>
      <c r="FA62" s="253"/>
      <c r="FB62" s="253"/>
      <c r="FC62" s="253"/>
      <c r="FD62" s="253"/>
      <c r="FE62" s="253"/>
      <c r="FF62" s="253"/>
      <c r="FG62" s="256"/>
      <c r="FH62" s="257" t="s">
        <v>892</v>
      </c>
      <c r="FI62" s="258" t="s">
        <v>389</v>
      </c>
      <c r="FJ62" s="258"/>
      <c r="FK62" s="258" t="s">
        <v>423</v>
      </c>
      <c r="FL62" s="259">
        <f t="shared" si="0"/>
        <v>20</v>
      </c>
      <c r="FM62" s="260" t="s">
        <v>835</v>
      </c>
      <c r="FN62" s="260"/>
    </row>
    <row r="63" spans="1:170">
      <c r="A63" s="251" t="s">
        <v>393</v>
      </c>
      <c r="B63" s="251" t="s">
        <v>385</v>
      </c>
      <c r="C63" s="251" t="s">
        <v>411</v>
      </c>
      <c r="D63" s="251" t="s">
        <v>1</v>
      </c>
      <c r="E63" s="252" t="s">
        <v>427</v>
      </c>
      <c r="F63" s="251" t="s">
        <v>388</v>
      </c>
      <c r="G63" s="251" t="s">
        <v>910</v>
      </c>
      <c r="H63" s="253"/>
      <c r="I63" s="253"/>
      <c r="J63" s="253"/>
      <c r="K63" s="253"/>
      <c r="L63" s="253"/>
      <c r="M63" s="253"/>
      <c r="N63" s="253"/>
      <c r="O63" s="253"/>
      <c r="P63" s="255">
        <f>100-100</f>
        <v>0</v>
      </c>
      <c r="Q63" s="255">
        <f>200-200</f>
        <v>0</v>
      </c>
      <c r="R63" s="253"/>
      <c r="S63" s="253"/>
      <c r="T63" s="255">
        <f>100-100</f>
        <v>0</v>
      </c>
      <c r="U63" s="253"/>
      <c r="V63" s="255">
        <f>100-100</f>
        <v>0</v>
      </c>
      <c r="W63" s="253"/>
      <c r="X63" s="253"/>
      <c r="Y63" s="253"/>
      <c r="Z63" s="253"/>
      <c r="AA63" s="253"/>
      <c r="AB63" s="253"/>
      <c r="AC63" s="255">
        <f>100-100</f>
        <v>0</v>
      </c>
      <c r="AD63" s="255">
        <f>200-200</f>
        <v>0</v>
      </c>
      <c r="AE63" s="255">
        <f>100-100</f>
        <v>0</v>
      </c>
      <c r="AF63" s="253"/>
      <c r="AG63" s="255">
        <f>200-200</f>
        <v>0</v>
      </c>
      <c r="AH63" s="253"/>
      <c r="AI63" s="253"/>
      <c r="AJ63" s="253"/>
      <c r="AK63" s="253"/>
      <c r="AL63" s="253"/>
      <c r="AM63" s="253"/>
      <c r="AN63" s="253"/>
      <c r="AO63" s="253"/>
      <c r="AP63" s="253"/>
      <c r="AQ63" s="253"/>
      <c r="AR63" s="253"/>
      <c r="AS63" s="253"/>
      <c r="AT63" s="253"/>
      <c r="AU63" s="253"/>
      <c r="AV63" s="253"/>
      <c r="AW63" s="255">
        <f>70-70</f>
        <v>0</v>
      </c>
      <c r="AX63" s="253"/>
      <c r="AY63" s="253"/>
      <c r="AZ63" s="253"/>
      <c r="BA63" s="253"/>
      <c r="BB63" s="253"/>
      <c r="BC63" s="253"/>
      <c r="BD63" s="253"/>
      <c r="BE63" s="253"/>
      <c r="BF63" s="253"/>
      <c r="BG63" s="253"/>
      <c r="BH63" s="253"/>
      <c r="BI63" s="255">
        <f>100-100</f>
        <v>0</v>
      </c>
      <c r="BJ63" s="253"/>
      <c r="BK63" s="253"/>
      <c r="BL63" s="253"/>
      <c r="BM63" s="253"/>
      <c r="BN63" s="253"/>
      <c r="BO63" s="253"/>
      <c r="BP63" s="253"/>
      <c r="BQ63" s="253"/>
      <c r="BR63" s="253"/>
      <c r="BS63" s="253"/>
      <c r="BT63" s="253"/>
      <c r="BU63" s="253"/>
      <c r="BV63" s="253"/>
      <c r="BW63" s="253"/>
      <c r="BX63" s="253"/>
      <c r="BY63" s="253"/>
      <c r="BZ63" s="253"/>
      <c r="CA63" s="253"/>
      <c r="CB63" s="253"/>
      <c r="CC63" s="253"/>
      <c r="CD63" s="253"/>
      <c r="CE63" s="253"/>
      <c r="CF63" s="253"/>
      <c r="CG63" s="253"/>
      <c r="CH63" s="253"/>
      <c r="CI63" s="253"/>
      <c r="CJ63" s="253"/>
      <c r="CK63" s="253"/>
      <c r="CL63" s="253"/>
      <c r="CM63" s="253"/>
      <c r="CN63" s="253"/>
      <c r="CO63" s="253"/>
      <c r="CP63" s="253"/>
      <c r="CQ63" s="253"/>
      <c r="CR63" s="253"/>
      <c r="CS63" s="253"/>
      <c r="CT63" s="253"/>
      <c r="CU63" s="253"/>
      <c r="CV63" s="253"/>
      <c r="CW63" s="253"/>
      <c r="CX63" s="253"/>
      <c r="CY63" s="253"/>
      <c r="CZ63" s="253"/>
      <c r="DA63" s="253"/>
      <c r="DB63" s="253"/>
      <c r="DC63" s="253"/>
      <c r="DD63" s="253"/>
      <c r="DE63" s="253"/>
      <c r="DF63" s="253"/>
      <c r="DG63" s="253"/>
      <c r="DH63" s="253"/>
      <c r="DI63" s="253"/>
      <c r="DJ63" s="253"/>
      <c r="DK63" s="253"/>
      <c r="DL63" s="253"/>
      <c r="DM63" s="253"/>
      <c r="DN63" s="253"/>
      <c r="DO63" s="253"/>
      <c r="DP63" s="253"/>
      <c r="DQ63" s="254">
        <f>10-10+10</f>
        <v>10</v>
      </c>
      <c r="DR63" s="253"/>
      <c r="DS63" s="253"/>
      <c r="DT63" s="253"/>
      <c r="DU63" s="253"/>
      <c r="DV63" s="253"/>
      <c r="DW63" s="253"/>
      <c r="DX63" s="253"/>
      <c r="DY63" s="253"/>
      <c r="DZ63" s="255">
        <f>200-200</f>
        <v>0</v>
      </c>
      <c r="EA63" s="255">
        <f>20-20</f>
        <v>0</v>
      </c>
      <c r="EB63" s="255">
        <f>200-200</f>
        <v>0</v>
      </c>
      <c r="EC63" s="253"/>
      <c r="ED63" s="255">
        <f>200-200</f>
        <v>0</v>
      </c>
      <c r="EE63" s="253"/>
      <c r="EF63" s="255">
        <f>200-200</f>
        <v>0</v>
      </c>
      <c r="EG63" s="255">
        <f>200-200</f>
        <v>0</v>
      </c>
      <c r="EH63" s="253"/>
      <c r="EI63" s="255">
        <f>200-200</f>
        <v>0</v>
      </c>
      <c r="EJ63" s="253"/>
      <c r="EK63" s="253"/>
      <c r="EL63" s="253"/>
      <c r="EM63" s="253"/>
      <c r="EN63" s="253"/>
      <c r="EO63" s="253"/>
      <c r="EP63" s="253"/>
      <c r="EQ63" s="253"/>
      <c r="ER63" s="253"/>
      <c r="ES63" s="253"/>
      <c r="ET63" s="253"/>
      <c r="EU63" s="253"/>
      <c r="EV63" s="253"/>
      <c r="EW63" s="253"/>
      <c r="EX63" s="253"/>
      <c r="EY63" s="253"/>
      <c r="EZ63" s="253"/>
      <c r="FA63" s="253"/>
      <c r="FB63" s="253"/>
      <c r="FC63" s="255">
        <f>300-300</f>
        <v>0</v>
      </c>
      <c r="FD63" s="255">
        <f>300-300</f>
        <v>0</v>
      </c>
      <c r="FE63" s="253"/>
      <c r="FF63" s="253"/>
      <c r="FG63" s="256"/>
      <c r="FH63" s="257" t="s">
        <v>892</v>
      </c>
      <c r="FI63" s="258" t="s">
        <v>389</v>
      </c>
      <c r="FJ63" s="258"/>
      <c r="FK63" s="258" t="s">
        <v>423</v>
      </c>
      <c r="FL63" s="259">
        <f t="shared" si="0"/>
        <v>10</v>
      </c>
      <c r="FM63" s="260" t="s">
        <v>835</v>
      </c>
      <c r="FN63" s="260"/>
    </row>
    <row r="64" spans="1:170">
      <c r="A64" s="251" t="s">
        <v>393</v>
      </c>
      <c r="B64" s="251" t="s">
        <v>385</v>
      </c>
      <c r="C64" s="251" t="s">
        <v>411</v>
      </c>
      <c r="D64" s="251" t="s">
        <v>293</v>
      </c>
      <c r="E64" s="252" t="s">
        <v>427</v>
      </c>
      <c r="F64" s="251" t="s">
        <v>388</v>
      </c>
      <c r="G64" s="251" t="s">
        <v>842</v>
      </c>
      <c r="H64" s="253"/>
      <c r="I64" s="253"/>
      <c r="J64" s="255">
        <f>200-200</f>
        <v>0</v>
      </c>
      <c r="K64" s="253"/>
      <c r="L64" s="253"/>
      <c r="M64" s="253"/>
      <c r="N64" s="253"/>
      <c r="O64" s="253"/>
      <c r="P64" s="253"/>
      <c r="Q64" s="253"/>
      <c r="R64" s="253"/>
      <c r="S64" s="253"/>
      <c r="T64" s="253"/>
      <c r="U64" s="253"/>
      <c r="V64" s="253"/>
      <c r="W64" s="253"/>
      <c r="X64" s="253"/>
      <c r="Y64" s="253"/>
      <c r="Z64" s="253"/>
      <c r="AA64" s="253"/>
      <c r="AB64" s="253"/>
      <c r="AC64" s="253"/>
      <c r="AD64" s="253"/>
      <c r="AE64" s="253"/>
      <c r="AF64" s="253"/>
      <c r="AG64" s="253"/>
      <c r="AH64" s="253"/>
      <c r="AI64" s="253"/>
      <c r="AJ64" s="253"/>
      <c r="AK64" s="253"/>
      <c r="AL64" s="253"/>
      <c r="AM64" s="253"/>
      <c r="AN64" s="253"/>
      <c r="AO64" s="253"/>
      <c r="AP64" s="253"/>
      <c r="AQ64" s="253"/>
      <c r="AR64" s="253"/>
      <c r="AS64" s="253"/>
      <c r="AT64" s="253"/>
      <c r="AU64" s="253"/>
      <c r="AV64" s="253"/>
      <c r="AW64" s="253"/>
      <c r="AX64" s="253"/>
      <c r="AY64" s="253"/>
      <c r="AZ64" s="253"/>
      <c r="BA64" s="253"/>
      <c r="BB64" s="253"/>
      <c r="BC64" s="253"/>
      <c r="BD64" s="253"/>
      <c r="BE64" s="253"/>
      <c r="BF64" s="253"/>
      <c r="BG64" s="253"/>
      <c r="BH64" s="253"/>
      <c r="BI64" s="253"/>
      <c r="BJ64" s="253"/>
      <c r="BK64" s="253"/>
      <c r="BL64" s="253"/>
      <c r="BM64" s="253"/>
      <c r="BN64" s="253"/>
      <c r="BO64" s="253"/>
      <c r="BP64" s="253"/>
      <c r="BQ64" s="253"/>
      <c r="BR64" s="253"/>
      <c r="BS64" s="253"/>
      <c r="BT64" s="253"/>
      <c r="BU64" s="253"/>
      <c r="BV64" s="253"/>
      <c r="BW64" s="253"/>
      <c r="BX64" s="253"/>
      <c r="BY64" s="253"/>
      <c r="BZ64" s="253"/>
      <c r="CA64" s="253"/>
      <c r="CB64" s="253"/>
      <c r="CC64" s="253"/>
      <c r="CD64" s="253"/>
      <c r="CE64" s="253"/>
      <c r="CF64" s="253"/>
      <c r="CG64" s="253"/>
      <c r="CH64" s="253"/>
      <c r="CI64" s="253"/>
      <c r="CJ64" s="253"/>
      <c r="CK64" s="253"/>
      <c r="CL64" s="253"/>
      <c r="CM64" s="253"/>
      <c r="CN64" s="253"/>
      <c r="CO64" s="253"/>
      <c r="CP64" s="253"/>
      <c r="CQ64" s="253"/>
      <c r="CR64" s="253"/>
      <c r="CS64" s="253"/>
      <c r="CT64" s="253"/>
      <c r="CU64" s="253"/>
      <c r="CV64" s="253"/>
      <c r="CW64" s="253"/>
      <c r="CX64" s="253"/>
      <c r="CY64" s="253"/>
      <c r="CZ64" s="253"/>
      <c r="DA64" s="253"/>
      <c r="DB64" s="253"/>
      <c r="DC64" s="253"/>
      <c r="DD64" s="253"/>
      <c r="DE64" s="253"/>
      <c r="DF64" s="253"/>
      <c r="DG64" s="253"/>
      <c r="DH64" s="253"/>
      <c r="DI64" s="253"/>
      <c r="DJ64" s="253"/>
      <c r="DK64" s="253"/>
      <c r="DL64" s="253"/>
      <c r="DM64" s="253"/>
      <c r="DN64" s="253"/>
      <c r="DO64" s="253"/>
      <c r="DP64" s="253"/>
      <c r="DQ64" s="253"/>
      <c r="DR64" s="253"/>
      <c r="DS64" s="253"/>
      <c r="DT64" s="253"/>
      <c r="DU64" s="253"/>
      <c r="DV64" s="253"/>
      <c r="DW64" s="253"/>
      <c r="DX64" s="253"/>
      <c r="DY64" s="253"/>
      <c r="DZ64" s="253"/>
      <c r="EA64" s="253"/>
      <c r="EB64" s="253"/>
      <c r="EC64" s="253"/>
      <c r="ED64" s="253"/>
      <c r="EE64" s="253"/>
      <c r="EF64" s="253"/>
      <c r="EG64" s="253"/>
      <c r="EH64" s="253"/>
      <c r="EI64" s="253"/>
      <c r="EJ64" s="253"/>
      <c r="EK64" s="253"/>
      <c r="EL64" s="253"/>
      <c r="EM64" s="253"/>
      <c r="EN64" s="253"/>
      <c r="EO64" s="253"/>
      <c r="EP64" s="253"/>
      <c r="EQ64" s="253"/>
      <c r="ER64" s="253"/>
      <c r="ES64" s="253"/>
      <c r="ET64" s="253"/>
      <c r="EU64" s="253"/>
      <c r="EV64" s="253"/>
      <c r="EW64" s="253"/>
      <c r="EX64" s="253"/>
      <c r="EY64" s="253"/>
      <c r="EZ64" s="253"/>
      <c r="FA64" s="253"/>
      <c r="FB64" s="253"/>
      <c r="FC64" s="253"/>
      <c r="FD64" s="253"/>
      <c r="FE64" s="253"/>
      <c r="FF64" s="253"/>
      <c r="FG64" s="256"/>
      <c r="FH64" s="257" t="s">
        <v>892</v>
      </c>
      <c r="FI64" s="258" t="s">
        <v>389</v>
      </c>
      <c r="FJ64" s="258"/>
      <c r="FK64" s="258" t="s">
        <v>423</v>
      </c>
      <c r="FL64" s="259">
        <f t="shared" si="0"/>
        <v>0</v>
      </c>
      <c r="FM64" s="260" t="s">
        <v>835</v>
      </c>
      <c r="FN64" s="260"/>
    </row>
    <row r="65" spans="1:170">
      <c r="A65" s="251" t="s">
        <v>393</v>
      </c>
      <c r="B65" s="251" t="s">
        <v>385</v>
      </c>
      <c r="C65" s="251" t="s">
        <v>411</v>
      </c>
      <c r="D65" s="251" t="s">
        <v>291</v>
      </c>
      <c r="E65" s="252" t="s">
        <v>911</v>
      </c>
      <c r="F65" s="251" t="s">
        <v>388</v>
      </c>
      <c r="G65" s="251"/>
      <c r="H65" s="253"/>
      <c r="I65" s="253"/>
      <c r="J65" s="253"/>
      <c r="K65" s="253"/>
      <c r="L65" s="253"/>
      <c r="M65" s="253"/>
      <c r="N65" s="253"/>
      <c r="O65" s="253"/>
      <c r="P65" s="253"/>
      <c r="Q65" s="253"/>
      <c r="R65" s="253"/>
      <c r="S65" s="253"/>
      <c r="T65" s="253"/>
      <c r="U65" s="253"/>
      <c r="V65" s="253"/>
      <c r="W65" s="253"/>
      <c r="X65" s="253"/>
      <c r="Y65" s="253"/>
      <c r="Z65" s="253"/>
      <c r="AA65" s="253"/>
      <c r="AB65" s="253"/>
      <c r="AC65" s="253"/>
      <c r="AD65" s="253"/>
      <c r="AE65" s="253"/>
      <c r="AF65" s="253"/>
      <c r="AG65" s="253"/>
      <c r="AH65" s="253"/>
      <c r="AI65" s="253"/>
      <c r="AJ65" s="253"/>
      <c r="AK65" s="253"/>
      <c r="AL65" s="253"/>
      <c r="AM65" s="253"/>
      <c r="AN65" s="253"/>
      <c r="AO65" s="253"/>
      <c r="AP65" s="253"/>
      <c r="AQ65" s="253"/>
      <c r="AR65" s="253"/>
      <c r="AS65" s="253"/>
      <c r="AT65" s="253"/>
      <c r="AU65" s="253"/>
      <c r="AV65" s="253"/>
      <c r="AW65" s="253"/>
      <c r="AX65" s="253"/>
      <c r="AY65" s="253"/>
      <c r="AZ65" s="253"/>
      <c r="BA65" s="253"/>
      <c r="BB65" s="253"/>
      <c r="BC65" s="253"/>
      <c r="BD65" s="253"/>
      <c r="BE65" s="253"/>
      <c r="BF65" s="253"/>
      <c r="BG65" s="255">
        <f>200-200</f>
        <v>0</v>
      </c>
      <c r="BH65" s="253"/>
      <c r="BI65" s="253"/>
      <c r="BJ65" s="253"/>
      <c r="BK65" s="253"/>
      <c r="BL65" s="253"/>
      <c r="BM65" s="253"/>
      <c r="BN65" s="253"/>
      <c r="BO65" s="253"/>
      <c r="BP65" s="253"/>
      <c r="BQ65" s="253"/>
      <c r="BR65" s="253"/>
      <c r="BS65" s="253"/>
      <c r="BT65" s="253"/>
      <c r="BU65" s="253"/>
      <c r="BV65" s="253"/>
      <c r="BW65" s="253"/>
      <c r="BX65" s="253"/>
      <c r="BY65" s="253"/>
      <c r="BZ65" s="253"/>
      <c r="CA65" s="253"/>
      <c r="CB65" s="253"/>
      <c r="CC65" s="253"/>
      <c r="CD65" s="253"/>
      <c r="CE65" s="253"/>
      <c r="CF65" s="253"/>
      <c r="CG65" s="253"/>
      <c r="CH65" s="253"/>
      <c r="CI65" s="253"/>
      <c r="CJ65" s="253"/>
      <c r="CK65" s="253"/>
      <c r="CL65" s="253"/>
      <c r="CM65" s="253"/>
      <c r="CN65" s="253"/>
      <c r="CO65" s="253"/>
      <c r="CP65" s="253"/>
      <c r="CQ65" s="253"/>
      <c r="CR65" s="253"/>
      <c r="CS65" s="253"/>
      <c r="CT65" s="253"/>
      <c r="CU65" s="253"/>
      <c r="CV65" s="253"/>
      <c r="CW65" s="253"/>
      <c r="CX65" s="253"/>
      <c r="CY65" s="253"/>
      <c r="CZ65" s="253"/>
      <c r="DA65" s="253"/>
      <c r="DB65" s="253"/>
      <c r="DC65" s="253"/>
      <c r="DD65" s="253"/>
      <c r="DE65" s="253"/>
      <c r="DF65" s="253"/>
      <c r="DG65" s="253"/>
      <c r="DH65" s="253"/>
      <c r="DI65" s="253"/>
      <c r="DJ65" s="253"/>
      <c r="DK65" s="253"/>
      <c r="DL65" s="253"/>
      <c r="DM65" s="253"/>
      <c r="DN65" s="253"/>
      <c r="DO65" s="253"/>
      <c r="DP65" s="253"/>
      <c r="DQ65" s="253"/>
      <c r="DR65" s="253"/>
      <c r="DS65" s="253"/>
      <c r="DT65" s="253"/>
      <c r="DU65" s="253"/>
      <c r="DV65" s="253"/>
      <c r="DW65" s="253"/>
      <c r="DX65" s="253"/>
      <c r="DY65" s="253"/>
      <c r="DZ65" s="253"/>
      <c r="EA65" s="253"/>
      <c r="EB65" s="253"/>
      <c r="EC65" s="253"/>
      <c r="ED65" s="253"/>
      <c r="EE65" s="253"/>
      <c r="EF65" s="253"/>
      <c r="EG65" s="253"/>
      <c r="EH65" s="253"/>
      <c r="EI65" s="253"/>
      <c r="EJ65" s="253"/>
      <c r="EK65" s="253"/>
      <c r="EL65" s="253"/>
      <c r="EM65" s="253"/>
      <c r="EN65" s="253"/>
      <c r="EO65" s="253"/>
      <c r="EP65" s="253"/>
      <c r="EQ65" s="253"/>
      <c r="ER65" s="253"/>
      <c r="ES65" s="253"/>
      <c r="ET65" s="253"/>
      <c r="EU65" s="253"/>
      <c r="EV65" s="253"/>
      <c r="EW65" s="253"/>
      <c r="EX65" s="253"/>
      <c r="EY65" s="253"/>
      <c r="EZ65" s="253"/>
      <c r="FA65" s="253"/>
      <c r="FB65" s="253"/>
      <c r="FC65" s="253"/>
      <c r="FD65" s="253"/>
      <c r="FE65" s="253"/>
      <c r="FF65" s="253"/>
      <c r="FG65" s="256"/>
      <c r="FH65" s="257" t="s">
        <v>892</v>
      </c>
      <c r="FI65" s="258" t="s">
        <v>389</v>
      </c>
      <c r="FJ65" s="258"/>
      <c r="FK65" s="258" t="s">
        <v>429</v>
      </c>
      <c r="FL65" s="259">
        <f t="shared" si="0"/>
        <v>0</v>
      </c>
      <c r="FM65" s="260" t="s">
        <v>414</v>
      </c>
      <c r="FN65" s="260"/>
    </row>
    <row r="66" spans="1:170">
      <c r="A66" s="251" t="s">
        <v>393</v>
      </c>
      <c r="B66" s="251" t="s">
        <v>385</v>
      </c>
      <c r="C66" s="251" t="s">
        <v>411</v>
      </c>
      <c r="D66" s="251" t="s">
        <v>291</v>
      </c>
      <c r="E66" s="252" t="s">
        <v>428</v>
      </c>
      <c r="F66" s="251" t="s">
        <v>388</v>
      </c>
      <c r="G66" s="251"/>
      <c r="H66" s="253"/>
      <c r="I66" s="255">
        <f>100-100</f>
        <v>0</v>
      </c>
      <c r="J66" s="253"/>
      <c r="K66" s="255">
        <f>100-100</f>
        <v>0</v>
      </c>
      <c r="L66" s="253"/>
      <c r="M66" s="253"/>
      <c r="N66" s="255">
        <f>200-200</f>
        <v>0</v>
      </c>
      <c r="O66" s="253"/>
      <c r="P66" s="253"/>
      <c r="Q66" s="253"/>
      <c r="R66" s="255">
        <f>50-50</f>
        <v>0</v>
      </c>
      <c r="S66" s="253"/>
      <c r="T66" s="253"/>
      <c r="U66" s="255">
        <f>50-50</f>
        <v>0</v>
      </c>
      <c r="V66" s="253"/>
      <c r="W66" s="253"/>
      <c r="X66" s="253"/>
      <c r="Y66" s="253"/>
      <c r="Z66" s="253"/>
      <c r="AA66" s="253"/>
      <c r="AB66" s="253"/>
      <c r="AC66" s="253"/>
      <c r="AD66" s="253"/>
      <c r="AE66" s="253"/>
      <c r="AF66" s="253"/>
      <c r="AG66" s="253"/>
      <c r="AH66" s="253"/>
      <c r="AI66" s="255">
        <f>100-100</f>
        <v>0</v>
      </c>
      <c r="AJ66" s="255">
        <f>100-100</f>
        <v>0</v>
      </c>
      <c r="AK66" s="253"/>
      <c r="AL66" s="253"/>
      <c r="AM66" s="253"/>
      <c r="AN66" s="253"/>
      <c r="AO66" s="253"/>
      <c r="AP66" s="253"/>
      <c r="AQ66" s="255">
        <f>100-100</f>
        <v>0</v>
      </c>
      <c r="AR66" s="253"/>
      <c r="AS66" s="255">
        <f>100-100</f>
        <v>0</v>
      </c>
      <c r="AT66" s="255">
        <f>100-100</f>
        <v>0</v>
      </c>
      <c r="AU66" s="253"/>
      <c r="AV66" s="253"/>
      <c r="AW66" s="253"/>
      <c r="AX66" s="253"/>
      <c r="AY66" s="253"/>
      <c r="AZ66" s="253"/>
      <c r="BA66" s="253"/>
      <c r="BB66" s="253"/>
      <c r="BC66" s="253"/>
      <c r="BD66" s="253"/>
      <c r="BE66" s="253"/>
      <c r="BF66" s="253"/>
      <c r="BG66" s="255">
        <f>50-50</f>
        <v>0</v>
      </c>
      <c r="BH66" s="253"/>
      <c r="BI66" s="253"/>
      <c r="BJ66" s="253"/>
      <c r="BK66" s="253"/>
      <c r="BL66" s="253"/>
      <c r="BM66" s="253"/>
      <c r="BN66" s="253"/>
      <c r="BO66" s="253"/>
      <c r="BP66" s="253"/>
      <c r="BQ66" s="253"/>
      <c r="BR66" s="253"/>
      <c r="BS66" s="253"/>
      <c r="BT66" s="253"/>
      <c r="BU66" s="253"/>
      <c r="BV66" s="253"/>
      <c r="BW66" s="253"/>
      <c r="BX66" s="253"/>
      <c r="BY66" s="253"/>
      <c r="BZ66" s="253"/>
      <c r="CA66" s="253"/>
      <c r="CB66" s="253"/>
      <c r="CC66" s="253"/>
      <c r="CD66" s="253"/>
      <c r="CE66" s="253"/>
      <c r="CF66" s="253"/>
      <c r="CG66" s="253"/>
      <c r="CH66" s="253"/>
      <c r="CI66" s="253"/>
      <c r="CJ66" s="253"/>
      <c r="CK66" s="253"/>
      <c r="CL66" s="253"/>
      <c r="CM66" s="253"/>
      <c r="CN66" s="253"/>
      <c r="CO66" s="253"/>
      <c r="CP66" s="253"/>
      <c r="CQ66" s="253"/>
      <c r="CR66" s="253"/>
      <c r="CS66" s="253"/>
      <c r="CT66" s="253"/>
      <c r="CU66" s="253"/>
      <c r="CV66" s="253"/>
      <c r="CW66" s="253"/>
      <c r="CX66" s="253"/>
      <c r="CY66" s="253"/>
      <c r="CZ66" s="253"/>
      <c r="DA66" s="253"/>
      <c r="DB66" s="253"/>
      <c r="DC66" s="253"/>
      <c r="DD66" s="253"/>
      <c r="DE66" s="253"/>
      <c r="DF66" s="253"/>
      <c r="DG66" s="253"/>
      <c r="DH66" s="253"/>
      <c r="DI66" s="253"/>
      <c r="DJ66" s="253"/>
      <c r="DK66" s="253"/>
      <c r="DL66" s="253"/>
      <c r="DM66" s="253"/>
      <c r="DN66" s="253"/>
      <c r="DO66" s="255">
        <f>60-60</f>
        <v>0</v>
      </c>
      <c r="DP66" s="255">
        <f>60-60</f>
        <v>0</v>
      </c>
      <c r="DQ66" s="253"/>
      <c r="DR66" s="253"/>
      <c r="DS66" s="255">
        <f>60-60</f>
        <v>0</v>
      </c>
      <c r="DT66" s="255">
        <f>30-30</f>
        <v>0</v>
      </c>
      <c r="DU66" s="255">
        <f>30-30</f>
        <v>0</v>
      </c>
      <c r="DV66" s="253"/>
      <c r="DW66" s="253"/>
      <c r="DX66" s="253"/>
      <c r="DY66" s="253"/>
      <c r="DZ66" s="253"/>
      <c r="EA66" s="253"/>
      <c r="EB66" s="253"/>
      <c r="EC66" s="253"/>
      <c r="ED66" s="253"/>
      <c r="EE66" s="253"/>
      <c r="EF66" s="253"/>
      <c r="EG66" s="253"/>
      <c r="EH66" s="253"/>
      <c r="EI66" s="253"/>
      <c r="EJ66" s="253"/>
      <c r="EK66" s="253"/>
      <c r="EL66" s="253"/>
      <c r="EM66" s="253"/>
      <c r="EN66" s="253"/>
      <c r="EO66" s="253"/>
      <c r="EP66" s="253"/>
      <c r="EQ66" s="253"/>
      <c r="ER66" s="253"/>
      <c r="ES66" s="253"/>
      <c r="ET66" s="253"/>
      <c r="EU66" s="253"/>
      <c r="EV66" s="253"/>
      <c r="EW66" s="253"/>
      <c r="EX66" s="253"/>
      <c r="EY66" s="253"/>
      <c r="EZ66" s="253"/>
      <c r="FA66" s="253"/>
      <c r="FB66" s="253"/>
      <c r="FC66" s="253"/>
      <c r="FD66" s="253"/>
      <c r="FE66" s="253"/>
      <c r="FF66" s="253"/>
      <c r="FG66" s="256"/>
      <c r="FH66" s="257" t="s">
        <v>892</v>
      </c>
      <c r="FI66" s="258" t="s">
        <v>389</v>
      </c>
      <c r="FJ66" s="258"/>
      <c r="FK66" s="258" t="s">
        <v>429</v>
      </c>
      <c r="FL66" s="259">
        <f t="shared" si="0"/>
        <v>0</v>
      </c>
      <c r="FM66" s="260" t="s">
        <v>414</v>
      </c>
      <c r="FN66" s="260"/>
    </row>
    <row r="67" spans="1:170">
      <c r="A67" s="251" t="s">
        <v>393</v>
      </c>
      <c r="B67" s="251" t="s">
        <v>385</v>
      </c>
      <c r="C67" s="251" t="s">
        <v>411</v>
      </c>
      <c r="D67" s="251" t="s">
        <v>1</v>
      </c>
      <c r="E67" s="252" t="s">
        <v>428</v>
      </c>
      <c r="F67" s="251" t="s">
        <v>388</v>
      </c>
      <c r="G67" s="251"/>
      <c r="H67" s="253"/>
      <c r="I67" s="253"/>
      <c r="J67" s="253"/>
      <c r="K67" s="253"/>
      <c r="L67" s="255">
        <f>100-100</f>
        <v>0</v>
      </c>
      <c r="M67" s="255">
        <f>200-200</f>
        <v>0</v>
      </c>
      <c r="N67" s="253"/>
      <c r="O67" s="253"/>
      <c r="P67" s="255">
        <f>200-200</f>
        <v>0</v>
      </c>
      <c r="Q67" s="255">
        <f>200-200</f>
        <v>0</v>
      </c>
      <c r="R67" s="253"/>
      <c r="S67" s="253"/>
      <c r="T67" s="255">
        <f>50-50</f>
        <v>0</v>
      </c>
      <c r="U67" s="253"/>
      <c r="V67" s="255">
        <f>50-50</f>
        <v>0</v>
      </c>
      <c r="W67" s="255">
        <f>50-50</f>
        <v>0</v>
      </c>
      <c r="X67" s="253"/>
      <c r="Y67" s="253"/>
      <c r="Z67" s="255">
        <f>50-50</f>
        <v>0</v>
      </c>
      <c r="AA67" s="253"/>
      <c r="AB67" s="255">
        <f t="shared" ref="AB67:AG67" si="6">50-50</f>
        <v>0</v>
      </c>
      <c r="AC67" s="255">
        <f t="shared" si="6"/>
        <v>0</v>
      </c>
      <c r="AD67" s="255">
        <f t="shared" si="6"/>
        <v>0</v>
      </c>
      <c r="AE67" s="254">
        <f>50-50+10</f>
        <v>10</v>
      </c>
      <c r="AF67" s="254">
        <f>50-50+10</f>
        <v>10</v>
      </c>
      <c r="AG67" s="255">
        <f t="shared" si="6"/>
        <v>0</v>
      </c>
      <c r="AH67" s="255">
        <f>100-100</f>
        <v>0</v>
      </c>
      <c r="AI67" s="253"/>
      <c r="AJ67" s="253"/>
      <c r="AK67" s="255">
        <f>50-50</f>
        <v>0</v>
      </c>
      <c r="AL67" s="255">
        <f>50-50</f>
        <v>0</v>
      </c>
      <c r="AM67" s="253"/>
      <c r="AN67" s="253"/>
      <c r="AO67" s="255">
        <f>50-50</f>
        <v>0</v>
      </c>
      <c r="AP67" s="253"/>
      <c r="AQ67" s="253"/>
      <c r="AR67" s="253"/>
      <c r="AS67" s="253"/>
      <c r="AT67" s="253"/>
      <c r="AU67" s="253"/>
      <c r="AV67" s="253"/>
      <c r="AW67" s="255">
        <f>100-100</f>
        <v>0</v>
      </c>
      <c r="AX67" s="253"/>
      <c r="AY67" s="253"/>
      <c r="AZ67" s="253"/>
      <c r="BA67" s="253"/>
      <c r="BB67" s="253"/>
      <c r="BC67" s="255">
        <f>50-50</f>
        <v>0</v>
      </c>
      <c r="BD67" s="253"/>
      <c r="BE67" s="253"/>
      <c r="BF67" s="253"/>
      <c r="BG67" s="253"/>
      <c r="BH67" s="255">
        <f>50-50</f>
        <v>0</v>
      </c>
      <c r="BI67" s="255">
        <f>50-50</f>
        <v>0</v>
      </c>
      <c r="BJ67" s="253"/>
      <c r="BK67" s="253"/>
      <c r="BL67" s="253"/>
      <c r="BM67" s="253"/>
      <c r="BN67" s="253"/>
      <c r="BO67" s="253"/>
      <c r="BP67" s="253"/>
      <c r="BQ67" s="253"/>
      <c r="BR67" s="253"/>
      <c r="BS67" s="253"/>
      <c r="BT67" s="253"/>
      <c r="BU67" s="253"/>
      <c r="BV67" s="253"/>
      <c r="BW67" s="253"/>
      <c r="BX67" s="253"/>
      <c r="BY67" s="253"/>
      <c r="BZ67" s="253"/>
      <c r="CA67" s="253"/>
      <c r="CB67" s="253"/>
      <c r="CC67" s="253"/>
      <c r="CD67" s="253"/>
      <c r="CE67" s="253"/>
      <c r="CF67" s="253"/>
      <c r="CG67" s="253"/>
      <c r="CH67" s="253"/>
      <c r="CI67" s="253"/>
      <c r="CJ67" s="253"/>
      <c r="CK67" s="253"/>
      <c r="CL67" s="253"/>
      <c r="CM67" s="253"/>
      <c r="CN67" s="253"/>
      <c r="CO67" s="253"/>
      <c r="CP67" s="253"/>
      <c r="CQ67" s="253"/>
      <c r="CR67" s="253"/>
      <c r="CS67" s="253"/>
      <c r="CT67" s="253"/>
      <c r="CU67" s="253"/>
      <c r="CV67" s="253"/>
      <c r="CW67" s="253"/>
      <c r="CX67" s="253"/>
      <c r="CY67" s="253"/>
      <c r="CZ67" s="253"/>
      <c r="DA67" s="253"/>
      <c r="DB67" s="253"/>
      <c r="DC67" s="253"/>
      <c r="DD67" s="253"/>
      <c r="DE67" s="253"/>
      <c r="DF67" s="253"/>
      <c r="DG67" s="253"/>
      <c r="DH67" s="253"/>
      <c r="DI67" s="253"/>
      <c r="DJ67" s="253"/>
      <c r="DK67" s="253"/>
      <c r="DL67" s="253"/>
      <c r="DM67" s="253"/>
      <c r="DN67" s="253"/>
      <c r="DO67" s="253"/>
      <c r="DP67" s="253"/>
      <c r="DQ67" s="254">
        <f>60-60+60</f>
        <v>60</v>
      </c>
      <c r="DR67" s="255">
        <f>60-60</f>
        <v>0</v>
      </c>
      <c r="DS67" s="253"/>
      <c r="DT67" s="253"/>
      <c r="DU67" s="253"/>
      <c r="DV67" s="253"/>
      <c r="DW67" s="253"/>
      <c r="DX67" s="253"/>
      <c r="DY67" s="253"/>
      <c r="DZ67" s="253"/>
      <c r="EA67" s="253"/>
      <c r="EB67" s="253"/>
      <c r="EC67" s="253"/>
      <c r="ED67" s="253"/>
      <c r="EE67" s="253"/>
      <c r="EF67" s="253"/>
      <c r="EG67" s="253"/>
      <c r="EH67" s="253"/>
      <c r="EI67" s="253"/>
      <c r="EJ67" s="253"/>
      <c r="EK67" s="253"/>
      <c r="EL67" s="253"/>
      <c r="EM67" s="253"/>
      <c r="EN67" s="253"/>
      <c r="EO67" s="253"/>
      <c r="EP67" s="253"/>
      <c r="EQ67" s="253"/>
      <c r="ER67" s="253"/>
      <c r="ES67" s="253"/>
      <c r="ET67" s="253"/>
      <c r="EU67" s="253"/>
      <c r="EV67" s="253"/>
      <c r="EW67" s="253"/>
      <c r="EX67" s="253"/>
      <c r="EY67" s="253"/>
      <c r="EZ67" s="253"/>
      <c r="FA67" s="253"/>
      <c r="FB67" s="253"/>
      <c r="FC67" s="253"/>
      <c r="FD67" s="253"/>
      <c r="FE67" s="253"/>
      <c r="FF67" s="253"/>
      <c r="FG67" s="256"/>
      <c r="FH67" s="257" t="s">
        <v>892</v>
      </c>
      <c r="FI67" s="258" t="s">
        <v>389</v>
      </c>
      <c r="FJ67" s="258"/>
      <c r="FK67" s="258" t="s">
        <v>429</v>
      </c>
      <c r="FL67" s="259">
        <f t="shared" si="0"/>
        <v>80</v>
      </c>
      <c r="FM67" s="260" t="s">
        <v>414</v>
      </c>
      <c r="FN67" s="260"/>
    </row>
    <row r="68" spans="1:170">
      <c r="A68" s="251" t="s">
        <v>393</v>
      </c>
      <c r="B68" s="251" t="s">
        <v>385</v>
      </c>
      <c r="C68" s="251" t="s">
        <v>411</v>
      </c>
      <c r="D68" s="251" t="s">
        <v>293</v>
      </c>
      <c r="E68" s="252" t="s">
        <v>428</v>
      </c>
      <c r="F68" s="251" t="s">
        <v>388</v>
      </c>
      <c r="G68" s="251"/>
      <c r="H68" s="253"/>
      <c r="I68" s="253"/>
      <c r="J68" s="255">
        <f>100-100</f>
        <v>0</v>
      </c>
      <c r="K68" s="253"/>
      <c r="L68" s="253"/>
      <c r="M68" s="253"/>
      <c r="N68" s="253"/>
      <c r="O68" s="253"/>
      <c r="P68" s="253"/>
      <c r="Q68" s="253"/>
      <c r="R68" s="253"/>
      <c r="S68" s="253"/>
      <c r="T68" s="253"/>
      <c r="U68" s="253"/>
      <c r="V68" s="253"/>
      <c r="W68" s="253"/>
      <c r="X68" s="253"/>
      <c r="Y68" s="253"/>
      <c r="Z68" s="253"/>
      <c r="AA68" s="253"/>
      <c r="AB68" s="253"/>
      <c r="AC68" s="253"/>
      <c r="AD68" s="253"/>
      <c r="AE68" s="253"/>
      <c r="AF68" s="253"/>
      <c r="AG68" s="253"/>
      <c r="AH68" s="253"/>
      <c r="AI68" s="253"/>
      <c r="AJ68" s="253"/>
      <c r="AK68" s="253"/>
      <c r="AL68" s="253"/>
      <c r="AM68" s="253"/>
      <c r="AN68" s="253"/>
      <c r="AO68" s="253"/>
      <c r="AP68" s="253"/>
      <c r="AQ68" s="253"/>
      <c r="AR68" s="253"/>
      <c r="AS68" s="253"/>
      <c r="AT68" s="253"/>
      <c r="AU68" s="253"/>
      <c r="AV68" s="253"/>
      <c r="AW68" s="253"/>
      <c r="AX68" s="253"/>
      <c r="AY68" s="253"/>
      <c r="AZ68" s="253"/>
      <c r="BA68" s="253"/>
      <c r="BB68" s="253"/>
      <c r="BC68" s="253"/>
      <c r="BD68" s="253"/>
      <c r="BE68" s="253"/>
      <c r="BF68" s="253"/>
      <c r="BG68" s="253"/>
      <c r="BH68" s="253"/>
      <c r="BI68" s="253"/>
      <c r="BJ68" s="253"/>
      <c r="BK68" s="253"/>
      <c r="BL68" s="253"/>
      <c r="BM68" s="253"/>
      <c r="BN68" s="253"/>
      <c r="BO68" s="253"/>
      <c r="BP68" s="253"/>
      <c r="BQ68" s="253"/>
      <c r="BR68" s="253"/>
      <c r="BS68" s="253"/>
      <c r="BT68" s="253"/>
      <c r="BU68" s="253"/>
      <c r="BV68" s="253"/>
      <c r="BW68" s="253"/>
      <c r="BX68" s="253"/>
      <c r="BY68" s="253"/>
      <c r="BZ68" s="253"/>
      <c r="CA68" s="253"/>
      <c r="CB68" s="253"/>
      <c r="CC68" s="253"/>
      <c r="CD68" s="253"/>
      <c r="CE68" s="253"/>
      <c r="CF68" s="253"/>
      <c r="CG68" s="253"/>
      <c r="CH68" s="253"/>
      <c r="CI68" s="253"/>
      <c r="CJ68" s="253"/>
      <c r="CK68" s="253"/>
      <c r="CL68" s="253"/>
      <c r="CM68" s="253"/>
      <c r="CN68" s="253"/>
      <c r="CO68" s="253"/>
      <c r="CP68" s="253"/>
      <c r="CQ68" s="253"/>
      <c r="CR68" s="253"/>
      <c r="CS68" s="253"/>
      <c r="CT68" s="253"/>
      <c r="CU68" s="253"/>
      <c r="CV68" s="253"/>
      <c r="CW68" s="253"/>
      <c r="CX68" s="253"/>
      <c r="CY68" s="253"/>
      <c r="CZ68" s="253"/>
      <c r="DA68" s="253"/>
      <c r="DB68" s="253"/>
      <c r="DC68" s="253"/>
      <c r="DD68" s="253"/>
      <c r="DE68" s="253"/>
      <c r="DF68" s="253"/>
      <c r="DG68" s="253"/>
      <c r="DH68" s="253"/>
      <c r="DI68" s="253"/>
      <c r="DJ68" s="253"/>
      <c r="DK68" s="253"/>
      <c r="DL68" s="253"/>
      <c r="DM68" s="253"/>
      <c r="DN68" s="253"/>
      <c r="DO68" s="253"/>
      <c r="DP68" s="253"/>
      <c r="DQ68" s="253"/>
      <c r="DR68" s="253"/>
      <c r="DS68" s="253"/>
      <c r="DT68" s="253"/>
      <c r="DU68" s="253"/>
      <c r="DV68" s="253"/>
      <c r="DW68" s="253"/>
      <c r="DX68" s="253"/>
      <c r="DY68" s="253"/>
      <c r="DZ68" s="253"/>
      <c r="EA68" s="253"/>
      <c r="EB68" s="253"/>
      <c r="EC68" s="253"/>
      <c r="ED68" s="253"/>
      <c r="EE68" s="253"/>
      <c r="EF68" s="253"/>
      <c r="EG68" s="253"/>
      <c r="EH68" s="253"/>
      <c r="EI68" s="253"/>
      <c r="EJ68" s="253"/>
      <c r="EK68" s="253"/>
      <c r="EL68" s="253"/>
      <c r="EM68" s="253"/>
      <c r="EN68" s="253"/>
      <c r="EO68" s="253"/>
      <c r="EP68" s="253"/>
      <c r="EQ68" s="253"/>
      <c r="ER68" s="253"/>
      <c r="ES68" s="253"/>
      <c r="ET68" s="253"/>
      <c r="EU68" s="253"/>
      <c r="EV68" s="253"/>
      <c r="EW68" s="253"/>
      <c r="EX68" s="253"/>
      <c r="EY68" s="253"/>
      <c r="EZ68" s="253"/>
      <c r="FA68" s="253"/>
      <c r="FB68" s="253"/>
      <c r="FC68" s="253"/>
      <c r="FD68" s="253"/>
      <c r="FE68" s="253"/>
      <c r="FF68" s="253"/>
      <c r="FG68" s="256"/>
      <c r="FH68" s="257" t="s">
        <v>892</v>
      </c>
      <c r="FI68" s="258" t="s">
        <v>389</v>
      </c>
      <c r="FJ68" s="258"/>
      <c r="FK68" s="258" t="s">
        <v>429</v>
      </c>
      <c r="FL68" s="259">
        <f t="shared" si="0"/>
        <v>0</v>
      </c>
      <c r="FM68" s="260" t="s">
        <v>414</v>
      </c>
      <c r="FN68" s="260"/>
    </row>
    <row r="69" spans="1:170">
      <c r="A69" s="251" t="s">
        <v>393</v>
      </c>
      <c r="B69" s="251" t="s">
        <v>385</v>
      </c>
      <c r="C69" s="251" t="s">
        <v>411</v>
      </c>
      <c r="D69" s="251" t="s">
        <v>291</v>
      </c>
      <c r="E69" s="252" t="s">
        <v>430</v>
      </c>
      <c r="F69" s="251" t="s">
        <v>388</v>
      </c>
      <c r="G69" s="251" t="s">
        <v>912</v>
      </c>
      <c r="H69" s="253"/>
      <c r="I69" s="255">
        <f>40-40</f>
        <v>0</v>
      </c>
      <c r="J69" s="253"/>
      <c r="K69" s="255">
        <f>30-30</f>
        <v>0</v>
      </c>
      <c r="L69" s="253"/>
      <c r="M69" s="253"/>
      <c r="N69" s="253"/>
      <c r="O69" s="253"/>
      <c r="P69" s="253"/>
      <c r="Q69" s="253"/>
      <c r="R69" s="253"/>
      <c r="S69" s="253"/>
      <c r="T69" s="253"/>
      <c r="U69" s="253"/>
      <c r="V69" s="253"/>
      <c r="W69" s="253"/>
      <c r="X69" s="253"/>
      <c r="Y69" s="253"/>
      <c r="Z69" s="253"/>
      <c r="AA69" s="253"/>
      <c r="AB69" s="253"/>
      <c r="AC69" s="253"/>
      <c r="AD69" s="253"/>
      <c r="AE69" s="253"/>
      <c r="AF69" s="253"/>
      <c r="AG69" s="254">
        <f>0+10</f>
        <v>10</v>
      </c>
      <c r="AH69" s="253"/>
      <c r="AI69" s="255">
        <f>20-20</f>
        <v>0</v>
      </c>
      <c r="AJ69" s="255">
        <f>40-40</f>
        <v>0</v>
      </c>
      <c r="AK69" s="253"/>
      <c r="AL69" s="253"/>
      <c r="AM69" s="253"/>
      <c r="AN69" s="253"/>
      <c r="AO69" s="253"/>
      <c r="AP69" s="253"/>
      <c r="AQ69" s="255">
        <f>101-101</f>
        <v>0</v>
      </c>
      <c r="AR69" s="253"/>
      <c r="AS69" s="253"/>
      <c r="AT69" s="255">
        <f>40-40</f>
        <v>0</v>
      </c>
      <c r="AU69" s="253"/>
      <c r="AV69" s="253"/>
      <c r="AW69" s="253"/>
      <c r="AX69" s="253"/>
      <c r="AY69" s="253"/>
      <c r="AZ69" s="253"/>
      <c r="BA69" s="253"/>
      <c r="BB69" s="253"/>
      <c r="BC69" s="253"/>
      <c r="BD69" s="253"/>
      <c r="BE69" s="253"/>
      <c r="BF69" s="253"/>
      <c r="BG69" s="255">
        <f>90-90</f>
        <v>0</v>
      </c>
      <c r="BH69" s="253"/>
      <c r="BI69" s="253"/>
      <c r="BJ69" s="253"/>
      <c r="BK69" s="253"/>
      <c r="BL69" s="253"/>
      <c r="BM69" s="253"/>
      <c r="BN69" s="253"/>
      <c r="BO69" s="253"/>
      <c r="BP69" s="253"/>
      <c r="BQ69" s="253"/>
      <c r="BR69" s="253"/>
      <c r="BS69" s="253"/>
      <c r="BT69" s="253"/>
      <c r="BU69" s="253"/>
      <c r="BV69" s="253"/>
      <c r="BW69" s="253"/>
      <c r="BX69" s="253"/>
      <c r="BY69" s="253"/>
      <c r="BZ69" s="253"/>
      <c r="CA69" s="253"/>
      <c r="CB69" s="253"/>
      <c r="CC69" s="253"/>
      <c r="CD69" s="253"/>
      <c r="CE69" s="253"/>
      <c r="CF69" s="253"/>
      <c r="CG69" s="253"/>
      <c r="CH69" s="253"/>
      <c r="CI69" s="253"/>
      <c r="CJ69" s="253"/>
      <c r="CK69" s="253"/>
      <c r="CL69" s="253"/>
      <c r="CM69" s="253"/>
      <c r="CN69" s="253"/>
      <c r="CO69" s="253"/>
      <c r="CP69" s="253"/>
      <c r="CQ69" s="253"/>
      <c r="CR69" s="253"/>
      <c r="CS69" s="253"/>
      <c r="CT69" s="253"/>
      <c r="CU69" s="253"/>
      <c r="CV69" s="253"/>
      <c r="CW69" s="253"/>
      <c r="CX69" s="253"/>
      <c r="CY69" s="253"/>
      <c r="CZ69" s="253"/>
      <c r="DA69" s="253"/>
      <c r="DB69" s="253"/>
      <c r="DC69" s="253"/>
      <c r="DD69" s="253"/>
      <c r="DE69" s="253"/>
      <c r="DF69" s="253"/>
      <c r="DG69" s="253"/>
      <c r="DH69" s="253"/>
      <c r="DI69" s="253"/>
      <c r="DJ69" s="253"/>
      <c r="DK69" s="253"/>
      <c r="DL69" s="253"/>
      <c r="DM69" s="253"/>
      <c r="DN69" s="253"/>
      <c r="DO69" s="253"/>
      <c r="DP69" s="253"/>
      <c r="DQ69" s="253"/>
      <c r="DR69" s="253"/>
      <c r="DS69" s="253"/>
      <c r="DT69" s="253"/>
      <c r="DU69" s="253"/>
      <c r="DV69" s="253"/>
      <c r="DW69" s="253"/>
      <c r="DX69" s="253"/>
      <c r="DY69" s="253"/>
      <c r="DZ69" s="253"/>
      <c r="EA69" s="253"/>
      <c r="EB69" s="253"/>
      <c r="EC69" s="253"/>
      <c r="ED69" s="253"/>
      <c r="EE69" s="253"/>
      <c r="EF69" s="253"/>
      <c r="EG69" s="253"/>
      <c r="EH69" s="253"/>
      <c r="EI69" s="253"/>
      <c r="EJ69" s="253"/>
      <c r="EK69" s="253"/>
      <c r="EL69" s="253"/>
      <c r="EM69" s="253"/>
      <c r="EN69" s="253"/>
      <c r="EO69" s="253"/>
      <c r="EP69" s="253"/>
      <c r="EQ69" s="253"/>
      <c r="ER69" s="253"/>
      <c r="ES69" s="253"/>
      <c r="ET69" s="253"/>
      <c r="EU69" s="253"/>
      <c r="EV69" s="253"/>
      <c r="EW69" s="253"/>
      <c r="EX69" s="253"/>
      <c r="EY69" s="253"/>
      <c r="EZ69" s="253"/>
      <c r="FA69" s="253"/>
      <c r="FB69" s="253"/>
      <c r="FC69" s="253"/>
      <c r="FD69" s="253"/>
      <c r="FE69" s="253"/>
      <c r="FF69" s="253"/>
      <c r="FG69" s="256"/>
      <c r="FH69" s="257" t="s">
        <v>892</v>
      </c>
      <c r="FI69" s="258" t="s">
        <v>389</v>
      </c>
      <c r="FJ69" s="258" t="s">
        <v>431</v>
      </c>
      <c r="FK69" s="258" t="s">
        <v>432</v>
      </c>
      <c r="FL69" s="259">
        <f t="shared" si="0"/>
        <v>10</v>
      </c>
      <c r="FM69" s="260" t="s">
        <v>433</v>
      </c>
      <c r="FN69" s="260"/>
    </row>
    <row r="70" spans="1:170">
      <c r="A70" s="251" t="s">
        <v>393</v>
      </c>
      <c r="B70" s="251" t="s">
        <v>385</v>
      </c>
      <c r="C70" s="251" t="s">
        <v>411</v>
      </c>
      <c r="D70" s="251" t="s">
        <v>1</v>
      </c>
      <c r="E70" s="252" t="s">
        <v>430</v>
      </c>
      <c r="F70" s="251" t="s">
        <v>388</v>
      </c>
      <c r="G70" s="251" t="s">
        <v>912</v>
      </c>
      <c r="H70" s="253"/>
      <c r="I70" s="253"/>
      <c r="J70" s="253"/>
      <c r="K70" s="253"/>
      <c r="L70" s="253"/>
      <c r="M70" s="253"/>
      <c r="N70" s="253"/>
      <c r="O70" s="253"/>
      <c r="P70" s="253"/>
      <c r="Q70" s="253"/>
      <c r="R70" s="253"/>
      <c r="S70" s="253"/>
      <c r="T70" s="255">
        <f>40-40</f>
        <v>0</v>
      </c>
      <c r="U70" s="253"/>
      <c r="V70" s="255">
        <f>60-60</f>
        <v>0</v>
      </c>
      <c r="W70" s="253"/>
      <c r="X70" s="253"/>
      <c r="Y70" s="253"/>
      <c r="Z70" s="253"/>
      <c r="AA70" s="253"/>
      <c r="AB70" s="253"/>
      <c r="AC70" s="254">
        <f>10-10+1</f>
        <v>1</v>
      </c>
      <c r="AD70" s="253"/>
      <c r="AE70" s="254">
        <f>20-20+10</f>
        <v>10</v>
      </c>
      <c r="AF70" s="253"/>
      <c r="AG70" s="255">
        <f>10-10</f>
        <v>0</v>
      </c>
      <c r="AH70" s="253"/>
      <c r="AI70" s="253"/>
      <c r="AJ70" s="254">
        <f>0+10</f>
        <v>10</v>
      </c>
      <c r="AK70" s="253"/>
      <c r="AL70" s="253"/>
      <c r="AM70" s="253"/>
      <c r="AN70" s="253"/>
      <c r="AO70" s="253"/>
      <c r="AP70" s="253"/>
      <c r="AQ70" s="253"/>
      <c r="AR70" s="253"/>
      <c r="AS70" s="253"/>
      <c r="AT70" s="253"/>
      <c r="AU70" s="253"/>
      <c r="AV70" s="253"/>
      <c r="AW70" s="255">
        <f>140-140</f>
        <v>0</v>
      </c>
      <c r="AX70" s="253"/>
      <c r="AY70" s="253"/>
      <c r="AZ70" s="253"/>
      <c r="BA70" s="253"/>
      <c r="BB70" s="253"/>
      <c r="BC70" s="253"/>
      <c r="BD70" s="253"/>
      <c r="BE70" s="253"/>
      <c r="BF70" s="253"/>
      <c r="BG70" s="253"/>
      <c r="BH70" s="253"/>
      <c r="BI70" s="255">
        <f>30-30</f>
        <v>0</v>
      </c>
      <c r="BJ70" s="253"/>
      <c r="BK70" s="253"/>
      <c r="BL70" s="253"/>
      <c r="BM70" s="253"/>
      <c r="BN70" s="253"/>
      <c r="BO70" s="253"/>
      <c r="BP70" s="253"/>
      <c r="BQ70" s="253"/>
      <c r="BR70" s="253"/>
      <c r="BS70" s="253"/>
      <c r="BT70" s="253"/>
      <c r="BU70" s="253"/>
      <c r="BV70" s="253"/>
      <c r="BW70" s="253"/>
      <c r="BX70" s="253"/>
      <c r="BY70" s="253"/>
      <c r="BZ70" s="253"/>
      <c r="CA70" s="253"/>
      <c r="CB70" s="253"/>
      <c r="CC70" s="253"/>
      <c r="CD70" s="253"/>
      <c r="CE70" s="253"/>
      <c r="CF70" s="253"/>
      <c r="CG70" s="253"/>
      <c r="CH70" s="253"/>
      <c r="CI70" s="253"/>
      <c r="CJ70" s="253"/>
      <c r="CK70" s="253"/>
      <c r="CL70" s="253"/>
      <c r="CM70" s="253"/>
      <c r="CN70" s="253"/>
      <c r="CO70" s="253"/>
      <c r="CP70" s="253"/>
      <c r="CQ70" s="253"/>
      <c r="CR70" s="253"/>
      <c r="CS70" s="253"/>
      <c r="CT70" s="253"/>
      <c r="CU70" s="253"/>
      <c r="CV70" s="253"/>
      <c r="CW70" s="253"/>
      <c r="CX70" s="253"/>
      <c r="CY70" s="253"/>
      <c r="CZ70" s="253"/>
      <c r="DA70" s="253"/>
      <c r="DB70" s="253"/>
      <c r="DC70" s="253"/>
      <c r="DD70" s="253"/>
      <c r="DE70" s="253"/>
      <c r="DF70" s="253"/>
      <c r="DG70" s="253"/>
      <c r="DH70" s="253"/>
      <c r="DI70" s="253"/>
      <c r="DJ70" s="253"/>
      <c r="DK70" s="253"/>
      <c r="DL70" s="253"/>
      <c r="DM70" s="253"/>
      <c r="DN70" s="253"/>
      <c r="DO70" s="253"/>
      <c r="DP70" s="253"/>
      <c r="DQ70" s="253"/>
      <c r="DR70" s="255">
        <f>60-60</f>
        <v>0</v>
      </c>
      <c r="DS70" s="253"/>
      <c r="DT70" s="253"/>
      <c r="DU70" s="253"/>
      <c r="DV70" s="253"/>
      <c r="DW70" s="253"/>
      <c r="DX70" s="255">
        <f>70-70</f>
        <v>0</v>
      </c>
      <c r="DY70" s="255">
        <f>20-20</f>
        <v>0</v>
      </c>
      <c r="DZ70" s="255">
        <f>30-30</f>
        <v>0</v>
      </c>
      <c r="EA70" s="255">
        <f>10-10</f>
        <v>0</v>
      </c>
      <c r="EB70" s="255">
        <f>10-10</f>
        <v>0</v>
      </c>
      <c r="EC70" s="253"/>
      <c r="ED70" s="255">
        <f>20-20</f>
        <v>0</v>
      </c>
      <c r="EE70" s="253"/>
      <c r="EF70" s="255">
        <f>70-70</f>
        <v>0</v>
      </c>
      <c r="EG70" s="255">
        <f>40-40</f>
        <v>0</v>
      </c>
      <c r="EH70" s="253"/>
      <c r="EI70" s="255">
        <f>85-85</f>
        <v>0</v>
      </c>
      <c r="EJ70" s="253"/>
      <c r="EK70" s="253"/>
      <c r="EL70" s="253"/>
      <c r="EM70" s="253"/>
      <c r="EN70" s="253"/>
      <c r="EO70" s="253"/>
      <c r="EP70" s="253"/>
      <c r="EQ70" s="253"/>
      <c r="ER70" s="253"/>
      <c r="ES70" s="253"/>
      <c r="ET70" s="253"/>
      <c r="EU70" s="253"/>
      <c r="EV70" s="253"/>
      <c r="EW70" s="253"/>
      <c r="EX70" s="253"/>
      <c r="EY70" s="253"/>
      <c r="EZ70" s="253"/>
      <c r="FA70" s="253"/>
      <c r="FB70" s="253"/>
      <c r="FC70" s="253"/>
      <c r="FD70" s="253"/>
      <c r="FE70" s="253"/>
      <c r="FF70" s="253"/>
      <c r="FG70" s="256"/>
      <c r="FH70" s="257" t="s">
        <v>892</v>
      </c>
      <c r="FI70" s="258" t="s">
        <v>389</v>
      </c>
      <c r="FJ70" s="258" t="s">
        <v>431</v>
      </c>
      <c r="FK70" s="258" t="s">
        <v>432</v>
      </c>
      <c r="FL70" s="259">
        <f t="shared" si="0"/>
        <v>21</v>
      </c>
      <c r="FM70" s="260" t="s">
        <v>433</v>
      </c>
      <c r="FN70" s="260"/>
    </row>
    <row r="71" spans="1:170">
      <c r="A71" s="251" t="s">
        <v>393</v>
      </c>
      <c r="B71" s="251" t="s">
        <v>385</v>
      </c>
      <c r="C71" s="251" t="s">
        <v>411</v>
      </c>
      <c r="D71" s="251" t="s">
        <v>293</v>
      </c>
      <c r="E71" s="252" t="s">
        <v>430</v>
      </c>
      <c r="F71" s="251" t="s">
        <v>388</v>
      </c>
      <c r="G71" s="251" t="s">
        <v>842</v>
      </c>
      <c r="H71" s="253"/>
      <c r="I71" s="253"/>
      <c r="J71" s="255">
        <f>20-20</f>
        <v>0</v>
      </c>
      <c r="K71" s="253"/>
      <c r="L71" s="253"/>
      <c r="M71" s="253"/>
      <c r="N71" s="253"/>
      <c r="O71" s="253"/>
      <c r="P71" s="253"/>
      <c r="Q71" s="253"/>
      <c r="R71" s="253"/>
      <c r="S71" s="253"/>
      <c r="T71" s="253"/>
      <c r="U71" s="253"/>
      <c r="V71" s="253"/>
      <c r="W71" s="253"/>
      <c r="X71" s="253"/>
      <c r="Y71" s="253"/>
      <c r="Z71" s="253"/>
      <c r="AA71" s="253"/>
      <c r="AB71" s="253"/>
      <c r="AC71" s="253"/>
      <c r="AD71" s="253"/>
      <c r="AE71" s="253"/>
      <c r="AF71" s="253"/>
      <c r="AG71" s="253"/>
      <c r="AH71" s="253"/>
      <c r="AI71" s="253"/>
      <c r="AJ71" s="253"/>
      <c r="AK71" s="253"/>
      <c r="AL71" s="253"/>
      <c r="AM71" s="253"/>
      <c r="AN71" s="253"/>
      <c r="AO71" s="253"/>
      <c r="AP71" s="253"/>
      <c r="AQ71" s="253"/>
      <c r="AR71" s="253"/>
      <c r="AS71" s="253"/>
      <c r="AT71" s="253"/>
      <c r="AU71" s="253"/>
      <c r="AV71" s="253"/>
      <c r="AW71" s="253"/>
      <c r="AX71" s="253"/>
      <c r="AY71" s="253"/>
      <c r="AZ71" s="253"/>
      <c r="BA71" s="253"/>
      <c r="BB71" s="253"/>
      <c r="BC71" s="253"/>
      <c r="BD71" s="253"/>
      <c r="BE71" s="253"/>
      <c r="BF71" s="253"/>
      <c r="BG71" s="253"/>
      <c r="BH71" s="253"/>
      <c r="BI71" s="253"/>
      <c r="BJ71" s="253"/>
      <c r="BK71" s="253"/>
      <c r="BL71" s="253"/>
      <c r="BM71" s="253"/>
      <c r="BN71" s="253"/>
      <c r="BO71" s="253"/>
      <c r="BP71" s="253"/>
      <c r="BQ71" s="253"/>
      <c r="BR71" s="253"/>
      <c r="BS71" s="253"/>
      <c r="BT71" s="253"/>
      <c r="BU71" s="253"/>
      <c r="BV71" s="253"/>
      <c r="BW71" s="253"/>
      <c r="BX71" s="253"/>
      <c r="BY71" s="253"/>
      <c r="BZ71" s="253"/>
      <c r="CA71" s="253"/>
      <c r="CB71" s="253"/>
      <c r="CC71" s="253"/>
      <c r="CD71" s="253"/>
      <c r="CE71" s="253"/>
      <c r="CF71" s="253"/>
      <c r="CG71" s="253"/>
      <c r="CH71" s="253"/>
      <c r="CI71" s="253"/>
      <c r="CJ71" s="253"/>
      <c r="CK71" s="253"/>
      <c r="CL71" s="253"/>
      <c r="CM71" s="253"/>
      <c r="CN71" s="253"/>
      <c r="CO71" s="253"/>
      <c r="CP71" s="253"/>
      <c r="CQ71" s="253"/>
      <c r="CR71" s="253"/>
      <c r="CS71" s="253"/>
      <c r="CT71" s="253"/>
      <c r="CU71" s="253"/>
      <c r="CV71" s="253"/>
      <c r="CW71" s="253"/>
      <c r="CX71" s="253"/>
      <c r="CY71" s="253"/>
      <c r="CZ71" s="253"/>
      <c r="DA71" s="253"/>
      <c r="DB71" s="253"/>
      <c r="DC71" s="253"/>
      <c r="DD71" s="253"/>
      <c r="DE71" s="253"/>
      <c r="DF71" s="253"/>
      <c r="DG71" s="253"/>
      <c r="DH71" s="253"/>
      <c r="DI71" s="253"/>
      <c r="DJ71" s="253"/>
      <c r="DK71" s="253"/>
      <c r="DL71" s="253"/>
      <c r="DM71" s="253"/>
      <c r="DN71" s="253"/>
      <c r="DO71" s="253"/>
      <c r="DP71" s="253"/>
      <c r="DQ71" s="253"/>
      <c r="DR71" s="253"/>
      <c r="DS71" s="253"/>
      <c r="DT71" s="253"/>
      <c r="DU71" s="253"/>
      <c r="DV71" s="253"/>
      <c r="DW71" s="253"/>
      <c r="DX71" s="253"/>
      <c r="DY71" s="253"/>
      <c r="DZ71" s="253"/>
      <c r="EA71" s="253"/>
      <c r="EB71" s="253"/>
      <c r="EC71" s="253"/>
      <c r="ED71" s="253"/>
      <c r="EE71" s="253"/>
      <c r="EF71" s="253"/>
      <c r="EG71" s="253"/>
      <c r="EH71" s="253"/>
      <c r="EI71" s="253"/>
      <c r="EJ71" s="253"/>
      <c r="EK71" s="253"/>
      <c r="EL71" s="253"/>
      <c r="EM71" s="253"/>
      <c r="EN71" s="253"/>
      <c r="EO71" s="253"/>
      <c r="EP71" s="253"/>
      <c r="EQ71" s="253"/>
      <c r="ER71" s="253"/>
      <c r="ES71" s="253"/>
      <c r="ET71" s="253"/>
      <c r="EU71" s="253"/>
      <c r="EV71" s="253"/>
      <c r="EW71" s="253"/>
      <c r="EX71" s="253"/>
      <c r="EY71" s="253"/>
      <c r="EZ71" s="253"/>
      <c r="FA71" s="253"/>
      <c r="FB71" s="253"/>
      <c r="FC71" s="253"/>
      <c r="FD71" s="253"/>
      <c r="FE71" s="253"/>
      <c r="FF71" s="253"/>
      <c r="FG71" s="256"/>
      <c r="FH71" s="257" t="s">
        <v>892</v>
      </c>
      <c r="FI71" s="258" t="s">
        <v>389</v>
      </c>
      <c r="FJ71" s="258" t="s">
        <v>431</v>
      </c>
      <c r="FK71" s="258" t="s">
        <v>432</v>
      </c>
      <c r="FL71" s="259">
        <f t="shared" ref="FL71:FL109" si="7">SUM(H71:FF71)</f>
        <v>0</v>
      </c>
      <c r="FM71" s="260" t="s">
        <v>433</v>
      </c>
      <c r="FN71" s="260"/>
    </row>
    <row r="72" spans="1:170">
      <c r="A72" s="251" t="s">
        <v>393</v>
      </c>
      <c r="B72" s="251" t="s">
        <v>392</v>
      </c>
      <c r="C72" s="251" t="s">
        <v>411</v>
      </c>
      <c r="D72" s="251" t="s">
        <v>291</v>
      </c>
      <c r="E72" s="252" t="s">
        <v>430</v>
      </c>
      <c r="F72" s="251" t="s">
        <v>388</v>
      </c>
      <c r="G72" s="251" t="s">
        <v>913</v>
      </c>
      <c r="H72" s="253"/>
      <c r="I72" s="255">
        <f>20-20</f>
        <v>0</v>
      </c>
      <c r="J72" s="253"/>
      <c r="K72" s="255">
        <f>50-50</f>
        <v>0</v>
      </c>
      <c r="L72" s="253"/>
      <c r="M72" s="253"/>
      <c r="N72" s="253"/>
      <c r="O72" s="253"/>
      <c r="P72" s="253"/>
      <c r="Q72" s="253"/>
      <c r="R72" s="253"/>
      <c r="S72" s="253"/>
      <c r="T72" s="253"/>
      <c r="U72" s="253"/>
      <c r="V72" s="253"/>
      <c r="W72" s="253"/>
      <c r="X72" s="253"/>
      <c r="Y72" s="253"/>
      <c r="Z72" s="253"/>
      <c r="AA72" s="253"/>
      <c r="AB72" s="253"/>
      <c r="AC72" s="253"/>
      <c r="AD72" s="253"/>
      <c r="AE72" s="253"/>
      <c r="AF72" s="253"/>
      <c r="AG72" s="253"/>
      <c r="AH72" s="253"/>
      <c r="AI72" s="255">
        <f>40-40</f>
        <v>0</v>
      </c>
      <c r="AJ72" s="255">
        <f>40-40</f>
        <v>0</v>
      </c>
      <c r="AK72" s="253"/>
      <c r="AL72" s="253"/>
      <c r="AM72" s="253"/>
      <c r="AN72" s="253"/>
      <c r="AO72" s="253"/>
      <c r="AP72" s="253"/>
      <c r="AQ72" s="255">
        <f>91-91</f>
        <v>0</v>
      </c>
      <c r="AR72" s="253"/>
      <c r="AS72" s="253"/>
      <c r="AT72" s="255">
        <f>90-90</f>
        <v>0</v>
      </c>
      <c r="AU72" s="253"/>
      <c r="AV72" s="253"/>
      <c r="AW72" s="253"/>
      <c r="AX72" s="253"/>
      <c r="AY72" s="253"/>
      <c r="AZ72" s="253"/>
      <c r="BA72" s="253"/>
      <c r="BB72" s="253"/>
      <c r="BC72" s="253"/>
      <c r="BD72" s="253"/>
      <c r="BE72" s="253"/>
      <c r="BF72" s="253"/>
      <c r="BG72" s="255">
        <f>40-40</f>
        <v>0</v>
      </c>
      <c r="BH72" s="253"/>
      <c r="BI72" s="253"/>
      <c r="BJ72" s="253"/>
      <c r="BK72" s="253"/>
      <c r="BL72" s="253"/>
      <c r="BM72" s="253"/>
      <c r="BN72" s="253"/>
      <c r="BO72" s="253"/>
      <c r="BP72" s="253"/>
      <c r="BQ72" s="253"/>
      <c r="BR72" s="253"/>
      <c r="BS72" s="253"/>
      <c r="BT72" s="253"/>
      <c r="BU72" s="253"/>
      <c r="BV72" s="253"/>
      <c r="BW72" s="253"/>
      <c r="BX72" s="253"/>
      <c r="BY72" s="253"/>
      <c r="BZ72" s="253"/>
      <c r="CA72" s="253"/>
      <c r="CB72" s="253"/>
      <c r="CC72" s="253"/>
      <c r="CD72" s="253"/>
      <c r="CE72" s="253"/>
      <c r="CF72" s="253"/>
      <c r="CG72" s="253"/>
      <c r="CH72" s="253"/>
      <c r="CI72" s="253"/>
      <c r="CJ72" s="253"/>
      <c r="CK72" s="253"/>
      <c r="CL72" s="253"/>
      <c r="CM72" s="253"/>
      <c r="CN72" s="253"/>
      <c r="CO72" s="253"/>
      <c r="CP72" s="253"/>
      <c r="CQ72" s="253"/>
      <c r="CR72" s="253"/>
      <c r="CS72" s="253"/>
      <c r="CT72" s="253"/>
      <c r="CU72" s="253"/>
      <c r="CV72" s="253"/>
      <c r="CW72" s="253"/>
      <c r="CX72" s="253"/>
      <c r="CY72" s="253"/>
      <c r="CZ72" s="253"/>
      <c r="DA72" s="253"/>
      <c r="DB72" s="253"/>
      <c r="DC72" s="253"/>
      <c r="DD72" s="253"/>
      <c r="DE72" s="253"/>
      <c r="DF72" s="253"/>
      <c r="DG72" s="253"/>
      <c r="DH72" s="253"/>
      <c r="DI72" s="253"/>
      <c r="DJ72" s="253"/>
      <c r="DK72" s="253"/>
      <c r="DL72" s="253"/>
      <c r="DM72" s="253"/>
      <c r="DN72" s="253"/>
      <c r="DO72" s="253"/>
      <c r="DP72" s="253"/>
      <c r="DQ72" s="253"/>
      <c r="DR72" s="253"/>
      <c r="DS72" s="253"/>
      <c r="DT72" s="253"/>
      <c r="DU72" s="253"/>
      <c r="DV72" s="253"/>
      <c r="DW72" s="253"/>
      <c r="DX72" s="253"/>
      <c r="DY72" s="253"/>
      <c r="DZ72" s="253"/>
      <c r="EA72" s="253"/>
      <c r="EB72" s="253"/>
      <c r="EC72" s="253"/>
      <c r="ED72" s="253"/>
      <c r="EE72" s="253"/>
      <c r="EF72" s="253"/>
      <c r="EG72" s="253"/>
      <c r="EH72" s="253"/>
      <c r="EI72" s="253"/>
      <c r="EJ72" s="253"/>
      <c r="EK72" s="253"/>
      <c r="EL72" s="253"/>
      <c r="EM72" s="253"/>
      <c r="EN72" s="253"/>
      <c r="EO72" s="253"/>
      <c r="EP72" s="253"/>
      <c r="EQ72" s="253"/>
      <c r="ER72" s="253"/>
      <c r="ES72" s="253"/>
      <c r="ET72" s="253"/>
      <c r="EU72" s="253"/>
      <c r="EV72" s="253"/>
      <c r="EW72" s="253"/>
      <c r="EX72" s="253"/>
      <c r="EY72" s="253"/>
      <c r="EZ72" s="253"/>
      <c r="FA72" s="253"/>
      <c r="FB72" s="253"/>
      <c r="FC72" s="253"/>
      <c r="FD72" s="253"/>
      <c r="FE72" s="253"/>
      <c r="FF72" s="253"/>
      <c r="FG72" s="256"/>
      <c r="FH72" s="257" t="s">
        <v>892</v>
      </c>
      <c r="FI72" s="258" t="s">
        <v>389</v>
      </c>
      <c r="FJ72" s="258" t="s">
        <v>431</v>
      </c>
      <c r="FK72" s="258" t="s">
        <v>432</v>
      </c>
      <c r="FL72" s="259">
        <f t="shared" si="7"/>
        <v>0</v>
      </c>
      <c r="FM72" s="260" t="s">
        <v>433</v>
      </c>
      <c r="FN72" s="260"/>
    </row>
    <row r="73" spans="1:170">
      <c r="A73" s="251" t="s">
        <v>393</v>
      </c>
      <c r="B73" s="251" t="s">
        <v>392</v>
      </c>
      <c r="C73" s="251" t="s">
        <v>411</v>
      </c>
      <c r="D73" s="251" t="s">
        <v>1</v>
      </c>
      <c r="E73" s="252" t="s">
        <v>430</v>
      </c>
      <c r="F73" s="251" t="s">
        <v>388</v>
      </c>
      <c r="G73" s="251" t="s">
        <v>913</v>
      </c>
      <c r="H73" s="253"/>
      <c r="I73" s="253"/>
      <c r="J73" s="253"/>
      <c r="K73" s="253"/>
      <c r="L73" s="253"/>
      <c r="M73" s="253"/>
      <c r="N73" s="253"/>
      <c r="O73" s="253"/>
      <c r="P73" s="253"/>
      <c r="Q73" s="253"/>
      <c r="R73" s="253"/>
      <c r="S73" s="253"/>
      <c r="T73" s="255">
        <f>80-80</f>
        <v>0</v>
      </c>
      <c r="U73" s="253"/>
      <c r="V73" s="255">
        <f>100-100</f>
        <v>0</v>
      </c>
      <c r="W73" s="253"/>
      <c r="X73" s="253"/>
      <c r="Y73" s="253"/>
      <c r="Z73" s="253"/>
      <c r="AA73" s="253"/>
      <c r="AB73" s="253"/>
      <c r="AC73" s="255">
        <f>10-10</f>
        <v>0</v>
      </c>
      <c r="AD73" s="255">
        <f>50-50</f>
        <v>0</v>
      </c>
      <c r="AE73" s="255">
        <f>40-40</f>
        <v>0</v>
      </c>
      <c r="AF73" s="253"/>
      <c r="AG73" s="255">
        <f>20-20</f>
        <v>0</v>
      </c>
      <c r="AH73" s="253"/>
      <c r="AI73" s="253"/>
      <c r="AJ73" s="253"/>
      <c r="AK73" s="253"/>
      <c r="AL73" s="253"/>
      <c r="AM73" s="253"/>
      <c r="AN73" s="253"/>
      <c r="AO73" s="253"/>
      <c r="AP73" s="253"/>
      <c r="AQ73" s="253"/>
      <c r="AR73" s="253"/>
      <c r="AS73" s="253"/>
      <c r="AT73" s="253"/>
      <c r="AU73" s="253"/>
      <c r="AV73" s="253"/>
      <c r="AW73" s="255">
        <f>70-70</f>
        <v>0</v>
      </c>
      <c r="AX73" s="253"/>
      <c r="AY73" s="253"/>
      <c r="AZ73" s="253"/>
      <c r="BA73" s="253"/>
      <c r="BB73" s="253"/>
      <c r="BC73" s="253"/>
      <c r="BD73" s="253"/>
      <c r="BE73" s="253"/>
      <c r="BF73" s="253"/>
      <c r="BG73" s="253"/>
      <c r="BH73" s="253"/>
      <c r="BI73" s="255">
        <f>40-40</f>
        <v>0</v>
      </c>
      <c r="BJ73" s="253"/>
      <c r="BK73" s="253"/>
      <c r="BL73" s="253"/>
      <c r="BM73" s="253"/>
      <c r="BN73" s="253"/>
      <c r="BO73" s="253"/>
      <c r="BP73" s="253"/>
      <c r="BQ73" s="253"/>
      <c r="BR73" s="253"/>
      <c r="BS73" s="253"/>
      <c r="BT73" s="253"/>
      <c r="BU73" s="253"/>
      <c r="BV73" s="253"/>
      <c r="BW73" s="253"/>
      <c r="BX73" s="253"/>
      <c r="BY73" s="253"/>
      <c r="BZ73" s="253"/>
      <c r="CA73" s="253"/>
      <c r="CB73" s="253"/>
      <c r="CC73" s="253"/>
      <c r="CD73" s="253"/>
      <c r="CE73" s="253"/>
      <c r="CF73" s="253"/>
      <c r="CG73" s="253"/>
      <c r="CH73" s="253"/>
      <c r="CI73" s="253"/>
      <c r="CJ73" s="253"/>
      <c r="CK73" s="253"/>
      <c r="CL73" s="253"/>
      <c r="CM73" s="253"/>
      <c r="CN73" s="253"/>
      <c r="CO73" s="253"/>
      <c r="CP73" s="253"/>
      <c r="CQ73" s="253"/>
      <c r="CR73" s="253"/>
      <c r="CS73" s="253"/>
      <c r="CT73" s="253"/>
      <c r="CU73" s="253"/>
      <c r="CV73" s="253"/>
      <c r="CW73" s="253"/>
      <c r="CX73" s="253"/>
      <c r="CY73" s="253"/>
      <c r="CZ73" s="253"/>
      <c r="DA73" s="253"/>
      <c r="DB73" s="253"/>
      <c r="DC73" s="253"/>
      <c r="DD73" s="253"/>
      <c r="DE73" s="253"/>
      <c r="DF73" s="253"/>
      <c r="DG73" s="253"/>
      <c r="DH73" s="253"/>
      <c r="DI73" s="253"/>
      <c r="DJ73" s="253"/>
      <c r="DK73" s="253"/>
      <c r="DL73" s="253"/>
      <c r="DM73" s="253"/>
      <c r="DN73" s="253"/>
      <c r="DO73" s="253"/>
      <c r="DP73" s="253"/>
      <c r="DQ73" s="253"/>
      <c r="DR73" s="253"/>
      <c r="DS73" s="253"/>
      <c r="DT73" s="253"/>
      <c r="DU73" s="253"/>
      <c r="DV73" s="253"/>
      <c r="DW73" s="253"/>
      <c r="DX73" s="253"/>
      <c r="DY73" s="253"/>
      <c r="DZ73" s="253"/>
      <c r="EA73" s="253"/>
      <c r="EB73" s="253"/>
      <c r="EC73" s="253"/>
      <c r="ED73" s="253"/>
      <c r="EE73" s="253"/>
      <c r="EF73" s="253"/>
      <c r="EG73" s="253"/>
      <c r="EH73" s="253"/>
      <c r="EI73" s="253"/>
      <c r="EJ73" s="253"/>
      <c r="EK73" s="253"/>
      <c r="EL73" s="253"/>
      <c r="EM73" s="253"/>
      <c r="EN73" s="253"/>
      <c r="EO73" s="253"/>
      <c r="EP73" s="253"/>
      <c r="EQ73" s="253"/>
      <c r="ER73" s="253"/>
      <c r="ES73" s="253"/>
      <c r="ET73" s="253"/>
      <c r="EU73" s="253"/>
      <c r="EV73" s="253"/>
      <c r="EW73" s="253"/>
      <c r="EX73" s="253"/>
      <c r="EY73" s="253"/>
      <c r="EZ73" s="253"/>
      <c r="FA73" s="253"/>
      <c r="FB73" s="253"/>
      <c r="FC73" s="253"/>
      <c r="FD73" s="253"/>
      <c r="FE73" s="253"/>
      <c r="FF73" s="253"/>
      <c r="FG73" s="256"/>
      <c r="FH73" s="257" t="s">
        <v>892</v>
      </c>
      <c r="FI73" s="258" t="s">
        <v>389</v>
      </c>
      <c r="FJ73" s="258" t="s">
        <v>431</v>
      </c>
      <c r="FK73" s="258" t="s">
        <v>432</v>
      </c>
      <c r="FL73" s="259">
        <f t="shared" si="7"/>
        <v>0</v>
      </c>
      <c r="FM73" s="260" t="s">
        <v>433</v>
      </c>
      <c r="FN73" s="260"/>
    </row>
    <row r="74" spans="1:170">
      <c r="A74" s="251" t="s">
        <v>393</v>
      </c>
      <c r="B74" s="251" t="s">
        <v>392</v>
      </c>
      <c r="C74" s="251" t="s">
        <v>411</v>
      </c>
      <c r="D74" s="251" t="s">
        <v>293</v>
      </c>
      <c r="E74" s="252" t="s">
        <v>430</v>
      </c>
      <c r="F74" s="251" t="s">
        <v>388</v>
      </c>
      <c r="G74" s="251" t="s">
        <v>842</v>
      </c>
      <c r="H74" s="253"/>
      <c r="I74" s="253"/>
      <c r="J74" s="255">
        <f>60-60</f>
        <v>0</v>
      </c>
      <c r="K74" s="253"/>
      <c r="L74" s="253"/>
      <c r="M74" s="253"/>
      <c r="N74" s="253"/>
      <c r="O74" s="253"/>
      <c r="P74" s="253"/>
      <c r="Q74" s="253"/>
      <c r="R74" s="253"/>
      <c r="S74" s="253"/>
      <c r="T74" s="253"/>
      <c r="U74" s="253"/>
      <c r="V74" s="253"/>
      <c r="W74" s="253"/>
      <c r="X74" s="253"/>
      <c r="Y74" s="253"/>
      <c r="Z74" s="253"/>
      <c r="AA74" s="253"/>
      <c r="AB74" s="253"/>
      <c r="AC74" s="253"/>
      <c r="AD74" s="253"/>
      <c r="AE74" s="253"/>
      <c r="AF74" s="253"/>
      <c r="AG74" s="253"/>
      <c r="AH74" s="253"/>
      <c r="AI74" s="253"/>
      <c r="AJ74" s="253"/>
      <c r="AK74" s="253"/>
      <c r="AL74" s="253"/>
      <c r="AM74" s="253"/>
      <c r="AN74" s="253"/>
      <c r="AO74" s="253"/>
      <c r="AP74" s="253"/>
      <c r="AQ74" s="253"/>
      <c r="AR74" s="253"/>
      <c r="AS74" s="253"/>
      <c r="AT74" s="253"/>
      <c r="AU74" s="253"/>
      <c r="AV74" s="253"/>
      <c r="AW74" s="253"/>
      <c r="AX74" s="253"/>
      <c r="AY74" s="253"/>
      <c r="AZ74" s="253"/>
      <c r="BA74" s="253"/>
      <c r="BB74" s="253"/>
      <c r="BC74" s="253"/>
      <c r="BD74" s="253"/>
      <c r="BE74" s="253"/>
      <c r="BF74" s="253"/>
      <c r="BG74" s="253"/>
      <c r="BH74" s="253"/>
      <c r="BI74" s="253"/>
      <c r="BJ74" s="253"/>
      <c r="BK74" s="253"/>
      <c r="BL74" s="253"/>
      <c r="BM74" s="253"/>
      <c r="BN74" s="253"/>
      <c r="BO74" s="253"/>
      <c r="BP74" s="253"/>
      <c r="BQ74" s="253"/>
      <c r="BR74" s="253"/>
      <c r="BS74" s="253"/>
      <c r="BT74" s="253"/>
      <c r="BU74" s="253"/>
      <c r="BV74" s="253"/>
      <c r="BW74" s="253"/>
      <c r="BX74" s="253"/>
      <c r="BY74" s="253"/>
      <c r="BZ74" s="253"/>
      <c r="CA74" s="253"/>
      <c r="CB74" s="253"/>
      <c r="CC74" s="253"/>
      <c r="CD74" s="253"/>
      <c r="CE74" s="253"/>
      <c r="CF74" s="253"/>
      <c r="CG74" s="253"/>
      <c r="CH74" s="253"/>
      <c r="CI74" s="253"/>
      <c r="CJ74" s="253"/>
      <c r="CK74" s="253"/>
      <c r="CL74" s="253"/>
      <c r="CM74" s="253"/>
      <c r="CN74" s="253"/>
      <c r="CO74" s="253"/>
      <c r="CP74" s="253"/>
      <c r="CQ74" s="253"/>
      <c r="CR74" s="253"/>
      <c r="CS74" s="253"/>
      <c r="CT74" s="253"/>
      <c r="CU74" s="253"/>
      <c r="CV74" s="253"/>
      <c r="CW74" s="253"/>
      <c r="CX74" s="253"/>
      <c r="CY74" s="253"/>
      <c r="CZ74" s="253"/>
      <c r="DA74" s="253"/>
      <c r="DB74" s="253"/>
      <c r="DC74" s="253"/>
      <c r="DD74" s="253"/>
      <c r="DE74" s="253"/>
      <c r="DF74" s="253"/>
      <c r="DG74" s="253"/>
      <c r="DH74" s="253"/>
      <c r="DI74" s="253"/>
      <c r="DJ74" s="253"/>
      <c r="DK74" s="253"/>
      <c r="DL74" s="253"/>
      <c r="DM74" s="253"/>
      <c r="DN74" s="253"/>
      <c r="DO74" s="253"/>
      <c r="DP74" s="253"/>
      <c r="DQ74" s="253"/>
      <c r="DR74" s="253"/>
      <c r="DS74" s="253"/>
      <c r="DT74" s="253"/>
      <c r="DU74" s="253"/>
      <c r="DV74" s="253"/>
      <c r="DW74" s="253"/>
      <c r="DX74" s="253"/>
      <c r="DY74" s="253"/>
      <c r="DZ74" s="253"/>
      <c r="EA74" s="253"/>
      <c r="EB74" s="253"/>
      <c r="EC74" s="253"/>
      <c r="ED74" s="253"/>
      <c r="EE74" s="253"/>
      <c r="EF74" s="253"/>
      <c r="EG74" s="253"/>
      <c r="EH74" s="253"/>
      <c r="EI74" s="253"/>
      <c r="EJ74" s="253"/>
      <c r="EK74" s="253"/>
      <c r="EL74" s="253"/>
      <c r="EM74" s="253"/>
      <c r="EN74" s="253"/>
      <c r="EO74" s="253"/>
      <c r="EP74" s="253"/>
      <c r="EQ74" s="253"/>
      <c r="ER74" s="253"/>
      <c r="ES74" s="253"/>
      <c r="ET74" s="253"/>
      <c r="EU74" s="253"/>
      <c r="EV74" s="253"/>
      <c r="EW74" s="253"/>
      <c r="EX74" s="253"/>
      <c r="EY74" s="253"/>
      <c r="EZ74" s="253"/>
      <c r="FA74" s="253"/>
      <c r="FB74" s="253"/>
      <c r="FC74" s="253"/>
      <c r="FD74" s="253"/>
      <c r="FE74" s="253"/>
      <c r="FF74" s="253"/>
      <c r="FG74" s="256"/>
      <c r="FH74" s="257" t="s">
        <v>892</v>
      </c>
      <c r="FI74" s="258" t="s">
        <v>389</v>
      </c>
      <c r="FJ74" s="258" t="s">
        <v>431</v>
      </c>
      <c r="FK74" s="258" t="s">
        <v>432</v>
      </c>
      <c r="FL74" s="259">
        <f t="shared" si="7"/>
        <v>0</v>
      </c>
      <c r="FM74" s="260" t="s">
        <v>433</v>
      </c>
      <c r="FN74" s="260"/>
    </row>
    <row r="75" spans="1:170">
      <c r="A75" s="251" t="s">
        <v>385</v>
      </c>
      <c r="B75" s="251" t="s">
        <v>385</v>
      </c>
      <c r="C75" s="251" t="s">
        <v>411</v>
      </c>
      <c r="D75" s="251" t="s">
        <v>291</v>
      </c>
      <c r="E75" s="252" t="s">
        <v>434</v>
      </c>
      <c r="F75" s="251" t="s">
        <v>388</v>
      </c>
      <c r="G75" s="251" t="s">
        <v>914</v>
      </c>
      <c r="H75" s="253"/>
      <c r="I75" s="253"/>
      <c r="J75" s="253"/>
      <c r="K75" s="253"/>
      <c r="L75" s="253"/>
      <c r="M75" s="253"/>
      <c r="N75" s="253"/>
      <c r="O75" s="253"/>
      <c r="P75" s="253"/>
      <c r="Q75" s="253"/>
      <c r="R75" s="253"/>
      <c r="S75" s="253"/>
      <c r="T75" s="253"/>
      <c r="U75" s="253"/>
      <c r="V75" s="253"/>
      <c r="W75" s="253"/>
      <c r="X75" s="253"/>
      <c r="Y75" s="253"/>
      <c r="Z75" s="253"/>
      <c r="AA75" s="253"/>
      <c r="AB75" s="253"/>
      <c r="AC75" s="253"/>
      <c r="AD75" s="253"/>
      <c r="AE75" s="253"/>
      <c r="AF75" s="253"/>
      <c r="AG75" s="253"/>
      <c r="AH75" s="253"/>
      <c r="AI75" s="253"/>
      <c r="AJ75" s="253"/>
      <c r="AK75" s="253"/>
      <c r="AL75" s="253"/>
      <c r="AM75" s="253"/>
      <c r="AN75" s="253"/>
      <c r="AO75" s="253"/>
      <c r="AP75" s="253"/>
      <c r="AQ75" s="253"/>
      <c r="AR75" s="253"/>
      <c r="AS75" s="253"/>
      <c r="AT75" s="253"/>
      <c r="AU75" s="253"/>
      <c r="AV75" s="253"/>
      <c r="AW75" s="253"/>
      <c r="AX75" s="253"/>
      <c r="AY75" s="253"/>
      <c r="AZ75" s="253"/>
      <c r="BA75" s="253"/>
      <c r="BB75" s="253"/>
      <c r="BC75" s="253"/>
      <c r="BD75" s="253"/>
      <c r="BE75" s="253"/>
      <c r="BF75" s="253"/>
      <c r="BG75" s="255">
        <f>300-300</f>
        <v>0</v>
      </c>
      <c r="BH75" s="253"/>
      <c r="BI75" s="253"/>
      <c r="BJ75" s="253"/>
      <c r="BK75" s="253"/>
      <c r="BL75" s="253"/>
      <c r="BM75" s="253"/>
      <c r="BN75" s="253"/>
      <c r="BO75" s="253"/>
      <c r="BP75" s="253"/>
      <c r="BQ75" s="253"/>
      <c r="BR75" s="253"/>
      <c r="BS75" s="253"/>
      <c r="BT75" s="253"/>
      <c r="BU75" s="253"/>
      <c r="BV75" s="253"/>
      <c r="BW75" s="253"/>
      <c r="BX75" s="253"/>
      <c r="BY75" s="253"/>
      <c r="BZ75" s="253"/>
      <c r="CA75" s="253"/>
      <c r="CB75" s="253"/>
      <c r="CC75" s="253"/>
      <c r="CD75" s="253"/>
      <c r="CE75" s="253"/>
      <c r="CF75" s="253"/>
      <c r="CG75" s="253"/>
      <c r="CH75" s="253"/>
      <c r="CI75" s="253"/>
      <c r="CJ75" s="253"/>
      <c r="CK75" s="253"/>
      <c r="CL75" s="253"/>
      <c r="CM75" s="253"/>
      <c r="CN75" s="253"/>
      <c r="CO75" s="253"/>
      <c r="CP75" s="253"/>
      <c r="CQ75" s="253"/>
      <c r="CR75" s="253"/>
      <c r="CS75" s="253"/>
      <c r="CT75" s="253"/>
      <c r="CU75" s="253"/>
      <c r="CV75" s="253"/>
      <c r="CW75" s="253"/>
      <c r="CX75" s="253"/>
      <c r="CY75" s="253"/>
      <c r="CZ75" s="253"/>
      <c r="DA75" s="253"/>
      <c r="DB75" s="253"/>
      <c r="DC75" s="253"/>
      <c r="DD75" s="253"/>
      <c r="DE75" s="253"/>
      <c r="DF75" s="253"/>
      <c r="DG75" s="253"/>
      <c r="DH75" s="253"/>
      <c r="DI75" s="253"/>
      <c r="DJ75" s="253"/>
      <c r="DK75" s="253"/>
      <c r="DL75" s="253"/>
      <c r="DM75" s="253"/>
      <c r="DN75" s="253"/>
      <c r="DO75" s="253"/>
      <c r="DP75" s="253"/>
      <c r="DQ75" s="253"/>
      <c r="DR75" s="253"/>
      <c r="DS75" s="253"/>
      <c r="DT75" s="253"/>
      <c r="DU75" s="253"/>
      <c r="DV75" s="253"/>
      <c r="DW75" s="253"/>
      <c r="DX75" s="253"/>
      <c r="DY75" s="253"/>
      <c r="DZ75" s="253"/>
      <c r="EA75" s="253"/>
      <c r="EB75" s="253"/>
      <c r="EC75" s="253"/>
      <c r="ED75" s="253"/>
      <c r="EE75" s="253"/>
      <c r="EF75" s="253"/>
      <c r="EG75" s="253"/>
      <c r="EH75" s="253"/>
      <c r="EI75" s="253"/>
      <c r="EJ75" s="253"/>
      <c r="EK75" s="253"/>
      <c r="EL75" s="253"/>
      <c r="EM75" s="253"/>
      <c r="EN75" s="253"/>
      <c r="EO75" s="253"/>
      <c r="EP75" s="253"/>
      <c r="EQ75" s="253"/>
      <c r="ER75" s="253"/>
      <c r="ES75" s="253"/>
      <c r="ET75" s="253"/>
      <c r="EU75" s="253"/>
      <c r="EV75" s="253"/>
      <c r="EW75" s="253"/>
      <c r="EX75" s="253"/>
      <c r="EY75" s="253"/>
      <c r="EZ75" s="253"/>
      <c r="FA75" s="253"/>
      <c r="FB75" s="253"/>
      <c r="FC75" s="253"/>
      <c r="FD75" s="253"/>
      <c r="FE75" s="253"/>
      <c r="FF75" s="253"/>
      <c r="FG75" s="256"/>
      <c r="FH75" s="257" t="s">
        <v>892</v>
      </c>
      <c r="FI75" s="258" t="s">
        <v>389</v>
      </c>
      <c r="FJ75" s="258" t="s">
        <v>435</v>
      </c>
      <c r="FK75" s="258" t="s">
        <v>420</v>
      </c>
      <c r="FL75" s="259">
        <f t="shared" si="7"/>
        <v>0</v>
      </c>
      <c r="FM75" s="260" t="s">
        <v>421</v>
      </c>
      <c r="FN75" s="260"/>
    </row>
    <row r="76" spans="1:170">
      <c r="A76" s="251" t="s">
        <v>385</v>
      </c>
      <c r="B76" s="251" t="s">
        <v>385</v>
      </c>
      <c r="C76" s="251" t="s">
        <v>411</v>
      </c>
      <c r="D76" s="251" t="s">
        <v>1</v>
      </c>
      <c r="E76" s="252" t="s">
        <v>434</v>
      </c>
      <c r="F76" s="251" t="s">
        <v>388</v>
      </c>
      <c r="G76" s="251" t="s">
        <v>914</v>
      </c>
      <c r="H76" s="253"/>
      <c r="I76" s="253"/>
      <c r="J76" s="253"/>
      <c r="K76" s="253"/>
      <c r="L76" s="253"/>
      <c r="M76" s="253"/>
      <c r="N76" s="253"/>
      <c r="O76" s="253"/>
      <c r="P76" s="253"/>
      <c r="Q76" s="253"/>
      <c r="R76" s="253"/>
      <c r="S76" s="253"/>
      <c r="T76" s="253"/>
      <c r="U76" s="253"/>
      <c r="V76" s="253"/>
      <c r="W76" s="253"/>
      <c r="X76" s="253"/>
      <c r="Y76" s="253"/>
      <c r="Z76" s="253"/>
      <c r="AA76" s="253"/>
      <c r="AB76" s="253"/>
      <c r="AC76" s="253"/>
      <c r="AD76" s="253"/>
      <c r="AE76" s="253"/>
      <c r="AF76" s="253"/>
      <c r="AG76" s="253"/>
      <c r="AH76" s="253"/>
      <c r="AI76" s="253"/>
      <c r="AJ76" s="253"/>
      <c r="AK76" s="253"/>
      <c r="AL76" s="253"/>
      <c r="AM76" s="253"/>
      <c r="AN76" s="253"/>
      <c r="AO76" s="253"/>
      <c r="AP76" s="253"/>
      <c r="AQ76" s="253"/>
      <c r="AR76" s="253"/>
      <c r="AS76" s="253"/>
      <c r="AT76" s="253"/>
      <c r="AU76" s="253"/>
      <c r="AV76" s="253"/>
      <c r="AW76" s="255">
        <f>200-200</f>
        <v>0</v>
      </c>
      <c r="AX76" s="253"/>
      <c r="AY76" s="253"/>
      <c r="AZ76" s="253"/>
      <c r="BA76" s="253"/>
      <c r="BB76" s="253"/>
      <c r="BC76" s="253"/>
      <c r="BD76" s="253"/>
      <c r="BE76" s="253"/>
      <c r="BF76" s="253"/>
      <c r="BG76" s="253"/>
      <c r="BH76" s="253"/>
      <c r="BI76" s="253"/>
      <c r="BJ76" s="253"/>
      <c r="BK76" s="253"/>
      <c r="BL76" s="253"/>
      <c r="BM76" s="253"/>
      <c r="BN76" s="253"/>
      <c r="BO76" s="253"/>
      <c r="BP76" s="253"/>
      <c r="BQ76" s="253"/>
      <c r="BR76" s="253"/>
      <c r="BS76" s="253"/>
      <c r="BT76" s="253"/>
      <c r="BU76" s="253"/>
      <c r="BV76" s="253"/>
      <c r="BW76" s="253"/>
      <c r="BX76" s="253"/>
      <c r="BY76" s="253"/>
      <c r="BZ76" s="253"/>
      <c r="CA76" s="253"/>
      <c r="CB76" s="253"/>
      <c r="CC76" s="253"/>
      <c r="CD76" s="253"/>
      <c r="CE76" s="253"/>
      <c r="CF76" s="253"/>
      <c r="CG76" s="253"/>
      <c r="CH76" s="253"/>
      <c r="CI76" s="253"/>
      <c r="CJ76" s="253"/>
      <c r="CK76" s="253"/>
      <c r="CL76" s="253"/>
      <c r="CM76" s="253"/>
      <c r="CN76" s="253"/>
      <c r="CO76" s="253"/>
      <c r="CP76" s="253"/>
      <c r="CQ76" s="253"/>
      <c r="CR76" s="253"/>
      <c r="CS76" s="253"/>
      <c r="CT76" s="253"/>
      <c r="CU76" s="253"/>
      <c r="CV76" s="253"/>
      <c r="CW76" s="253"/>
      <c r="CX76" s="253"/>
      <c r="CY76" s="253"/>
      <c r="CZ76" s="253"/>
      <c r="DA76" s="253"/>
      <c r="DB76" s="253"/>
      <c r="DC76" s="253"/>
      <c r="DD76" s="253"/>
      <c r="DE76" s="253"/>
      <c r="DF76" s="253"/>
      <c r="DG76" s="253"/>
      <c r="DH76" s="253"/>
      <c r="DI76" s="253"/>
      <c r="DJ76" s="253"/>
      <c r="DK76" s="253"/>
      <c r="DL76" s="253"/>
      <c r="DM76" s="253"/>
      <c r="DN76" s="253"/>
      <c r="DO76" s="253"/>
      <c r="DP76" s="253"/>
      <c r="DQ76" s="253"/>
      <c r="DR76" s="253"/>
      <c r="DS76" s="253"/>
      <c r="DT76" s="253"/>
      <c r="DU76" s="253"/>
      <c r="DV76" s="253"/>
      <c r="DW76" s="253"/>
      <c r="DX76" s="253"/>
      <c r="DY76" s="253"/>
      <c r="DZ76" s="253"/>
      <c r="EA76" s="253"/>
      <c r="EB76" s="253"/>
      <c r="EC76" s="253"/>
      <c r="ED76" s="253"/>
      <c r="EE76" s="253"/>
      <c r="EF76" s="253"/>
      <c r="EG76" s="253"/>
      <c r="EH76" s="253"/>
      <c r="EI76" s="253"/>
      <c r="EJ76" s="253"/>
      <c r="EK76" s="253"/>
      <c r="EL76" s="253"/>
      <c r="EM76" s="253"/>
      <c r="EN76" s="253"/>
      <c r="EO76" s="253"/>
      <c r="EP76" s="253"/>
      <c r="EQ76" s="253"/>
      <c r="ER76" s="253"/>
      <c r="ES76" s="253"/>
      <c r="ET76" s="253"/>
      <c r="EU76" s="253"/>
      <c r="EV76" s="253"/>
      <c r="EW76" s="253"/>
      <c r="EX76" s="253"/>
      <c r="EY76" s="253"/>
      <c r="EZ76" s="253"/>
      <c r="FA76" s="253"/>
      <c r="FB76" s="253"/>
      <c r="FC76" s="253"/>
      <c r="FD76" s="253"/>
      <c r="FE76" s="253"/>
      <c r="FF76" s="253"/>
      <c r="FG76" s="256"/>
      <c r="FH76" s="257" t="s">
        <v>892</v>
      </c>
      <c r="FI76" s="258" t="s">
        <v>389</v>
      </c>
      <c r="FJ76" s="258" t="s">
        <v>435</v>
      </c>
      <c r="FK76" s="258" t="s">
        <v>420</v>
      </c>
      <c r="FL76" s="259">
        <f t="shared" si="7"/>
        <v>0</v>
      </c>
      <c r="FM76" s="260" t="s">
        <v>421</v>
      </c>
      <c r="FN76" s="260"/>
    </row>
    <row r="77" spans="1:170">
      <c r="A77" s="251" t="s">
        <v>393</v>
      </c>
      <c r="B77" s="251" t="s">
        <v>385</v>
      </c>
      <c r="C77" s="251" t="s">
        <v>411</v>
      </c>
      <c r="D77" s="251" t="s">
        <v>291</v>
      </c>
      <c r="E77" s="252" t="s">
        <v>440</v>
      </c>
      <c r="F77" s="251" t="s">
        <v>388</v>
      </c>
      <c r="G77" s="251"/>
      <c r="H77" s="253"/>
      <c r="I77" s="255">
        <f>300-300</f>
        <v>0</v>
      </c>
      <c r="J77" s="253"/>
      <c r="K77" s="255">
        <f>300-300</f>
        <v>0</v>
      </c>
      <c r="L77" s="253"/>
      <c r="M77" s="253"/>
      <c r="N77" s="255">
        <f>1000-1000</f>
        <v>0</v>
      </c>
      <c r="O77" s="253"/>
      <c r="P77" s="253"/>
      <c r="Q77" s="253"/>
      <c r="R77" s="255">
        <f>500-500</f>
        <v>0</v>
      </c>
      <c r="S77" s="253"/>
      <c r="T77" s="253"/>
      <c r="U77" s="255">
        <f>500-500</f>
        <v>0</v>
      </c>
      <c r="V77" s="253"/>
      <c r="W77" s="253"/>
      <c r="X77" s="253"/>
      <c r="Y77" s="253"/>
      <c r="Z77" s="253"/>
      <c r="AA77" s="253"/>
      <c r="AB77" s="253"/>
      <c r="AC77" s="253"/>
      <c r="AD77" s="253"/>
      <c r="AE77" s="253"/>
      <c r="AF77" s="253"/>
      <c r="AG77" s="254">
        <f>0+20</f>
        <v>20</v>
      </c>
      <c r="AH77" s="253"/>
      <c r="AI77" s="255">
        <f>500-500</f>
        <v>0</v>
      </c>
      <c r="AJ77" s="255">
        <f>500-500</f>
        <v>0</v>
      </c>
      <c r="AK77" s="253"/>
      <c r="AL77" s="253"/>
      <c r="AM77" s="253"/>
      <c r="AN77" s="254">
        <f>0+1</f>
        <v>1</v>
      </c>
      <c r="AO77" s="253"/>
      <c r="AP77" s="253"/>
      <c r="AQ77" s="253"/>
      <c r="AR77" s="253"/>
      <c r="AS77" s="255">
        <f>800-800</f>
        <v>0</v>
      </c>
      <c r="AT77" s="255">
        <f>800-800</f>
        <v>0</v>
      </c>
      <c r="AU77" s="253"/>
      <c r="AV77" s="253"/>
      <c r="AW77" s="253"/>
      <c r="AX77" s="253"/>
      <c r="AY77" s="253"/>
      <c r="AZ77" s="253"/>
      <c r="BA77" s="255">
        <f>800-800</f>
        <v>0</v>
      </c>
      <c r="BB77" s="253"/>
      <c r="BC77" s="253"/>
      <c r="BD77" s="253"/>
      <c r="BE77" s="253"/>
      <c r="BF77" s="253"/>
      <c r="BG77" s="255">
        <f>800-800</f>
        <v>0</v>
      </c>
      <c r="BH77" s="253"/>
      <c r="BI77" s="253"/>
      <c r="BJ77" s="253"/>
      <c r="BK77" s="253"/>
      <c r="BL77" s="253"/>
      <c r="BM77" s="253"/>
      <c r="BN77" s="253"/>
      <c r="BO77" s="253"/>
      <c r="BP77" s="253"/>
      <c r="BQ77" s="253"/>
      <c r="BR77" s="253"/>
      <c r="BS77" s="253"/>
      <c r="BT77" s="253"/>
      <c r="BU77" s="253"/>
      <c r="BV77" s="253"/>
      <c r="BW77" s="253"/>
      <c r="BX77" s="253"/>
      <c r="BY77" s="253"/>
      <c r="BZ77" s="253"/>
      <c r="CA77" s="253"/>
      <c r="CB77" s="253"/>
      <c r="CC77" s="253"/>
      <c r="CD77" s="253"/>
      <c r="CE77" s="253"/>
      <c r="CF77" s="253"/>
      <c r="CG77" s="253"/>
      <c r="CH77" s="253"/>
      <c r="CI77" s="253"/>
      <c r="CJ77" s="253"/>
      <c r="CK77" s="253"/>
      <c r="CL77" s="253"/>
      <c r="CM77" s="253"/>
      <c r="CN77" s="253"/>
      <c r="CO77" s="253"/>
      <c r="CP77" s="253"/>
      <c r="CQ77" s="253"/>
      <c r="CR77" s="253"/>
      <c r="CS77" s="253"/>
      <c r="CT77" s="253"/>
      <c r="CU77" s="253"/>
      <c r="CV77" s="253"/>
      <c r="CW77" s="253"/>
      <c r="CX77" s="253"/>
      <c r="CY77" s="253"/>
      <c r="CZ77" s="253"/>
      <c r="DA77" s="253"/>
      <c r="DB77" s="253"/>
      <c r="DC77" s="253"/>
      <c r="DD77" s="253"/>
      <c r="DE77" s="253"/>
      <c r="DF77" s="253"/>
      <c r="DG77" s="253"/>
      <c r="DH77" s="253"/>
      <c r="DI77" s="253"/>
      <c r="DJ77" s="253"/>
      <c r="DK77" s="253"/>
      <c r="DL77" s="253"/>
      <c r="DM77" s="253"/>
      <c r="DN77" s="253"/>
      <c r="DO77" s="255">
        <f>210-210</f>
        <v>0</v>
      </c>
      <c r="DP77" s="255">
        <f>200-200</f>
        <v>0</v>
      </c>
      <c r="DQ77" s="253"/>
      <c r="DR77" s="253"/>
      <c r="DS77" s="253"/>
      <c r="DT77" s="255">
        <f>200-200</f>
        <v>0</v>
      </c>
      <c r="DU77" s="255">
        <f>210-210</f>
        <v>0</v>
      </c>
      <c r="DV77" s="253"/>
      <c r="DW77" s="253"/>
      <c r="DX77" s="253"/>
      <c r="DY77" s="253"/>
      <c r="DZ77" s="253"/>
      <c r="EA77" s="253"/>
      <c r="EB77" s="253"/>
      <c r="EC77" s="253"/>
      <c r="ED77" s="253"/>
      <c r="EE77" s="253"/>
      <c r="EF77" s="253"/>
      <c r="EG77" s="253"/>
      <c r="EH77" s="253"/>
      <c r="EI77" s="253"/>
      <c r="EJ77" s="253"/>
      <c r="EK77" s="253"/>
      <c r="EL77" s="253"/>
      <c r="EM77" s="253"/>
      <c r="EN77" s="253"/>
      <c r="EO77" s="253"/>
      <c r="EP77" s="253"/>
      <c r="EQ77" s="253"/>
      <c r="ER77" s="253"/>
      <c r="ES77" s="253"/>
      <c r="ET77" s="253"/>
      <c r="EU77" s="253"/>
      <c r="EV77" s="253"/>
      <c r="EW77" s="253"/>
      <c r="EX77" s="253"/>
      <c r="EY77" s="253"/>
      <c r="EZ77" s="253"/>
      <c r="FA77" s="253"/>
      <c r="FB77" s="253"/>
      <c r="FC77" s="253"/>
      <c r="FD77" s="253"/>
      <c r="FE77" s="253"/>
      <c r="FF77" s="253"/>
      <c r="FG77" s="256"/>
      <c r="FH77" s="257" t="s">
        <v>892</v>
      </c>
      <c r="FI77" s="258" t="s">
        <v>389</v>
      </c>
      <c r="FJ77" s="258"/>
      <c r="FK77" s="258" t="s">
        <v>423</v>
      </c>
      <c r="FL77" s="259">
        <f t="shared" si="7"/>
        <v>21</v>
      </c>
      <c r="FM77" s="260" t="s">
        <v>424</v>
      </c>
      <c r="FN77" s="260"/>
    </row>
    <row r="78" spans="1:170">
      <c r="A78" s="251" t="s">
        <v>393</v>
      </c>
      <c r="B78" s="251" t="s">
        <v>385</v>
      </c>
      <c r="C78" s="251" t="s">
        <v>411</v>
      </c>
      <c r="D78" s="251" t="s">
        <v>1</v>
      </c>
      <c r="E78" s="252" t="s">
        <v>440</v>
      </c>
      <c r="F78" s="251" t="s">
        <v>388</v>
      </c>
      <c r="G78" s="251"/>
      <c r="H78" s="253"/>
      <c r="I78" s="253"/>
      <c r="J78" s="253"/>
      <c r="K78" s="253"/>
      <c r="L78" s="255">
        <f>300-300</f>
        <v>0</v>
      </c>
      <c r="M78" s="253"/>
      <c r="N78" s="253"/>
      <c r="O78" s="253"/>
      <c r="P78" s="255">
        <f>1000-1000</f>
        <v>0</v>
      </c>
      <c r="Q78" s="255">
        <f>500-500</f>
        <v>0</v>
      </c>
      <c r="R78" s="253"/>
      <c r="S78" s="253"/>
      <c r="T78" s="255">
        <f>500-500</f>
        <v>0</v>
      </c>
      <c r="U78" s="253"/>
      <c r="V78" s="255">
        <f>500-500</f>
        <v>0</v>
      </c>
      <c r="W78" s="255">
        <f>500-500</f>
        <v>0</v>
      </c>
      <c r="X78" s="255">
        <f>500-500</f>
        <v>0</v>
      </c>
      <c r="Y78" s="253"/>
      <c r="Z78" s="253"/>
      <c r="AA78" s="253"/>
      <c r="AB78" s="253"/>
      <c r="AC78" s="255">
        <f>500-500</f>
        <v>0</v>
      </c>
      <c r="AD78" s="255">
        <f>1000-1000</f>
        <v>0</v>
      </c>
      <c r="AE78" s="255">
        <f>500-500</f>
        <v>0</v>
      </c>
      <c r="AF78" s="253"/>
      <c r="AG78" s="255">
        <f>500-500</f>
        <v>0</v>
      </c>
      <c r="AH78" s="255">
        <f>500-500</f>
        <v>0</v>
      </c>
      <c r="AI78" s="253"/>
      <c r="AJ78" s="253"/>
      <c r="AK78" s="255">
        <f>800-800</f>
        <v>0</v>
      </c>
      <c r="AL78" s="253"/>
      <c r="AM78" s="255">
        <f>800-800</f>
        <v>0</v>
      </c>
      <c r="AN78" s="255">
        <f>800-800</f>
        <v>0</v>
      </c>
      <c r="AO78" s="255">
        <f>800-800</f>
        <v>0</v>
      </c>
      <c r="AP78" s="253"/>
      <c r="AQ78" s="253"/>
      <c r="AR78" s="253"/>
      <c r="AS78" s="253"/>
      <c r="AT78" s="253"/>
      <c r="AU78" s="255">
        <f>800-800</f>
        <v>0</v>
      </c>
      <c r="AV78" s="254">
        <f>800-800+20</f>
        <v>20</v>
      </c>
      <c r="AW78" s="255">
        <f>800-800</f>
        <v>0</v>
      </c>
      <c r="AX78" s="253"/>
      <c r="AY78" s="253"/>
      <c r="AZ78" s="255">
        <f>800-800</f>
        <v>0</v>
      </c>
      <c r="BA78" s="253"/>
      <c r="BB78" s="253"/>
      <c r="BC78" s="255">
        <f>200-200</f>
        <v>0</v>
      </c>
      <c r="BD78" s="255">
        <f>600-600</f>
        <v>0</v>
      </c>
      <c r="BE78" s="253"/>
      <c r="BF78" s="253"/>
      <c r="BG78" s="253"/>
      <c r="BH78" s="255">
        <f>800-800</f>
        <v>0</v>
      </c>
      <c r="BI78" s="253"/>
      <c r="BJ78" s="253"/>
      <c r="BK78" s="253"/>
      <c r="BL78" s="253"/>
      <c r="BM78" s="253"/>
      <c r="BN78" s="253"/>
      <c r="BO78" s="253"/>
      <c r="BP78" s="253"/>
      <c r="BQ78" s="253"/>
      <c r="BR78" s="253"/>
      <c r="BS78" s="253"/>
      <c r="BT78" s="253"/>
      <c r="BU78" s="253"/>
      <c r="BV78" s="253"/>
      <c r="BW78" s="253"/>
      <c r="BX78" s="253"/>
      <c r="BY78" s="253"/>
      <c r="BZ78" s="253"/>
      <c r="CA78" s="253"/>
      <c r="CB78" s="253"/>
      <c r="CC78" s="253"/>
      <c r="CD78" s="253"/>
      <c r="CE78" s="253"/>
      <c r="CF78" s="253"/>
      <c r="CG78" s="253"/>
      <c r="CH78" s="253"/>
      <c r="CI78" s="253"/>
      <c r="CJ78" s="253"/>
      <c r="CK78" s="253"/>
      <c r="CL78" s="253"/>
      <c r="CM78" s="253"/>
      <c r="CN78" s="253"/>
      <c r="CO78" s="253"/>
      <c r="CP78" s="253"/>
      <c r="CQ78" s="253"/>
      <c r="CR78" s="253"/>
      <c r="CS78" s="253"/>
      <c r="CT78" s="253"/>
      <c r="CU78" s="253"/>
      <c r="CV78" s="253"/>
      <c r="CW78" s="253"/>
      <c r="CX78" s="253"/>
      <c r="CY78" s="253"/>
      <c r="CZ78" s="253"/>
      <c r="DA78" s="253"/>
      <c r="DB78" s="253"/>
      <c r="DC78" s="253"/>
      <c r="DD78" s="253"/>
      <c r="DE78" s="253"/>
      <c r="DF78" s="253"/>
      <c r="DG78" s="253"/>
      <c r="DH78" s="253"/>
      <c r="DI78" s="253"/>
      <c r="DJ78" s="253"/>
      <c r="DK78" s="253"/>
      <c r="DL78" s="253"/>
      <c r="DM78" s="253"/>
      <c r="DN78" s="253"/>
      <c r="DO78" s="253"/>
      <c r="DP78" s="253"/>
      <c r="DQ78" s="254">
        <f>210-210+210</f>
        <v>210</v>
      </c>
      <c r="DR78" s="255">
        <f>210-210</f>
        <v>0</v>
      </c>
      <c r="DS78" s="253"/>
      <c r="DT78" s="253"/>
      <c r="DU78" s="253"/>
      <c r="DV78" s="253"/>
      <c r="DW78" s="253"/>
      <c r="DX78" s="253"/>
      <c r="DY78" s="253"/>
      <c r="DZ78" s="255">
        <f>800-800</f>
        <v>0</v>
      </c>
      <c r="EA78" s="255">
        <f>800-800</f>
        <v>0</v>
      </c>
      <c r="EB78" s="255">
        <f>1000-1000</f>
        <v>0</v>
      </c>
      <c r="EC78" s="253"/>
      <c r="ED78" s="255">
        <f>1000-1000</f>
        <v>0</v>
      </c>
      <c r="EE78" s="255">
        <f>500-500</f>
        <v>0</v>
      </c>
      <c r="EF78" s="255">
        <f>1000-1000</f>
        <v>0</v>
      </c>
      <c r="EG78" s="255">
        <f>1000-1000</f>
        <v>0</v>
      </c>
      <c r="EH78" s="253"/>
      <c r="EI78" s="255">
        <f>1000-1000</f>
        <v>0</v>
      </c>
      <c r="EJ78" s="253"/>
      <c r="EK78" s="253"/>
      <c r="EL78" s="253"/>
      <c r="EM78" s="253"/>
      <c r="EN78" s="253"/>
      <c r="EO78" s="253"/>
      <c r="EP78" s="253"/>
      <c r="EQ78" s="253"/>
      <c r="ER78" s="253"/>
      <c r="ES78" s="253"/>
      <c r="ET78" s="253"/>
      <c r="EU78" s="253"/>
      <c r="EV78" s="253"/>
      <c r="EW78" s="253"/>
      <c r="EX78" s="253"/>
      <c r="EY78" s="253"/>
      <c r="EZ78" s="253"/>
      <c r="FA78" s="253"/>
      <c r="FB78" s="253"/>
      <c r="FC78" s="255">
        <f>500-500</f>
        <v>0</v>
      </c>
      <c r="FD78" s="255">
        <f>500-500</f>
        <v>0</v>
      </c>
      <c r="FE78" s="253"/>
      <c r="FF78" s="253"/>
      <c r="FG78" s="256"/>
      <c r="FH78" s="257" t="s">
        <v>892</v>
      </c>
      <c r="FI78" s="258" t="s">
        <v>389</v>
      </c>
      <c r="FJ78" s="258"/>
      <c r="FK78" s="258" t="s">
        <v>423</v>
      </c>
      <c r="FL78" s="259">
        <f t="shared" si="7"/>
        <v>230</v>
      </c>
      <c r="FM78" s="260" t="s">
        <v>424</v>
      </c>
      <c r="FN78" s="260"/>
    </row>
    <row r="79" spans="1:170">
      <c r="A79" s="251" t="s">
        <v>393</v>
      </c>
      <c r="B79" s="251" t="s">
        <v>385</v>
      </c>
      <c r="C79" s="251" t="s">
        <v>411</v>
      </c>
      <c r="D79" s="251" t="s">
        <v>293</v>
      </c>
      <c r="E79" s="252" t="s">
        <v>440</v>
      </c>
      <c r="F79" s="251" t="s">
        <v>388</v>
      </c>
      <c r="G79" s="251"/>
      <c r="H79" s="253"/>
      <c r="I79" s="253"/>
      <c r="J79" s="255">
        <f>300-300</f>
        <v>0</v>
      </c>
      <c r="K79" s="253"/>
      <c r="L79" s="253"/>
      <c r="M79" s="253"/>
      <c r="N79" s="253"/>
      <c r="O79" s="253"/>
      <c r="P79" s="253"/>
      <c r="Q79" s="253"/>
      <c r="R79" s="253"/>
      <c r="S79" s="253"/>
      <c r="T79" s="253"/>
      <c r="U79" s="253"/>
      <c r="V79" s="253"/>
      <c r="W79" s="253"/>
      <c r="X79" s="253"/>
      <c r="Y79" s="253"/>
      <c r="Z79" s="253"/>
      <c r="AA79" s="253"/>
      <c r="AB79" s="253"/>
      <c r="AC79" s="253"/>
      <c r="AD79" s="253"/>
      <c r="AE79" s="253"/>
      <c r="AF79" s="253"/>
      <c r="AG79" s="253"/>
      <c r="AH79" s="253"/>
      <c r="AI79" s="253"/>
      <c r="AJ79" s="253"/>
      <c r="AK79" s="253"/>
      <c r="AL79" s="253"/>
      <c r="AM79" s="253"/>
      <c r="AN79" s="253"/>
      <c r="AO79" s="253"/>
      <c r="AP79" s="253"/>
      <c r="AQ79" s="253"/>
      <c r="AR79" s="253"/>
      <c r="AS79" s="253"/>
      <c r="AT79" s="253"/>
      <c r="AU79" s="253"/>
      <c r="AV79" s="253"/>
      <c r="AW79" s="253"/>
      <c r="AX79" s="253"/>
      <c r="AY79" s="253"/>
      <c r="AZ79" s="253"/>
      <c r="BA79" s="253"/>
      <c r="BB79" s="253"/>
      <c r="BC79" s="253"/>
      <c r="BD79" s="253"/>
      <c r="BE79" s="253"/>
      <c r="BF79" s="253"/>
      <c r="BG79" s="253"/>
      <c r="BH79" s="253"/>
      <c r="BI79" s="253"/>
      <c r="BJ79" s="253"/>
      <c r="BK79" s="253"/>
      <c r="BL79" s="253"/>
      <c r="BM79" s="253"/>
      <c r="BN79" s="253"/>
      <c r="BO79" s="253"/>
      <c r="BP79" s="253"/>
      <c r="BQ79" s="253"/>
      <c r="BR79" s="253"/>
      <c r="BS79" s="253"/>
      <c r="BT79" s="253"/>
      <c r="BU79" s="253"/>
      <c r="BV79" s="253"/>
      <c r="BW79" s="253"/>
      <c r="BX79" s="253"/>
      <c r="BY79" s="253"/>
      <c r="BZ79" s="253"/>
      <c r="CA79" s="253"/>
      <c r="CB79" s="253"/>
      <c r="CC79" s="253"/>
      <c r="CD79" s="253"/>
      <c r="CE79" s="253"/>
      <c r="CF79" s="253"/>
      <c r="CG79" s="253"/>
      <c r="CH79" s="253"/>
      <c r="CI79" s="253"/>
      <c r="CJ79" s="253"/>
      <c r="CK79" s="253"/>
      <c r="CL79" s="253"/>
      <c r="CM79" s="253"/>
      <c r="CN79" s="253"/>
      <c r="CO79" s="253"/>
      <c r="CP79" s="253"/>
      <c r="CQ79" s="253"/>
      <c r="CR79" s="253"/>
      <c r="CS79" s="253"/>
      <c r="CT79" s="253"/>
      <c r="CU79" s="253"/>
      <c r="CV79" s="253"/>
      <c r="CW79" s="253"/>
      <c r="CX79" s="253"/>
      <c r="CY79" s="253"/>
      <c r="CZ79" s="253"/>
      <c r="DA79" s="253"/>
      <c r="DB79" s="253"/>
      <c r="DC79" s="253"/>
      <c r="DD79" s="253"/>
      <c r="DE79" s="253"/>
      <c r="DF79" s="253"/>
      <c r="DG79" s="253"/>
      <c r="DH79" s="253"/>
      <c r="DI79" s="253"/>
      <c r="DJ79" s="253"/>
      <c r="DK79" s="253"/>
      <c r="DL79" s="253"/>
      <c r="DM79" s="253"/>
      <c r="DN79" s="253"/>
      <c r="DO79" s="253"/>
      <c r="DP79" s="253"/>
      <c r="DQ79" s="253"/>
      <c r="DR79" s="253"/>
      <c r="DS79" s="253"/>
      <c r="DT79" s="253"/>
      <c r="DU79" s="253"/>
      <c r="DV79" s="253"/>
      <c r="DW79" s="253"/>
      <c r="DX79" s="253"/>
      <c r="DY79" s="253"/>
      <c r="DZ79" s="253"/>
      <c r="EA79" s="253"/>
      <c r="EB79" s="253"/>
      <c r="EC79" s="253"/>
      <c r="ED79" s="253"/>
      <c r="EE79" s="253"/>
      <c r="EF79" s="253"/>
      <c r="EG79" s="253"/>
      <c r="EH79" s="253"/>
      <c r="EI79" s="253"/>
      <c r="EJ79" s="253"/>
      <c r="EK79" s="253"/>
      <c r="EL79" s="253"/>
      <c r="EM79" s="253"/>
      <c r="EN79" s="253"/>
      <c r="EO79" s="253"/>
      <c r="EP79" s="253"/>
      <c r="EQ79" s="253"/>
      <c r="ER79" s="253"/>
      <c r="ES79" s="253"/>
      <c r="ET79" s="253"/>
      <c r="EU79" s="253"/>
      <c r="EV79" s="253"/>
      <c r="EW79" s="253"/>
      <c r="EX79" s="253"/>
      <c r="EY79" s="253"/>
      <c r="EZ79" s="253"/>
      <c r="FA79" s="253"/>
      <c r="FB79" s="253"/>
      <c r="FC79" s="253"/>
      <c r="FD79" s="253"/>
      <c r="FE79" s="253"/>
      <c r="FF79" s="253"/>
      <c r="FG79" s="256"/>
      <c r="FH79" s="257" t="s">
        <v>892</v>
      </c>
      <c r="FI79" s="258" t="s">
        <v>389</v>
      </c>
      <c r="FJ79" s="258"/>
      <c r="FK79" s="258" t="s">
        <v>423</v>
      </c>
      <c r="FL79" s="259">
        <f t="shared" si="7"/>
        <v>0</v>
      </c>
      <c r="FM79" s="260" t="s">
        <v>424</v>
      </c>
      <c r="FN79" s="260"/>
    </row>
    <row r="80" spans="1:170">
      <c r="A80" s="251" t="s">
        <v>393</v>
      </c>
      <c r="B80" s="251" t="s">
        <v>385</v>
      </c>
      <c r="C80" s="251" t="s">
        <v>411</v>
      </c>
      <c r="D80" s="251" t="s">
        <v>291</v>
      </c>
      <c r="E80" s="252" t="s">
        <v>441</v>
      </c>
      <c r="F80" s="251" t="s">
        <v>388</v>
      </c>
      <c r="G80" s="251"/>
      <c r="H80" s="253"/>
      <c r="I80" s="253"/>
      <c r="J80" s="253"/>
      <c r="K80" s="253"/>
      <c r="L80" s="253"/>
      <c r="M80" s="253"/>
      <c r="N80" s="255">
        <f>60-60</f>
        <v>0</v>
      </c>
      <c r="O80" s="253"/>
      <c r="P80" s="253"/>
      <c r="Q80" s="253"/>
      <c r="R80" s="255">
        <f>100-100</f>
        <v>0</v>
      </c>
      <c r="S80" s="253"/>
      <c r="T80" s="253"/>
      <c r="U80" s="255">
        <f>20-20</f>
        <v>0</v>
      </c>
      <c r="V80" s="253"/>
      <c r="W80" s="253"/>
      <c r="X80" s="253"/>
      <c r="Y80" s="253"/>
      <c r="Z80" s="253"/>
      <c r="AA80" s="253"/>
      <c r="AB80" s="253"/>
      <c r="AC80" s="253"/>
      <c r="AD80" s="253"/>
      <c r="AE80" s="253"/>
      <c r="AF80" s="253"/>
      <c r="AG80" s="254">
        <f>0+20</f>
        <v>20</v>
      </c>
      <c r="AH80" s="253"/>
      <c r="AI80" s="255">
        <f>200-200</f>
        <v>0</v>
      </c>
      <c r="AJ80" s="255">
        <f>200-200</f>
        <v>0</v>
      </c>
      <c r="AK80" s="253"/>
      <c r="AL80" s="253"/>
      <c r="AM80" s="253"/>
      <c r="AN80" s="253"/>
      <c r="AO80" s="253"/>
      <c r="AP80" s="253"/>
      <c r="AQ80" s="255">
        <f>100-100</f>
        <v>0</v>
      </c>
      <c r="AR80" s="253"/>
      <c r="AS80" s="253"/>
      <c r="AT80" s="253"/>
      <c r="AU80" s="253"/>
      <c r="AV80" s="253"/>
      <c r="AW80" s="253"/>
      <c r="AX80" s="253"/>
      <c r="AY80" s="253"/>
      <c r="AZ80" s="253"/>
      <c r="BA80" s="253"/>
      <c r="BB80" s="253"/>
      <c r="BC80" s="253"/>
      <c r="BD80" s="253"/>
      <c r="BE80" s="253"/>
      <c r="BF80" s="253"/>
      <c r="BG80" s="255">
        <f>100-100</f>
        <v>0</v>
      </c>
      <c r="BH80" s="253"/>
      <c r="BI80" s="253"/>
      <c r="BJ80" s="253"/>
      <c r="BK80" s="253"/>
      <c r="BL80" s="253"/>
      <c r="BM80" s="253"/>
      <c r="BN80" s="253"/>
      <c r="BO80" s="253"/>
      <c r="BP80" s="253"/>
      <c r="BQ80" s="253"/>
      <c r="BR80" s="253"/>
      <c r="BS80" s="253"/>
      <c r="BT80" s="253"/>
      <c r="BU80" s="253"/>
      <c r="BV80" s="253"/>
      <c r="BW80" s="253"/>
      <c r="BX80" s="253"/>
      <c r="BY80" s="253"/>
      <c r="BZ80" s="253"/>
      <c r="CA80" s="253"/>
      <c r="CB80" s="253"/>
      <c r="CC80" s="253"/>
      <c r="CD80" s="253"/>
      <c r="CE80" s="253"/>
      <c r="CF80" s="253"/>
      <c r="CG80" s="253"/>
      <c r="CH80" s="253"/>
      <c r="CI80" s="253"/>
      <c r="CJ80" s="253"/>
      <c r="CK80" s="253"/>
      <c r="CL80" s="253"/>
      <c r="CM80" s="253"/>
      <c r="CN80" s="253"/>
      <c r="CO80" s="253"/>
      <c r="CP80" s="253"/>
      <c r="CQ80" s="253"/>
      <c r="CR80" s="253"/>
      <c r="CS80" s="253"/>
      <c r="CT80" s="253"/>
      <c r="CU80" s="253"/>
      <c r="CV80" s="253"/>
      <c r="CW80" s="253"/>
      <c r="CX80" s="253"/>
      <c r="CY80" s="253"/>
      <c r="CZ80" s="253"/>
      <c r="DA80" s="253"/>
      <c r="DB80" s="253"/>
      <c r="DC80" s="253"/>
      <c r="DD80" s="253"/>
      <c r="DE80" s="253"/>
      <c r="DF80" s="253"/>
      <c r="DG80" s="253"/>
      <c r="DH80" s="253"/>
      <c r="DI80" s="253"/>
      <c r="DJ80" s="253"/>
      <c r="DK80" s="253"/>
      <c r="DL80" s="253"/>
      <c r="DM80" s="253"/>
      <c r="DN80" s="253"/>
      <c r="DO80" s="253"/>
      <c r="DP80" s="253"/>
      <c r="DQ80" s="253"/>
      <c r="DR80" s="253"/>
      <c r="DS80" s="253"/>
      <c r="DT80" s="253"/>
      <c r="DU80" s="253"/>
      <c r="DV80" s="253"/>
      <c r="DW80" s="253"/>
      <c r="DX80" s="253"/>
      <c r="DY80" s="253"/>
      <c r="DZ80" s="253"/>
      <c r="EA80" s="253"/>
      <c r="EB80" s="253"/>
      <c r="EC80" s="253"/>
      <c r="ED80" s="253"/>
      <c r="EE80" s="253"/>
      <c r="EF80" s="253"/>
      <c r="EG80" s="253"/>
      <c r="EH80" s="253"/>
      <c r="EI80" s="253"/>
      <c r="EJ80" s="253"/>
      <c r="EK80" s="253"/>
      <c r="EL80" s="253"/>
      <c r="EM80" s="253"/>
      <c r="EN80" s="253"/>
      <c r="EO80" s="253"/>
      <c r="EP80" s="253"/>
      <c r="EQ80" s="253"/>
      <c r="ER80" s="253"/>
      <c r="ES80" s="253"/>
      <c r="ET80" s="253"/>
      <c r="EU80" s="253"/>
      <c r="EV80" s="253"/>
      <c r="EW80" s="253"/>
      <c r="EX80" s="253"/>
      <c r="EY80" s="253"/>
      <c r="EZ80" s="253"/>
      <c r="FA80" s="253"/>
      <c r="FB80" s="253"/>
      <c r="FC80" s="253"/>
      <c r="FD80" s="253"/>
      <c r="FE80" s="253"/>
      <c r="FF80" s="253"/>
      <c r="FG80" s="256"/>
      <c r="FH80" s="257" t="s">
        <v>892</v>
      </c>
      <c r="FI80" s="258" t="s">
        <v>389</v>
      </c>
      <c r="FJ80" s="258"/>
      <c r="FK80" s="258" t="s">
        <v>423</v>
      </c>
      <c r="FL80" s="259">
        <f t="shared" si="7"/>
        <v>20</v>
      </c>
      <c r="FM80" s="260" t="s">
        <v>424</v>
      </c>
      <c r="FN80" s="260"/>
    </row>
    <row r="81" spans="1:170">
      <c r="A81" s="251" t="s">
        <v>393</v>
      </c>
      <c r="B81" s="251" t="s">
        <v>385</v>
      </c>
      <c r="C81" s="251" t="s">
        <v>411</v>
      </c>
      <c r="D81" s="251" t="s">
        <v>1</v>
      </c>
      <c r="E81" s="252" t="s">
        <v>441</v>
      </c>
      <c r="F81" s="251" t="s">
        <v>388</v>
      </c>
      <c r="G81" s="251"/>
      <c r="H81" s="253"/>
      <c r="I81" s="253"/>
      <c r="J81" s="253"/>
      <c r="K81" s="253"/>
      <c r="L81" s="253"/>
      <c r="M81" s="253"/>
      <c r="N81" s="253"/>
      <c r="O81" s="253"/>
      <c r="P81" s="255">
        <f>60-60</f>
        <v>0</v>
      </c>
      <c r="Q81" s="255">
        <f>60-60</f>
        <v>0</v>
      </c>
      <c r="R81" s="253"/>
      <c r="S81" s="253"/>
      <c r="T81" s="255">
        <f>20-20</f>
        <v>0</v>
      </c>
      <c r="U81" s="253"/>
      <c r="V81" s="255">
        <f>100-100</f>
        <v>0</v>
      </c>
      <c r="W81" s="255">
        <f>100-100</f>
        <v>0</v>
      </c>
      <c r="X81" s="253"/>
      <c r="Y81" s="253"/>
      <c r="Z81" s="255">
        <f>100-100</f>
        <v>0</v>
      </c>
      <c r="AA81" s="253"/>
      <c r="AB81" s="255">
        <f>100-100</f>
        <v>0</v>
      </c>
      <c r="AC81" s="255">
        <f>200-200</f>
        <v>0</v>
      </c>
      <c r="AD81" s="255">
        <f>200-200</f>
        <v>0</v>
      </c>
      <c r="AE81" s="255">
        <f>100-100</f>
        <v>0</v>
      </c>
      <c r="AF81" s="255">
        <f>100-100</f>
        <v>0</v>
      </c>
      <c r="AG81" s="255">
        <f>200-200</f>
        <v>0</v>
      </c>
      <c r="AH81" s="255">
        <f>100-100</f>
        <v>0</v>
      </c>
      <c r="AI81" s="253"/>
      <c r="AJ81" s="253"/>
      <c r="AK81" s="255">
        <f>100-100</f>
        <v>0</v>
      </c>
      <c r="AL81" s="253"/>
      <c r="AM81" s="253"/>
      <c r="AN81" s="253"/>
      <c r="AO81" s="255">
        <f>100-100</f>
        <v>0</v>
      </c>
      <c r="AP81" s="253"/>
      <c r="AQ81" s="253"/>
      <c r="AR81" s="253"/>
      <c r="AS81" s="253"/>
      <c r="AT81" s="253"/>
      <c r="AU81" s="253"/>
      <c r="AV81" s="253"/>
      <c r="AW81" s="255">
        <f>400-400</f>
        <v>0</v>
      </c>
      <c r="AX81" s="253"/>
      <c r="AY81" s="253"/>
      <c r="AZ81" s="253"/>
      <c r="BA81" s="253"/>
      <c r="BB81" s="253"/>
      <c r="BC81" s="255">
        <f>100-100</f>
        <v>0</v>
      </c>
      <c r="BD81" s="253"/>
      <c r="BE81" s="253"/>
      <c r="BF81" s="253"/>
      <c r="BG81" s="253"/>
      <c r="BH81" s="253"/>
      <c r="BI81" s="253"/>
      <c r="BJ81" s="253"/>
      <c r="BK81" s="253"/>
      <c r="BL81" s="253"/>
      <c r="BM81" s="253"/>
      <c r="BN81" s="253"/>
      <c r="BO81" s="253"/>
      <c r="BP81" s="253"/>
      <c r="BQ81" s="253"/>
      <c r="BR81" s="253"/>
      <c r="BS81" s="253"/>
      <c r="BT81" s="253"/>
      <c r="BU81" s="253"/>
      <c r="BV81" s="253"/>
      <c r="BW81" s="253"/>
      <c r="BX81" s="253"/>
      <c r="BY81" s="253"/>
      <c r="BZ81" s="253"/>
      <c r="CA81" s="253"/>
      <c r="CB81" s="253"/>
      <c r="CC81" s="253"/>
      <c r="CD81" s="253"/>
      <c r="CE81" s="253"/>
      <c r="CF81" s="253"/>
      <c r="CG81" s="253"/>
      <c r="CH81" s="253"/>
      <c r="CI81" s="253"/>
      <c r="CJ81" s="253"/>
      <c r="CK81" s="253"/>
      <c r="CL81" s="253"/>
      <c r="CM81" s="253"/>
      <c r="CN81" s="253"/>
      <c r="CO81" s="253"/>
      <c r="CP81" s="253"/>
      <c r="CQ81" s="253"/>
      <c r="CR81" s="253"/>
      <c r="CS81" s="253"/>
      <c r="CT81" s="253"/>
      <c r="CU81" s="253"/>
      <c r="CV81" s="253"/>
      <c r="CW81" s="253"/>
      <c r="CX81" s="253"/>
      <c r="CY81" s="253"/>
      <c r="CZ81" s="253"/>
      <c r="DA81" s="253"/>
      <c r="DB81" s="253"/>
      <c r="DC81" s="253"/>
      <c r="DD81" s="253"/>
      <c r="DE81" s="253"/>
      <c r="DF81" s="253"/>
      <c r="DG81" s="253"/>
      <c r="DH81" s="253"/>
      <c r="DI81" s="253"/>
      <c r="DJ81" s="253"/>
      <c r="DK81" s="253"/>
      <c r="DL81" s="253"/>
      <c r="DM81" s="253"/>
      <c r="DN81" s="253"/>
      <c r="DO81" s="253"/>
      <c r="DP81" s="253"/>
      <c r="DQ81" s="253"/>
      <c r="DR81" s="253"/>
      <c r="DS81" s="253"/>
      <c r="DT81" s="253"/>
      <c r="DU81" s="253"/>
      <c r="DV81" s="255">
        <f>50-50</f>
        <v>0</v>
      </c>
      <c r="DW81" s="255">
        <f>50-50</f>
        <v>0</v>
      </c>
      <c r="DX81" s="253"/>
      <c r="DY81" s="253"/>
      <c r="DZ81" s="255">
        <f>100-100</f>
        <v>0</v>
      </c>
      <c r="EA81" s="255">
        <f>50-50</f>
        <v>0</v>
      </c>
      <c r="EB81" s="253"/>
      <c r="EC81" s="253"/>
      <c r="ED81" s="253"/>
      <c r="EE81" s="255">
        <f>50-50</f>
        <v>0</v>
      </c>
      <c r="EF81" s="255">
        <f>50-50</f>
        <v>0</v>
      </c>
      <c r="EG81" s="255">
        <f>50-50</f>
        <v>0</v>
      </c>
      <c r="EH81" s="255">
        <f>50-50</f>
        <v>0</v>
      </c>
      <c r="EI81" s="255">
        <f>50-50</f>
        <v>0</v>
      </c>
      <c r="EJ81" s="253"/>
      <c r="EK81" s="253"/>
      <c r="EL81" s="253"/>
      <c r="EM81" s="253"/>
      <c r="EN81" s="253"/>
      <c r="EO81" s="253"/>
      <c r="EP81" s="253"/>
      <c r="EQ81" s="253"/>
      <c r="ER81" s="253"/>
      <c r="ES81" s="253"/>
      <c r="ET81" s="253"/>
      <c r="EU81" s="253"/>
      <c r="EV81" s="253"/>
      <c r="EW81" s="253"/>
      <c r="EX81" s="253"/>
      <c r="EY81" s="253"/>
      <c r="EZ81" s="253"/>
      <c r="FA81" s="253"/>
      <c r="FB81" s="253"/>
      <c r="FC81" s="253"/>
      <c r="FD81" s="253"/>
      <c r="FE81" s="253"/>
      <c r="FF81" s="253"/>
      <c r="FG81" s="256"/>
      <c r="FH81" s="257" t="s">
        <v>892</v>
      </c>
      <c r="FI81" s="258" t="s">
        <v>389</v>
      </c>
      <c r="FJ81" s="258"/>
      <c r="FK81" s="258" t="s">
        <v>423</v>
      </c>
      <c r="FL81" s="259">
        <f t="shared" si="7"/>
        <v>0</v>
      </c>
      <c r="FM81" s="260" t="s">
        <v>424</v>
      </c>
      <c r="FN81" s="260"/>
    </row>
    <row r="82" spans="1:170">
      <c r="A82" s="251" t="s">
        <v>393</v>
      </c>
      <c r="B82" s="251" t="s">
        <v>385</v>
      </c>
      <c r="C82" s="251" t="s">
        <v>411</v>
      </c>
      <c r="D82" s="251" t="s">
        <v>291</v>
      </c>
      <c r="E82" s="252" t="s">
        <v>849</v>
      </c>
      <c r="F82" s="251" t="s">
        <v>388</v>
      </c>
      <c r="G82" s="251"/>
      <c r="H82" s="253"/>
      <c r="I82" s="255">
        <f>20-20</f>
        <v>0</v>
      </c>
      <c r="J82" s="253"/>
      <c r="K82" s="255">
        <f>20-20</f>
        <v>0</v>
      </c>
      <c r="L82" s="253"/>
      <c r="M82" s="253"/>
      <c r="N82" s="255">
        <f>40-40</f>
        <v>0</v>
      </c>
      <c r="O82" s="253"/>
      <c r="P82" s="253"/>
      <c r="Q82" s="253"/>
      <c r="R82" s="255">
        <f>50-50</f>
        <v>0</v>
      </c>
      <c r="S82" s="255">
        <f>50-50</f>
        <v>0</v>
      </c>
      <c r="T82" s="253"/>
      <c r="U82" s="253"/>
      <c r="V82" s="253"/>
      <c r="W82" s="253"/>
      <c r="X82" s="253"/>
      <c r="Y82" s="253"/>
      <c r="Z82" s="253"/>
      <c r="AA82" s="253"/>
      <c r="AB82" s="253"/>
      <c r="AC82" s="253"/>
      <c r="AD82" s="253"/>
      <c r="AE82" s="253"/>
      <c r="AF82" s="253"/>
      <c r="AG82" s="253"/>
      <c r="AH82" s="253"/>
      <c r="AI82" s="255">
        <f>50-50</f>
        <v>0</v>
      </c>
      <c r="AJ82" s="255">
        <f>50-50</f>
        <v>0</v>
      </c>
      <c r="AK82" s="253"/>
      <c r="AL82" s="253"/>
      <c r="AM82" s="253"/>
      <c r="AN82" s="253"/>
      <c r="AO82" s="253"/>
      <c r="AP82" s="253"/>
      <c r="AQ82" s="253"/>
      <c r="AR82" s="253"/>
      <c r="AS82" s="255">
        <f>100-100</f>
        <v>0</v>
      </c>
      <c r="AT82" s="255">
        <f>100-100</f>
        <v>0</v>
      </c>
      <c r="AU82" s="253"/>
      <c r="AV82" s="253"/>
      <c r="AW82" s="253"/>
      <c r="AX82" s="253"/>
      <c r="AY82" s="253"/>
      <c r="AZ82" s="253"/>
      <c r="BA82" s="255">
        <f>100-100</f>
        <v>0</v>
      </c>
      <c r="BB82" s="253"/>
      <c r="BC82" s="253"/>
      <c r="BD82" s="253"/>
      <c r="BE82" s="253"/>
      <c r="BF82" s="253"/>
      <c r="BG82" s="255">
        <f>80-80</f>
        <v>0</v>
      </c>
      <c r="BH82" s="253"/>
      <c r="BI82" s="253"/>
      <c r="BJ82" s="253"/>
      <c r="BK82" s="253"/>
      <c r="BL82" s="253"/>
      <c r="BM82" s="253"/>
      <c r="BN82" s="253"/>
      <c r="BO82" s="253"/>
      <c r="BP82" s="253"/>
      <c r="BQ82" s="253"/>
      <c r="BR82" s="253"/>
      <c r="BS82" s="253"/>
      <c r="BT82" s="253"/>
      <c r="BU82" s="253"/>
      <c r="BV82" s="253"/>
      <c r="BW82" s="253"/>
      <c r="BX82" s="253"/>
      <c r="BY82" s="253"/>
      <c r="BZ82" s="253"/>
      <c r="CA82" s="253"/>
      <c r="CB82" s="253"/>
      <c r="CC82" s="253"/>
      <c r="CD82" s="253"/>
      <c r="CE82" s="253"/>
      <c r="CF82" s="253"/>
      <c r="CG82" s="253"/>
      <c r="CH82" s="253"/>
      <c r="CI82" s="253"/>
      <c r="CJ82" s="253"/>
      <c r="CK82" s="253"/>
      <c r="CL82" s="253"/>
      <c r="CM82" s="253"/>
      <c r="CN82" s="253"/>
      <c r="CO82" s="253"/>
      <c r="CP82" s="253"/>
      <c r="CQ82" s="253"/>
      <c r="CR82" s="253"/>
      <c r="CS82" s="253"/>
      <c r="CT82" s="253"/>
      <c r="CU82" s="253"/>
      <c r="CV82" s="253"/>
      <c r="CW82" s="253"/>
      <c r="CX82" s="253"/>
      <c r="CY82" s="253"/>
      <c r="CZ82" s="253"/>
      <c r="DA82" s="253"/>
      <c r="DB82" s="253"/>
      <c r="DC82" s="253"/>
      <c r="DD82" s="253"/>
      <c r="DE82" s="253"/>
      <c r="DF82" s="253"/>
      <c r="DG82" s="253"/>
      <c r="DH82" s="253"/>
      <c r="DI82" s="253"/>
      <c r="DJ82" s="253"/>
      <c r="DK82" s="253"/>
      <c r="DL82" s="253"/>
      <c r="DM82" s="253"/>
      <c r="DN82" s="253"/>
      <c r="DO82" s="253"/>
      <c r="DP82" s="253"/>
      <c r="DQ82" s="253"/>
      <c r="DR82" s="253"/>
      <c r="DS82" s="253"/>
      <c r="DT82" s="253"/>
      <c r="DU82" s="253"/>
      <c r="DV82" s="253"/>
      <c r="DW82" s="253"/>
      <c r="DX82" s="253"/>
      <c r="DY82" s="253"/>
      <c r="DZ82" s="253"/>
      <c r="EA82" s="253"/>
      <c r="EB82" s="253"/>
      <c r="EC82" s="253"/>
      <c r="ED82" s="253"/>
      <c r="EE82" s="253"/>
      <c r="EF82" s="253"/>
      <c r="EG82" s="253"/>
      <c r="EH82" s="253"/>
      <c r="EI82" s="253"/>
      <c r="EJ82" s="253"/>
      <c r="EK82" s="253"/>
      <c r="EL82" s="253"/>
      <c r="EM82" s="253"/>
      <c r="EN82" s="253"/>
      <c r="EO82" s="253"/>
      <c r="EP82" s="253"/>
      <c r="EQ82" s="253"/>
      <c r="ER82" s="253"/>
      <c r="ES82" s="253"/>
      <c r="ET82" s="253"/>
      <c r="EU82" s="253"/>
      <c r="EV82" s="253"/>
      <c r="EW82" s="253"/>
      <c r="EX82" s="253"/>
      <c r="EY82" s="253"/>
      <c r="EZ82" s="253"/>
      <c r="FA82" s="253"/>
      <c r="FB82" s="253"/>
      <c r="FC82" s="253"/>
      <c r="FD82" s="253"/>
      <c r="FE82" s="253"/>
      <c r="FF82" s="253"/>
      <c r="FG82" s="256"/>
      <c r="FH82" s="257" t="s">
        <v>892</v>
      </c>
      <c r="FI82" s="258" t="s">
        <v>389</v>
      </c>
      <c r="FJ82" s="258"/>
      <c r="FK82" s="258" t="s">
        <v>429</v>
      </c>
      <c r="FL82" s="259">
        <f t="shared" si="7"/>
        <v>0</v>
      </c>
      <c r="FM82" s="260" t="s">
        <v>414</v>
      </c>
      <c r="FN82" s="260"/>
    </row>
    <row r="83" spans="1:170">
      <c r="A83" s="251" t="s">
        <v>393</v>
      </c>
      <c r="B83" s="251" t="s">
        <v>385</v>
      </c>
      <c r="C83" s="251" t="s">
        <v>411</v>
      </c>
      <c r="D83" s="251" t="s">
        <v>1</v>
      </c>
      <c r="E83" s="252" t="s">
        <v>849</v>
      </c>
      <c r="F83" s="251" t="s">
        <v>388</v>
      </c>
      <c r="G83" s="251"/>
      <c r="H83" s="253"/>
      <c r="I83" s="253"/>
      <c r="J83" s="253"/>
      <c r="K83" s="253"/>
      <c r="L83" s="253"/>
      <c r="M83" s="255">
        <f>40-40</f>
        <v>0</v>
      </c>
      <c r="N83" s="253"/>
      <c r="O83" s="253"/>
      <c r="P83" s="255">
        <f>40-40</f>
        <v>0</v>
      </c>
      <c r="Q83" s="255">
        <f>40-40</f>
        <v>0</v>
      </c>
      <c r="R83" s="253"/>
      <c r="S83" s="253"/>
      <c r="T83" s="253"/>
      <c r="U83" s="253"/>
      <c r="V83" s="255">
        <f>50-50</f>
        <v>0</v>
      </c>
      <c r="W83" s="255">
        <f>50-50</f>
        <v>0</v>
      </c>
      <c r="X83" s="255">
        <f>50-50</f>
        <v>0</v>
      </c>
      <c r="Y83" s="255">
        <f>50-50</f>
        <v>0</v>
      </c>
      <c r="Z83" s="255">
        <f>50-50</f>
        <v>0</v>
      </c>
      <c r="AA83" s="253"/>
      <c r="AB83" s="255">
        <f t="shared" ref="AB83:AG83" si="8">50-50</f>
        <v>0</v>
      </c>
      <c r="AC83" s="255">
        <f t="shared" si="8"/>
        <v>0</v>
      </c>
      <c r="AD83" s="255">
        <f t="shared" si="8"/>
        <v>0</v>
      </c>
      <c r="AE83" s="255">
        <f t="shared" si="8"/>
        <v>0</v>
      </c>
      <c r="AF83" s="255">
        <f t="shared" si="8"/>
        <v>0</v>
      </c>
      <c r="AG83" s="255">
        <f t="shared" si="8"/>
        <v>0</v>
      </c>
      <c r="AH83" s="253"/>
      <c r="AI83" s="253"/>
      <c r="AJ83" s="253"/>
      <c r="AK83" s="253"/>
      <c r="AL83" s="255">
        <f>50-50</f>
        <v>0</v>
      </c>
      <c r="AM83" s="255">
        <f>50-50</f>
        <v>0</v>
      </c>
      <c r="AN83" s="253"/>
      <c r="AO83" s="255">
        <f>50-50</f>
        <v>0</v>
      </c>
      <c r="AP83" s="253"/>
      <c r="AQ83" s="253"/>
      <c r="AR83" s="253"/>
      <c r="AS83" s="253"/>
      <c r="AT83" s="253"/>
      <c r="AU83" s="253"/>
      <c r="AV83" s="253"/>
      <c r="AW83" s="255">
        <f>100-100</f>
        <v>0</v>
      </c>
      <c r="AX83" s="253"/>
      <c r="AY83" s="253"/>
      <c r="AZ83" s="253"/>
      <c r="BA83" s="253"/>
      <c r="BB83" s="253"/>
      <c r="BC83" s="255">
        <f>50-50</f>
        <v>0</v>
      </c>
      <c r="BD83" s="253"/>
      <c r="BE83" s="253"/>
      <c r="BF83" s="253"/>
      <c r="BG83" s="253"/>
      <c r="BH83" s="255">
        <f>80-80</f>
        <v>0</v>
      </c>
      <c r="BI83" s="255">
        <f>80-80</f>
        <v>0</v>
      </c>
      <c r="BJ83" s="253"/>
      <c r="BK83" s="253"/>
      <c r="BL83" s="253"/>
      <c r="BM83" s="253"/>
      <c r="BN83" s="253"/>
      <c r="BO83" s="253"/>
      <c r="BP83" s="253"/>
      <c r="BQ83" s="253"/>
      <c r="BR83" s="253"/>
      <c r="BS83" s="253"/>
      <c r="BT83" s="253"/>
      <c r="BU83" s="253"/>
      <c r="BV83" s="253"/>
      <c r="BW83" s="253"/>
      <c r="BX83" s="253"/>
      <c r="BY83" s="253"/>
      <c r="BZ83" s="253"/>
      <c r="CA83" s="253"/>
      <c r="CB83" s="253"/>
      <c r="CC83" s="253"/>
      <c r="CD83" s="253"/>
      <c r="CE83" s="253"/>
      <c r="CF83" s="253"/>
      <c r="CG83" s="253"/>
      <c r="CH83" s="253"/>
      <c r="CI83" s="253"/>
      <c r="CJ83" s="253"/>
      <c r="CK83" s="253"/>
      <c r="CL83" s="253"/>
      <c r="CM83" s="253"/>
      <c r="CN83" s="253"/>
      <c r="CO83" s="253"/>
      <c r="CP83" s="253"/>
      <c r="CQ83" s="253"/>
      <c r="CR83" s="253"/>
      <c r="CS83" s="253"/>
      <c r="CT83" s="253"/>
      <c r="CU83" s="253"/>
      <c r="CV83" s="253"/>
      <c r="CW83" s="253"/>
      <c r="CX83" s="253"/>
      <c r="CY83" s="253"/>
      <c r="CZ83" s="253"/>
      <c r="DA83" s="253"/>
      <c r="DB83" s="253"/>
      <c r="DC83" s="253"/>
      <c r="DD83" s="253"/>
      <c r="DE83" s="253"/>
      <c r="DF83" s="253"/>
      <c r="DG83" s="253"/>
      <c r="DH83" s="253"/>
      <c r="DI83" s="253"/>
      <c r="DJ83" s="253"/>
      <c r="DK83" s="253"/>
      <c r="DL83" s="253"/>
      <c r="DM83" s="253"/>
      <c r="DN83" s="253"/>
      <c r="DO83" s="253"/>
      <c r="DP83" s="253"/>
      <c r="DQ83" s="253"/>
      <c r="DR83" s="253"/>
      <c r="DS83" s="253"/>
      <c r="DT83" s="253"/>
      <c r="DU83" s="253"/>
      <c r="DV83" s="255">
        <f>50-50</f>
        <v>0</v>
      </c>
      <c r="DW83" s="255">
        <f>50-50</f>
        <v>0</v>
      </c>
      <c r="DX83" s="253"/>
      <c r="DY83" s="253"/>
      <c r="DZ83" s="255">
        <f>50-50</f>
        <v>0</v>
      </c>
      <c r="EA83" s="255">
        <f>50-50</f>
        <v>0</v>
      </c>
      <c r="EB83" s="255">
        <f>50-50</f>
        <v>0</v>
      </c>
      <c r="EC83" s="255">
        <f>50-50</f>
        <v>0</v>
      </c>
      <c r="ED83" s="255">
        <f>50-50</f>
        <v>0</v>
      </c>
      <c r="EE83" s="253"/>
      <c r="EF83" s="255">
        <f>50-50</f>
        <v>0</v>
      </c>
      <c r="EG83" s="255">
        <f>50-50</f>
        <v>0</v>
      </c>
      <c r="EH83" s="253"/>
      <c r="EI83" s="255">
        <f>50-50</f>
        <v>0</v>
      </c>
      <c r="EJ83" s="253"/>
      <c r="EK83" s="253"/>
      <c r="EL83" s="253"/>
      <c r="EM83" s="253"/>
      <c r="EN83" s="253"/>
      <c r="EO83" s="253"/>
      <c r="EP83" s="253"/>
      <c r="EQ83" s="253"/>
      <c r="ER83" s="253"/>
      <c r="ES83" s="253"/>
      <c r="ET83" s="253"/>
      <c r="EU83" s="253"/>
      <c r="EV83" s="253"/>
      <c r="EW83" s="253"/>
      <c r="EX83" s="253"/>
      <c r="EY83" s="253"/>
      <c r="EZ83" s="253"/>
      <c r="FA83" s="253"/>
      <c r="FB83" s="253"/>
      <c r="FC83" s="255">
        <f>50-50</f>
        <v>0</v>
      </c>
      <c r="FD83" s="255">
        <f>50-50</f>
        <v>0</v>
      </c>
      <c r="FE83" s="253"/>
      <c r="FF83" s="253"/>
      <c r="FG83" s="256"/>
      <c r="FH83" s="257" t="s">
        <v>892</v>
      </c>
      <c r="FI83" s="258" t="s">
        <v>389</v>
      </c>
      <c r="FJ83" s="258"/>
      <c r="FK83" s="258" t="s">
        <v>429</v>
      </c>
      <c r="FL83" s="259">
        <f t="shared" si="7"/>
        <v>0</v>
      </c>
      <c r="FM83" s="260" t="s">
        <v>414</v>
      </c>
      <c r="FN83" s="260"/>
    </row>
    <row r="84" spans="1:170">
      <c r="A84" s="251" t="s">
        <v>393</v>
      </c>
      <c r="B84" s="251" t="s">
        <v>385</v>
      </c>
      <c r="C84" s="251" t="s">
        <v>411</v>
      </c>
      <c r="D84" s="251" t="s">
        <v>293</v>
      </c>
      <c r="E84" s="252" t="s">
        <v>849</v>
      </c>
      <c r="F84" s="251" t="s">
        <v>388</v>
      </c>
      <c r="G84" s="251"/>
      <c r="H84" s="253"/>
      <c r="I84" s="253"/>
      <c r="J84" s="255">
        <f>20-20</f>
        <v>0</v>
      </c>
      <c r="K84" s="253"/>
      <c r="L84" s="253"/>
      <c r="M84" s="253"/>
      <c r="N84" s="253"/>
      <c r="O84" s="253"/>
      <c r="P84" s="253"/>
      <c r="Q84" s="253"/>
      <c r="R84" s="253"/>
      <c r="S84" s="253"/>
      <c r="T84" s="253"/>
      <c r="U84" s="253"/>
      <c r="V84" s="253"/>
      <c r="W84" s="253"/>
      <c r="X84" s="253"/>
      <c r="Y84" s="253"/>
      <c r="Z84" s="253"/>
      <c r="AA84" s="253"/>
      <c r="AB84" s="253"/>
      <c r="AC84" s="253"/>
      <c r="AD84" s="253"/>
      <c r="AE84" s="253"/>
      <c r="AF84" s="253"/>
      <c r="AG84" s="253"/>
      <c r="AH84" s="253"/>
      <c r="AI84" s="253"/>
      <c r="AJ84" s="253"/>
      <c r="AK84" s="253"/>
      <c r="AL84" s="253"/>
      <c r="AM84" s="253"/>
      <c r="AN84" s="253"/>
      <c r="AO84" s="253"/>
      <c r="AP84" s="253"/>
      <c r="AQ84" s="253"/>
      <c r="AR84" s="253"/>
      <c r="AS84" s="253"/>
      <c r="AT84" s="253"/>
      <c r="AU84" s="253"/>
      <c r="AV84" s="253"/>
      <c r="AW84" s="253"/>
      <c r="AX84" s="253"/>
      <c r="AY84" s="253"/>
      <c r="AZ84" s="253"/>
      <c r="BA84" s="253"/>
      <c r="BB84" s="253"/>
      <c r="BC84" s="253"/>
      <c r="BD84" s="253"/>
      <c r="BE84" s="253"/>
      <c r="BF84" s="253"/>
      <c r="BG84" s="253"/>
      <c r="BH84" s="253"/>
      <c r="BI84" s="253"/>
      <c r="BJ84" s="253"/>
      <c r="BK84" s="253"/>
      <c r="BL84" s="253"/>
      <c r="BM84" s="253"/>
      <c r="BN84" s="253"/>
      <c r="BO84" s="253"/>
      <c r="BP84" s="253"/>
      <c r="BQ84" s="253"/>
      <c r="BR84" s="253"/>
      <c r="BS84" s="253"/>
      <c r="BT84" s="253"/>
      <c r="BU84" s="253"/>
      <c r="BV84" s="253"/>
      <c r="BW84" s="253"/>
      <c r="BX84" s="253"/>
      <c r="BY84" s="253"/>
      <c r="BZ84" s="253"/>
      <c r="CA84" s="253"/>
      <c r="CB84" s="253"/>
      <c r="CC84" s="253"/>
      <c r="CD84" s="253"/>
      <c r="CE84" s="253"/>
      <c r="CF84" s="253"/>
      <c r="CG84" s="253"/>
      <c r="CH84" s="253"/>
      <c r="CI84" s="253"/>
      <c r="CJ84" s="253"/>
      <c r="CK84" s="253"/>
      <c r="CL84" s="253"/>
      <c r="CM84" s="253"/>
      <c r="CN84" s="253"/>
      <c r="CO84" s="253"/>
      <c r="CP84" s="253"/>
      <c r="CQ84" s="253"/>
      <c r="CR84" s="253"/>
      <c r="CS84" s="253"/>
      <c r="CT84" s="253"/>
      <c r="CU84" s="253"/>
      <c r="CV84" s="253"/>
      <c r="CW84" s="253"/>
      <c r="CX84" s="253"/>
      <c r="CY84" s="253"/>
      <c r="CZ84" s="253"/>
      <c r="DA84" s="253"/>
      <c r="DB84" s="253"/>
      <c r="DC84" s="253"/>
      <c r="DD84" s="253"/>
      <c r="DE84" s="253"/>
      <c r="DF84" s="253"/>
      <c r="DG84" s="253"/>
      <c r="DH84" s="253"/>
      <c r="DI84" s="253"/>
      <c r="DJ84" s="253"/>
      <c r="DK84" s="253"/>
      <c r="DL84" s="253"/>
      <c r="DM84" s="253"/>
      <c r="DN84" s="253"/>
      <c r="DO84" s="253"/>
      <c r="DP84" s="253"/>
      <c r="DQ84" s="253"/>
      <c r="DR84" s="253"/>
      <c r="DS84" s="253"/>
      <c r="DT84" s="253"/>
      <c r="DU84" s="253"/>
      <c r="DV84" s="253"/>
      <c r="DW84" s="253"/>
      <c r="DX84" s="253"/>
      <c r="DY84" s="253"/>
      <c r="DZ84" s="253"/>
      <c r="EA84" s="253"/>
      <c r="EB84" s="253"/>
      <c r="EC84" s="253"/>
      <c r="ED84" s="253"/>
      <c r="EE84" s="253"/>
      <c r="EF84" s="253"/>
      <c r="EG84" s="253"/>
      <c r="EH84" s="253"/>
      <c r="EI84" s="253"/>
      <c r="EJ84" s="253"/>
      <c r="EK84" s="253"/>
      <c r="EL84" s="253"/>
      <c r="EM84" s="253"/>
      <c r="EN84" s="253"/>
      <c r="EO84" s="253"/>
      <c r="EP84" s="253"/>
      <c r="EQ84" s="253"/>
      <c r="ER84" s="253"/>
      <c r="ES84" s="253"/>
      <c r="ET84" s="253"/>
      <c r="EU84" s="253"/>
      <c r="EV84" s="253"/>
      <c r="EW84" s="253"/>
      <c r="EX84" s="253"/>
      <c r="EY84" s="253"/>
      <c r="EZ84" s="253"/>
      <c r="FA84" s="253"/>
      <c r="FB84" s="253"/>
      <c r="FC84" s="253"/>
      <c r="FD84" s="253"/>
      <c r="FE84" s="253"/>
      <c r="FF84" s="253"/>
      <c r="FG84" s="256"/>
      <c r="FH84" s="257" t="s">
        <v>892</v>
      </c>
      <c r="FI84" s="258" t="s">
        <v>389</v>
      </c>
      <c r="FJ84" s="258"/>
      <c r="FK84" s="258" t="s">
        <v>429</v>
      </c>
      <c r="FL84" s="259">
        <f t="shared" si="7"/>
        <v>0</v>
      </c>
      <c r="FM84" s="260" t="s">
        <v>414</v>
      </c>
      <c r="FN84" s="260"/>
    </row>
    <row r="85" spans="1:170">
      <c r="A85" s="251" t="s">
        <v>385</v>
      </c>
      <c r="B85" s="251" t="s">
        <v>392</v>
      </c>
      <c r="C85" s="251" t="s">
        <v>411</v>
      </c>
      <c r="D85" s="251" t="s">
        <v>291</v>
      </c>
      <c r="E85" s="252" t="s">
        <v>851</v>
      </c>
      <c r="F85" s="251" t="s">
        <v>388</v>
      </c>
      <c r="G85" s="251" t="s">
        <v>915</v>
      </c>
      <c r="H85" s="253"/>
      <c r="I85" s="255">
        <f>200-200</f>
        <v>0</v>
      </c>
      <c r="J85" s="253"/>
      <c r="K85" s="255">
        <f>100-100</f>
        <v>0</v>
      </c>
      <c r="L85" s="253"/>
      <c r="M85" s="253"/>
      <c r="N85" s="255">
        <f>200-200</f>
        <v>0</v>
      </c>
      <c r="O85" s="253"/>
      <c r="P85" s="253"/>
      <c r="Q85" s="253"/>
      <c r="R85" s="253"/>
      <c r="S85" s="253"/>
      <c r="T85" s="253"/>
      <c r="U85" s="253"/>
      <c r="V85" s="253"/>
      <c r="W85" s="253"/>
      <c r="X85" s="253"/>
      <c r="Y85" s="253"/>
      <c r="Z85" s="253"/>
      <c r="AA85" s="253"/>
      <c r="AB85" s="253"/>
      <c r="AC85" s="253"/>
      <c r="AD85" s="253"/>
      <c r="AE85" s="253"/>
      <c r="AF85" s="253"/>
      <c r="AG85" s="253"/>
      <c r="AH85" s="253"/>
      <c r="AI85" s="255">
        <f>250-250</f>
        <v>0</v>
      </c>
      <c r="AJ85" s="255">
        <f>200-200</f>
        <v>0</v>
      </c>
      <c r="AK85" s="253"/>
      <c r="AL85" s="253"/>
      <c r="AM85" s="253"/>
      <c r="AN85" s="253"/>
      <c r="AO85" s="253"/>
      <c r="AP85" s="253"/>
      <c r="AQ85" s="255">
        <f>100-100</f>
        <v>0</v>
      </c>
      <c r="AR85" s="253"/>
      <c r="AS85" s="253"/>
      <c r="AT85" s="253"/>
      <c r="AU85" s="253"/>
      <c r="AV85" s="253"/>
      <c r="AW85" s="253"/>
      <c r="AX85" s="253"/>
      <c r="AY85" s="253"/>
      <c r="AZ85" s="253"/>
      <c r="BA85" s="253"/>
      <c r="BB85" s="253"/>
      <c r="BC85" s="253"/>
      <c r="BD85" s="253"/>
      <c r="BE85" s="253"/>
      <c r="BF85" s="253"/>
      <c r="BG85" s="255">
        <f>150-150</f>
        <v>0</v>
      </c>
      <c r="BH85" s="253"/>
      <c r="BI85" s="253"/>
      <c r="BJ85" s="253"/>
      <c r="BK85" s="253"/>
      <c r="BL85" s="253"/>
      <c r="BM85" s="253"/>
      <c r="BN85" s="253"/>
      <c r="BO85" s="253"/>
      <c r="BP85" s="253"/>
      <c r="BQ85" s="253"/>
      <c r="BR85" s="253"/>
      <c r="BS85" s="253"/>
      <c r="BT85" s="253"/>
      <c r="BU85" s="253"/>
      <c r="BV85" s="253"/>
      <c r="BW85" s="253"/>
      <c r="BX85" s="253"/>
      <c r="BY85" s="253"/>
      <c r="BZ85" s="253"/>
      <c r="CA85" s="253"/>
      <c r="CB85" s="253"/>
      <c r="CC85" s="253"/>
      <c r="CD85" s="253"/>
      <c r="CE85" s="253"/>
      <c r="CF85" s="253"/>
      <c r="CG85" s="253"/>
      <c r="CH85" s="253"/>
      <c r="CI85" s="253"/>
      <c r="CJ85" s="253"/>
      <c r="CK85" s="253"/>
      <c r="CL85" s="253"/>
      <c r="CM85" s="253"/>
      <c r="CN85" s="253"/>
      <c r="CO85" s="253"/>
      <c r="CP85" s="253"/>
      <c r="CQ85" s="253"/>
      <c r="CR85" s="253"/>
      <c r="CS85" s="253"/>
      <c r="CT85" s="253"/>
      <c r="CU85" s="253"/>
      <c r="CV85" s="253"/>
      <c r="CW85" s="253"/>
      <c r="CX85" s="253"/>
      <c r="CY85" s="253"/>
      <c r="CZ85" s="253"/>
      <c r="DA85" s="253"/>
      <c r="DB85" s="253"/>
      <c r="DC85" s="253"/>
      <c r="DD85" s="253"/>
      <c r="DE85" s="253"/>
      <c r="DF85" s="253"/>
      <c r="DG85" s="253"/>
      <c r="DH85" s="253"/>
      <c r="DI85" s="253"/>
      <c r="DJ85" s="253"/>
      <c r="DK85" s="253"/>
      <c r="DL85" s="253"/>
      <c r="DM85" s="253"/>
      <c r="DN85" s="253"/>
      <c r="DO85" s="253"/>
      <c r="DP85" s="253"/>
      <c r="DQ85" s="253"/>
      <c r="DR85" s="253"/>
      <c r="DS85" s="253"/>
      <c r="DT85" s="253"/>
      <c r="DU85" s="253"/>
      <c r="DV85" s="253"/>
      <c r="DW85" s="253"/>
      <c r="DX85" s="253"/>
      <c r="DY85" s="253"/>
      <c r="DZ85" s="253"/>
      <c r="EA85" s="253"/>
      <c r="EB85" s="253"/>
      <c r="EC85" s="253"/>
      <c r="ED85" s="253"/>
      <c r="EE85" s="253"/>
      <c r="EF85" s="253"/>
      <c r="EG85" s="253"/>
      <c r="EH85" s="253"/>
      <c r="EI85" s="253"/>
      <c r="EJ85" s="253"/>
      <c r="EK85" s="253"/>
      <c r="EL85" s="253"/>
      <c r="EM85" s="253"/>
      <c r="EN85" s="253"/>
      <c r="EO85" s="253"/>
      <c r="EP85" s="253"/>
      <c r="EQ85" s="253"/>
      <c r="ER85" s="253"/>
      <c r="ES85" s="253"/>
      <c r="ET85" s="253"/>
      <c r="EU85" s="253"/>
      <c r="EV85" s="253"/>
      <c r="EW85" s="253"/>
      <c r="EX85" s="253"/>
      <c r="EY85" s="253"/>
      <c r="EZ85" s="253"/>
      <c r="FA85" s="253"/>
      <c r="FB85" s="253"/>
      <c r="FC85" s="253"/>
      <c r="FD85" s="253"/>
      <c r="FE85" s="253"/>
      <c r="FF85" s="253"/>
      <c r="FG85" s="256"/>
      <c r="FH85" s="257" t="s">
        <v>892</v>
      </c>
      <c r="FI85" s="258" t="s">
        <v>389</v>
      </c>
      <c r="FJ85" s="258" t="s">
        <v>855</v>
      </c>
      <c r="FK85" s="258" t="s">
        <v>439</v>
      </c>
      <c r="FL85" s="259">
        <f t="shared" si="7"/>
        <v>0</v>
      </c>
      <c r="FM85" s="260" t="s">
        <v>421</v>
      </c>
      <c r="FN85" s="260"/>
    </row>
    <row r="86" spans="1:170">
      <c r="A86" s="251" t="s">
        <v>385</v>
      </c>
      <c r="B86" s="251" t="s">
        <v>392</v>
      </c>
      <c r="C86" s="251" t="s">
        <v>411</v>
      </c>
      <c r="D86" s="251" t="s">
        <v>291</v>
      </c>
      <c r="E86" s="252" t="s">
        <v>851</v>
      </c>
      <c r="F86" s="251" t="s">
        <v>388</v>
      </c>
      <c r="G86" s="251" t="s">
        <v>916</v>
      </c>
      <c r="H86" s="253"/>
      <c r="I86" s="255">
        <f>100-100</f>
        <v>0</v>
      </c>
      <c r="J86" s="253"/>
      <c r="K86" s="255">
        <f>100-100</f>
        <v>0</v>
      </c>
      <c r="L86" s="253"/>
      <c r="M86" s="253"/>
      <c r="N86" s="255">
        <f>100-100</f>
        <v>0</v>
      </c>
      <c r="O86" s="253"/>
      <c r="P86" s="253"/>
      <c r="Q86" s="253"/>
      <c r="R86" s="253"/>
      <c r="S86" s="253"/>
      <c r="T86" s="253"/>
      <c r="U86" s="253"/>
      <c r="V86" s="253"/>
      <c r="W86" s="253"/>
      <c r="X86" s="253"/>
      <c r="Y86" s="253"/>
      <c r="Z86" s="253"/>
      <c r="AA86" s="253"/>
      <c r="AB86" s="253"/>
      <c r="AC86" s="253"/>
      <c r="AD86" s="253"/>
      <c r="AE86" s="253"/>
      <c r="AF86" s="253"/>
      <c r="AG86" s="254">
        <f>0+10</f>
        <v>10</v>
      </c>
      <c r="AH86" s="253"/>
      <c r="AI86" s="255">
        <f>250-250</f>
        <v>0</v>
      </c>
      <c r="AJ86" s="255">
        <f>150-150</f>
        <v>0</v>
      </c>
      <c r="AK86" s="253"/>
      <c r="AL86" s="253"/>
      <c r="AM86" s="253"/>
      <c r="AN86" s="253"/>
      <c r="AO86" s="253"/>
      <c r="AP86" s="253"/>
      <c r="AQ86" s="255">
        <f>100-100</f>
        <v>0</v>
      </c>
      <c r="AR86" s="253"/>
      <c r="AS86" s="253"/>
      <c r="AT86" s="253"/>
      <c r="AU86" s="253"/>
      <c r="AV86" s="253"/>
      <c r="AW86" s="253"/>
      <c r="AX86" s="253"/>
      <c r="AY86" s="253"/>
      <c r="AZ86" s="253"/>
      <c r="BA86" s="253"/>
      <c r="BB86" s="253"/>
      <c r="BC86" s="253"/>
      <c r="BD86" s="253"/>
      <c r="BE86" s="253"/>
      <c r="BF86" s="253"/>
      <c r="BG86" s="255">
        <f>50-50</f>
        <v>0</v>
      </c>
      <c r="BH86" s="253"/>
      <c r="BI86" s="253"/>
      <c r="BJ86" s="253"/>
      <c r="BK86" s="253"/>
      <c r="BL86" s="253"/>
      <c r="BM86" s="253"/>
      <c r="BN86" s="253"/>
      <c r="BO86" s="253"/>
      <c r="BP86" s="253"/>
      <c r="BQ86" s="253"/>
      <c r="BR86" s="253"/>
      <c r="BS86" s="253"/>
      <c r="BT86" s="253"/>
      <c r="BU86" s="253"/>
      <c r="BV86" s="253"/>
      <c r="BW86" s="253"/>
      <c r="BX86" s="253"/>
      <c r="BY86" s="253"/>
      <c r="BZ86" s="253"/>
      <c r="CA86" s="253"/>
      <c r="CB86" s="253"/>
      <c r="CC86" s="253"/>
      <c r="CD86" s="253"/>
      <c r="CE86" s="253"/>
      <c r="CF86" s="253"/>
      <c r="CG86" s="253"/>
      <c r="CH86" s="253"/>
      <c r="CI86" s="253"/>
      <c r="CJ86" s="253"/>
      <c r="CK86" s="253"/>
      <c r="CL86" s="253"/>
      <c r="CM86" s="253"/>
      <c r="CN86" s="253"/>
      <c r="CO86" s="253"/>
      <c r="CP86" s="253"/>
      <c r="CQ86" s="253"/>
      <c r="CR86" s="253"/>
      <c r="CS86" s="253"/>
      <c r="CT86" s="253"/>
      <c r="CU86" s="253"/>
      <c r="CV86" s="253"/>
      <c r="CW86" s="253"/>
      <c r="CX86" s="253"/>
      <c r="CY86" s="253"/>
      <c r="CZ86" s="253"/>
      <c r="DA86" s="253"/>
      <c r="DB86" s="253"/>
      <c r="DC86" s="253"/>
      <c r="DD86" s="253"/>
      <c r="DE86" s="253"/>
      <c r="DF86" s="253"/>
      <c r="DG86" s="253"/>
      <c r="DH86" s="253"/>
      <c r="DI86" s="253"/>
      <c r="DJ86" s="253"/>
      <c r="DK86" s="253"/>
      <c r="DL86" s="253"/>
      <c r="DM86" s="253"/>
      <c r="DN86" s="253"/>
      <c r="DO86" s="253"/>
      <c r="DP86" s="253"/>
      <c r="DQ86" s="253"/>
      <c r="DR86" s="253"/>
      <c r="DS86" s="253"/>
      <c r="DT86" s="253"/>
      <c r="DU86" s="253"/>
      <c r="DV86" s="253"/>
      <c r="DW86" s="253"/>
      <c r="DX86" s="253"/>
      <c r="DY86" s="253"/>
      <c r="DZ86" s="253"/>
      <c r="EA86" s="253"/>
      <c r="EB86" s="253"/>
      <c r="EC86" s="253"/>
      <c r="ED86" s="253"/>
      <c r="EE86" s="253"/>
      <c r="EF86" s="253"/>
      <c r="EG86" s="253"/>
      <c r="EH86" s="253"/>
      <c r="EI86" s="253"/>
      <c r="EJ86" s="253"/>
      <c r="EK86" s="253"/>
      <c r="EL86" s="253"/>
      <c r="EM86" s="253"/>
      <c r="EN86" s="253"/>
      <c r="EO86" s="253"/>
      <c r="EP86" s="253"/>
      <c r="EQ86" s="253"/>
      <c r="ER86" s="253"/>
      <c r="ES86" s="253"/>
      <c r="ET86" s="253"/>
      <c r="EU86" s="253"/>
      <c r="EV86" s="253"/>
      <c r="EW86" s="253"/>
      <c r="EX86" s="253"/>
      <c r="EY86" s="253"/>
      <c r="EZ86" s="253"/>
      <c r="FA86" s="253"/>
      <c r="FB86" s="253"/>
      <c r="FC86" s="253"/>
      <c r="FD86" s="253"/>
      <c r="FE86" s="253"/>
      <c r="FF86" s="253"/>
      <c r="FG86" s="256"/>
      <c r="FH86" s="257" t="s">
        <v>892</v>
      </c>
      <c r="FI86" s="258" t="s">
        <v>389</v>
      </c>
      <c r="FJ86" s="258" t="s">
        <v>853</v>
      </c>
      <c r="FK86" s="258" t="s">
        <v>439</v>
      </c>
      <c r="FL86" s="259">
        <f t="shared" si="7"/>
        <v>10</v>
      </c>
      <c r="FM86" s="260" t="s">
        <v>421</v>
      </c>
      <c r="FN86" s="260"/>
    </row>
    <row r="87" spans="1:170">
      <c r="A87" s="251" t="s">
        <v>385</v>
      </c>
      <c r="B87" s="251" t="s">
        <v>392</v>
      </c>
      <c r="C87" s="251" t="s">
        <v>411</v>
      </c>
      <c r="D87" s="251" t="s">
        <v>1</v>
      </c>
      <c r="E87" s="252" t="s">
        <v>851</v>
      </c>
      <c r="F87" s="251" t="s">
        <v>388</v>
      </c>
      <c r="G87" s="251" t="s">
        <v>915</v>
      </c>
      <c r="H87" s="253"/>
      <c r="I87" s="253"/>
      <c r="J87" s="253"/>
      <c r="K87" s="253"/>
      <c r="L87" s="253"/>
      <c r="M87" s="253"/>
      <c r="N87" s="253"/>
      <c r="O87" s="253"/>
      <c r="P87" s="254">
        <f>150-150+10</f>
        <v>10</v>
      </c>
      <c r="Q87" s="253"/>
      <c r="R87" s="253"/>
      <c r="S87" s="253"/>
      <c r="T87" s="253"/>
      <c r="U87" s="253"/>
      <c r="V87" s="255">
        <f>100-100</f>
        <v>0</v>
      </c>
      <c r="W87" s="253"/>
      <c r="X87" s="253"/>
      <c r="Y87" s="253"/>
      <c r="Z87" s="255">
        <f>100-100</f>
        <v>0</v>
      </c>
      <c r="AA87" s="253"/>
      <c r="AB87" s="255">
        <f>100-100</f>
        <v>0</v>
      </c>
      <c r="AC87" s="253"/>
      <c r="AD87" s="254">
        <f>400-400+10</f>
        <v>10</v>
      </c>
      <c r="AE87" s="253"/>
      <c r="AF87" s="253"/>
      <c r="AG87" s="255">
        <f>100-100</f>
        <v>0</v>
      </c>
      <c r="AH87" s="255">
        <f>150-150</f>
        <v>0</v>
      </c>
      <c r="AI87" s="253"/>
      <c r="AJ87" s="253"/>
      <c r="AK87" s="253"/>
      <c r="AL87" s="253"/>
      <c r="AM87" s="253"/>
      <c r="AN87" s="253"/>
      <c r="AO87" s="255">
        <f>150-150</f>
        <v>0</v>
      </c>
      <c r="AP87" s="253"/>
      <c r="AQ87" s="253"/>
      <c r="AR87" s="253"/>
      <c r="AS87" s="253"/>
      <c r="AT87" s="253"/>
      <c r="AU87" s="253"/>
      <c r="AV87" s="253"/>
      <c r="AW87" s="255">
        <f>200-200</f>
        <v>0</v>
      </c>
      <c r="AX87" s="253"/>
      <c r="AY87" s="253"/>
      <c r="AZ87" s="253"/>
      <c r="BA87" s="253"/>
      <c r="BB87" s="253"/>
      <c r="BC87" s="253"/>
      <c r="BD87" s="253"/>
      <c r="BE87" s="253"/>
      <c r="BF87" s="253"/>
      <c r="BG87" s="253"/>
      <c r="BH87" s="253"/>
      <c r="BI87" s="253"/>
      <c r="BJ87" s="253"/>
      <c r="BK87" s="253"/>
      <c r="BL87" s="253"/>
      <c r="BM87" s="253"/>
      <c r="BN87" s="253"/>
      <c r="BO87" s="253"/>
      <c r="BP87" s="253"/>
      <c r="BQ87" s="253"/>
      <c r="BR87" s="253"/>
      <c r="BS87" s="253"/>
      <c r="BT87" s="253"/>
      <c r="BU87" s="253"/>
      <c r="BV87" s="253"/>
      <c r="BW87" s="253"/>
      <c r="BX87" s="253"/>
      <c r="BY87" s="253"/>
      <c r="BZ87" s="253"/>
      <c r="CA87" s="253"/>
      <c r="CB87" s="253"/>
      <c r="CC87" s="253"/>
      <c r="CD87" s="253"/>
      <c r="CE87" s="253"/>
      <c r="CF87" s="253"/>
      <c r="CG87" s="253"/>
      <c r="CH87" s="253"/>
      <c r="CI87" s="253"/>
      <c r="CJ87" s="253"/>
      <c r="CK87" s="253"/>
      <c r="CL87" s="253"/>
      <c r="CM87" s="253"/>
      <c r="CN87" s="253"/>
      <c r="CO87" s="253"/>
      <c r="CP87" s="253"/>
      <c r="CQ87" s="253"/>
      <c r="CR87" s="253"/>
      <c r="CS87" s="253"/>
      <c r="CT87" s="253"/>
      <c r="CU87" s="253"/>
      <c r="CV87" s="253"/>
      <c r="CW87" s="253"/>
      <c r="CX87" s="253"/>
      <c r="CY87" s="253"/>
      <c r="CZ87" s="253"/>
      <c r="DA87" s="253"/>
      <c r="DB87" s="253"/>
      <c r="DC87" s="253"/>
      <c r="DD87" s="253"/>
      <c r="DE87" s="253"/>
      <c r="DF87" s="253"/>
      <c r="DG87" s="253"/>
      <c r="DH87" s="253"/>
      <c r="DI87" s="253"/>
      <c r="DJ87" s="253"/>
      <c r="DK87" s="253"/>
      <c r="DL87" s="253"/>
      <c r="DM87" s="253"/>
      <c r="DN87" s="253"/>
      <c r="DO87" s="253"/>
      <c r="DP87" s="253"/>
      <c r="DQ87" s="253"/>
      <c r="DR87" s="255">
        <f>100-100</f>
        <v>0</v>
      </c>
      <c r="DS87" s="253"/>
      <c r="DT87" s="253"/>
      <c r="DU87" s="253"/>
      <c r="DV87" s="253"/>
      <c r="DW87" s="253"/>
      <c r="DX87" s="253"/>
      <c r="DY87" s="253"/>
      <c r="DZ87" s="253"/>
      <c r="EA87" s="253"/>
      <c r="EB87" s="253"/>
      <c r="EC87" s="253"/>
      <c r="ED87" s="253"/>
      <c r="EE87" s="253"/>
      <c r="EF87" s="253"/>
      <c r="EG87" s="255">
        <f>60-60</f>
        <v>0</v>
      </c>
      <c r="EH87" s="253"/>
      <c r="EI87" s="255">
        <f>60-60</f>
        <v>0</v>
      </c>
      <c r="EJ87" s="253"/>
      <c r="EK87" s="253"/>
      <c r="EL87" s="253"/>
      <c r="EM87" s="253"/>
      <c r="EN87" s="253"/>
      <c r="EO87" s="253"/>
      <c r="EP87" s="253"/>
      <c r="EQ87" s="253"/>
      <c r="ER87" s="253"/>
      <c r="ES87" s="253"/>
      <c r="ET87" s="253"/>
      <c r="EU87" s="253"/>
      <c r="EV87" s="253"/>
      <c r="EW87" s="253"/>
      <c r="EX87" s="253"/>
      <c r="EY87" s="253"/>
      <c r="EZ87" s="253"/>
      <c r="FA87" s="253"/>
      <c r="FB87" s="253"/>
      <c r="FC87" s="253"/>
      <c r="FD87" s="253"/>
      <c r="FE87" s="253"/>
      <c r="FF87" s="253"/>
      <c r="FG87" s="256"/>
      <c r="FH87" s="257" t="s">
        <v>892</v>
      </c>
      <c r="FI87" s="258" t="s">
        <v>389</v>
      </c>
      <c r="FJ87" s="258" t="s">
        <v>855</v>
      </c>
      <c r="FK87" s="258" t="s">
        <v>439</v>
      </c>
      <c r="FL87" s="259">
        <f t="shared" si="7"/>
        <v>20</v>
      </c>
      <c r="FM87" s="260" t="s">
        <v>421</v>
      </c>
      <c r="FN87" s="260"/>
    </row>
    <row r="88" spans="1:170">
      <c r="A88" s="251" t="s">
        <v>385</v>
      </c>
      <c r="B88" s="251" t="s">
        <v>392</v>
      </c>
      <c r="C88" s="251" t="s">
        <v>411</v>
      </c>
      <c r="D88" s="251" t="s">
        <v>1</v>
      </c>
      <c r="E88" s="252" t="s">
        <v>851</v>
      </c>
      <c r="F88" s="251" t="s">
        <v>388</v>
      </c>
      <c r="G88" s="251" t="s">
        <v>916</v>
      </c>
      <c r="H88" s="253"/>
      <c r="I88" s="253"/>
      <c r="J88" s="253"/>
      <c r="K88" s="253"/>
      <c r="L88" s="253"/>
      <c r="M88" s="253"/>
      <c r="N88" s="253"/>
      <c r="O88" s="253"/>
      <c r="P88" s="255">
        <f>100-100</f>
        <v>0</v>
      </c>
      <c r="Q88" s="253"/>
      <c r="R88" s="253"/>
      <c r="S88" s="253"/>
      <c r="T88" s="253"/>
      <c r="U88" s="253"/>
      <c r="V88" s="255">
        <f>100-100</f>
        <v>0</v>
      </c>
      <c r="W88" s="253"/>
      <c r="X88" s="253"/>
      <c r="Y88" s="253"/>
      <c r="Z88" s="255">
        <f>100-100</f>
        <v>0</v>
      </c>
      <c r="AA88" s="253"/>
      <c r="AB88" s="255">
        <f>100-100</f>
        <v>0</v>
      </c>
      <c r="AC88" s="253"/>
      <c r="AD88" s="255">
        <f>400-400</f>
        <v>0</v>
      </c>
      <c r="AE88" s="253"/>
      <c r="AF88" s="253"/>
      <c r="AG88" s="255">
        <f>100-100</f>
        <v>0</v>
      </c>
      <c r="AH88" s="255">
        <f>150-150</f>
        <v>0</v>
      </c>
      <c r="AI88" s="253"/>
      <c r="AJ88" s="253"/>
      <c r="AK88" s="253"/>
      <c r="AL88" s="253"/>
      <c r="AM88" s="253"/>
      <c r="AN88" s="253"/>
      <c r="AO88" s="253"/>
      <c r="AP88" s="253"/>
      <c r="AQ88" s="253"/>
      <c r="AR88" s="253"/>
      <c r="AS88" s="253"/>
      <c r="AT88" s="253"/>
      <c r="AU88" s="253"/>
      <c r="AV88" s="253"/>
      <c r="AW88" s="255">
        <f>200-200</f>
        <v>0</v>
      </c>
      <c r="AX88" s="253"/>
      <c r="AY88" s="253"/>
      <c r="AZ88" s="253"/>
      <c r="BA88" s="253"/>
      <c r="BB88" s="253"/>
      <c r="BC88" s="253"/>
      <c r="BD88" s="253"/>
      <c r="BE88" s="253"/>
      <c r="BF88" s="253"/>
      <c r="BG88" s="253"/>
      <c r="BH88" s="253"/>
      <c r="BI88" s="253"/>
      <c r="BJ88" s="253"/>
      <c r="BK88" s="253"/>
      <c r="BL88" s="253"/>
      <c r="BM88" s="253"/>
      <c r="BN88" s="253"/>
      <c r="BO88" s="253"/>
      <c r="BP88" s="253"/>
      <c r="BQ88" s="253"/>
      <c r="BR88" s="253"/>
      <c r="BS88" s="253"/>
      <c r="BT88" s="253"/>
      <c r="BU88" s="253"/>
      <c r="BV88" s="253"/>
      <c r="BW88" s="253"/>
      <c r="BX88" s="253"/>
      <c r="BY88" s="253"/>
      <c r="BZ88" s="253"/>
      <c r="CA88" s="253"/>
      <c r="CB88" s="253"/>
      <c r="CC88" s="253"/>
      <c r="CD88" s="253"/>
      <c r="CE88" s="253"/>
      <c r="CF88" s="253"/>
      <c r="CG88" s="253"/>
      <c r="CH88" s="253"/>
      <c r="CI88" s="253"/>
      <c r="CJ88" s="253"/>
      <c r="CK88" s="253"/>
      <c r="CL88" s="253"/>
      <c r="CM88" s="253"/>
      <c r="CN88" s="253"/>
      <c r="CO88" s="253"/>
      <c r="CP88" s="253"/>
      <c r="CQ88" s="253"/>
      <c r="CR88" s="253"/>
      <c r="CS88" s="253"/>
      <c r="CT88" s="253"/>
      <c r="CU88" s="253"/>
      <c r="CV88" s="253"/>
      <c r="CW88" s="253"/>
      <c r="CX88" s="253"/>
      <c r="CY88" s="253"/>
      <c r="CZ88" s="253"/>
      <c r="DA88" s="253"/>
      <c r="DB88" s="253"/>
      <c r="DC88" s="253"/>
      <c r="DD88" s="253"/>
      <c r="DE88" s="253"/>
      <c r="DF88" s="253"/>
      <c r="DG88" s="253"/>
      <c r="DH88" s="253"/>
      <c r="DI88" s="253"/>
      <c r="DJ88" s="253"/>
      <c r="DK88" s="253"/>
      <c r="DL88" s="253"/>
      <c r="DM88" s="253"/>
      <c r="DN88" s="253"/>
      <c r="DO88" s="253"/>
      <c r="DP88" s="253"/>
      <c r="DQ88" s="253"/>
      <c r="DR88" s="253"/>
      <c r="DS88" s="253"/>
      <c r="DT88" s="253"/>
      <c r="DU88" s="253"/>
      <c r="DV88" s="253"/>
      <c r="DW88" s="253"/>
      <c r="DX88" s="253"/>
      <c r="DY88" s="253"/>
      <c r="DZ88" s="253"/>
      <c r="EA88" s="253"/>
      <c r="EB88" s="253"/>
      <c r="EC88" s="253"/>
      <c r="ED88" s="253"/>
      <c r="EE88" s="253"/>
      <c r="EF88" s="253"/>
      <c r="EG88" s="255">
        <f>40-40</f>
        <v>0</v>
      </c>
      <c r="EH88" s="253"/>
      <c r="EI88" s="255">
        <f>40-40</f>
        <v>0</v>
      </c>
      <c r="EJ88" s="253"/>
      <c r="EK88" s="253"/>
      <c r="EL88" s="253"/>
      <c r="EM88" s="253"/>
      <c r="EN88" s="253"/>
      <c r="EO88" s="253"/>
      <c r="EP88" s="253"/>
      <c r="EQ88" s="253"/>
      <c r="ER88" s="253"/>
      <c r="ES88" s="253"/>
      <c r="ET88" s="253"/>
      <c r="EU88" s="253"/>
      <c r="EV88" s="253"/>
      <c r="EW88" s="253"/>
      <c r="EX88" s="253"/>
      <c r="EY88" s="253"/>
      <c r="EZ88" s="253"/>
      <c r="FA88" s="253"/>
      <c r="FB88" s="253"/>
      <c r="FC88" s="253"/>
      <c r="FD88" s="253"/>
      <c r="FE88" s="253"/>
      <c r="FF88" s="253"/>
      <c r="FG88" s="256"/>
      <c r="FH88" s="257" t="s">
        <v>892</v>
      </c>
      <c r="FI88" s="258" t="s">
        <v>389</v>
      </c>
      <c r="FJ88" s="258" t="s">
        <v>853</v>
      </c>
      <c r="FK88" s="258" t="s">
        <v>439</v>
      </c>
      <c r="FL88" s="259">
        <f t="shared" si="7"/>
        <v>0</v>
      </c>
      <c r="FM88" s="260" t="s">
        <v>421</v>
      </c>
      <c r="FN88" s="260"/>
    </row>
    <row r="89" spans="1:170">
      <c r="A89" s="251" t="s">
        <v>417</v>
      </c>
      <c r="B89" s="251" t="s">
        <v>385</v>
      </c>
      <c r="C89" s="251" t="s">
        <v>411</v>
      </c>
      <c r="D89" s="251" t="s">
        <v>291</v>
      </c>
      <c r="E89" s="252" t="s">
        <v>856</v>
      </c>
      <c r="F89" s="251" t="s">
        <v>388</v>
      </c>
      <c r="G89" s="251" t="s">
        <v>917</v>
      </c>
      <c r="H89" s="253"/>
      <c r="I89" s="253"/>
      <c r="J89" s="253"/>
      <c r="K89" s="253"/>
      <c r="L89" s="253"/>
      <c r="M89" s="253"/>
      <c r="N89" s="253"/>
      <c r="O89" s="253"/>
      <c r="P89" s="253"/>
      <c r="Q89" s="253"/>
      <c r="R89" s="253"/>
      <c r="S89" s="253"/>
      <c r="T89" s="253"/>
      <c r="U89" s="253"/>
      <c r="V89" s="253"/>
      <c r="W89" s="253"/>
      <c r="X89" s="253"/>
      <c r="Y89" s="253"/>
      <c r="Z89" s="253"/>
      <c r="AA89" s="253"/>
      <c r="AB89" s="253"/>
      <c r="AC89" s="253"/>
      <c r="AD89" s="253"/>
      <c r="AE89" s="253"/>
      <c r="AF89" s="253"/>
      <c r="AG89" s="253"/>
      <c r="AH89" s="253"/>
      <c r="AI89" s="253"/>
      <c r="AJ89" s="255">
        <f>250-250</f>
        <v>0</v>
      </c>
      <c r="AK89" s="253"/>
      <c r="AL89" s="253"/>
      <c r="AM89" s="253"/>
      <c r="AN89" s="253"/>
      <c r="AO89" s="253"/>
      <c r="AP89" s="253"/>
      <c r="AQ89" s="253"/>
      <c r="AR89" s="253"/>
      <c r="AS89" s="253"/>
      <c r="AT89" s="253"/>
      <c r="AU89" s="253"/>
      <c r="AV89" s="253"/>
      <c r="AW89" s="253"/>
      <c r="AX89" s="253"/>
      <c r="AY89" s="253"/>
      <c r="AZ89" s="253"/>
      <c r="BA89" s="253"/>
      <c r="BB89" s="253"/>
      <c r="BC89" s="253"/>
      <c r="BD89" s="253"/>
      <c r="BE89" s="253"/>
      <c r="BF89" s="253"/>
      <c r="BG89" s="255">
        <f>50-50</f>
        <v>0</v>
      </c>
      <c r="BH89" s="253"/>
      <c r="BI89" s="253"/>
      <c r="BJ89" s="253"/>
      <c r="BK89" s="253"/>
      <c r="BL89" s="253"/>
      <c r="BM89" s="253"/>
      <c r="BN89" s="253"/>
      <c r="BO89" s="253"/>
      <c r="BP89" s="253"/>
      <c r="BQ89" s="253"/>
      <c r="BR89" s="253"/>
      <c r="BS89" s="253"/>
      <c r="BT89" s="253"/>
      <c r="BU89" s="253"/>
      <c r="BV89" s="253"/>
      <c r="BW89" s="253"/>
      <c r="BX89" s="253"/>
      <c r="BY89" s="253"/>
      <c r="BZ89" s="253"/>
      <c r="CA89" s="253"/>
      <c r="CB89" s="253"/>
      <c r="CC89" s="253"/>
      <c r="CD89" s="253"/>
      <c r="CE89" s="253"/>
      <c r="CF89" s="253"/>
      <c r="CG89" s="253"/>
      <c r="CH89" s="253"/>
      <c r="CI89" s="253"/>
      <c r="CJ89" s="253"/>
      <c r="CK89" s="253"/>
      <c r="CL89" s="253"/>
      <c r="CM89" s="253"/>
      <c r="CN89" s="253"/>
      <c r="CO89" s="253"/>
      <c r="CP89" s="253"/>
      <c r="CQ89" s="253"/>
      <c r="CR89" s="253"/>
      <c r="CS89" s="253"/>
      <c r="CT89" s="253"/>
      <c r="CU89" s="253"/>
      <c r="CV89" s="253"/>
      <c r="CW89" s="253"/>
      <c r="CX89" s="253"/>
      <c r="CY89" s="253"/>
      <c r="CZ89" s="253"/>
      <c r="DA89" s="253"/>
      <c r="DB89" s="253"/>
      <c r="DC89" s="253"/>
      <c r="DD89" s="253"/>
      <c r="DE89" s="253"/>
      <c r="DF89" s="253"/>
      <c r="DG89" s="253"/>
      <c r="DH89" s="253"/>
      <c r="DI89" s="253"/>
      <c r="DJ89" s="253"/>
      <c r="DK89" s="253"/>
      <c r="DL89" s="253"/>
      <c r="DM89" s="253"/>
      <c r="DN89" s="253"/>
      <c r="DO89" s="253"/>
      <c r="DP89" s="253"/>
      <c r="DQ89" s="253"/>
      <c r="DR89" s="253"/>
      <c r="DS89" s="253"/>
      <c r="DT89" s="253"/>
      <c r="DU89" s="253"/>
      <c r="DV89" s="253"/>
      <c r="DW89" s="253"/>
      <c r="DX89" s="253"/>
      <c r="DY89" s="253"/>
      <c r="DZ89" s="253"/>
      <c r="EA89" s="253"/>
      <c r="EB89" s="253"/>
      <c r="EC89" s="253"/>
      <c r="ED89" s="253"/>
      <c r="EE89" s="253"/>
      <c r="EF89" s="253"/>
      <c r="EG89" s="253"/>
      <c r="EH89" s="253"/>
      <c r="EI89" s="253"/>
      <c r="EJ89" s="253"/>
      <c r="EK89" s="253"/>
      <c r="EL89" s="253"/>
      <c r="EM89" s="253"/>
      <c r="EN89" s="253"/>
      <c r="EO89" s="253"/>
      <c r="EP89" s="253"/>
      <c r="EQ89" s="253"/>
      <c r="ER89" s="253"/>
      <c r="ES89" s="253"/>
      <c r="ET89" s="253"/>
      <c r="EU89" s="253"/>
      <c r="EV89" s="253"/>
      <c r="EW89" s="253"/>
      <c r="EX89" s="253"/>
      <c r="EY89" s="253"/>
      <c r="EZ89" s="253"/>
      <c r="FA89" s="253"/>
      <c r="FB89" s="253"/>
      <c r="FC89" s="253"/>
      <c r="FD89" s="253"/>
      <c r="FE89" s="253"/>
      <c r="FF89" s="253"/>
      <c r="FG89" s="256"/>
      <c r="FH89" s="257" t="s">
        <v>892</v>
      </c>
      <c r="FI89" s="258" t="s">
        <v>389</v>
      </c>
      <c r="FJ89" s="258" t="s">
        <v>858</v>
      </c>
      <c r="FK89" s="258" t="s">
        <v>420</v>
      </c>
      <c r="FL89" s="259">
        <f t="shared" si="7"/>
        <v>0</v>
      </c>
      <c r="FM89" s="260" t="s">
        <v>433</v>
      </c>
      <c r="FN89" s="260"/>
    </row>
    <row r="90" spans="1:170">
      <c r="A90" s="251" t="s">
        <v>417</v>
      </c>
      <c r="B90" s="251" t="s">
        <v>385</v>
      </c>
      <c r="C90" s="251" t="s">
        <v>411</v>
      </c>
      <c r="D90" s="251" t="s">
        <v>1</v>
      </c>
      <c r="E90" s="252" t="s">
        <v>856</v>
      </c>
      <c r="F90" s="251" t="s">
        <v>388</v>
      </c>
      <c r="G90" s="251" t="s">
        <v>917</v>
      </c>
      <c r="H90" s="253"/>
      <c r="I90" s="253"/>
      <c r="J90" s="253"/>
      <c r="K90" s="253"/>
      <c r="L90" s="253"/>
      <c r="M90" s="253"/>
      <c r="N90" s="253"/>
      <c r="O90" s="253"/>
      <c r="P90" s="253"/>
      <c r="Q90" s="253"/>
      <c r="R90" s="253"/>
      <c r="S90" s="253"/>
      <c r="T90" s="253"/>
      <c r="U90" s="253"/>
      <c r="V90" s="253"/>
      <c r="W90" s="253"/>
      <c r="X90" s="253"/>
      <c r="Y90" s="253"/>
      <c r="Z90" s="253"/>
      <c r="AA90" s="253"/>
      <c r="AB90" s="253"/>
      <c r="AC90" s="253"/>
      <c r="AD90" s="254">
        <f>200-200+10</f>
        <v>10</v>
      </c>
      <c r="AE90" s="253"/>
      <c r="AF90" s="253"/>
      <c r="AG90" s="253"/>
      <c r="AH90" s="253"/>
      <c r="AI90" s="253"/>
      <c r="AJ90" s="253"/>
      <c r="AK90" s="253"/>
      <c r="AL90" s="253"/>
      <c r="AM90" s="253"/>
      <c r="AN90" s="253"/>
      <c r="AO90" s="253"/>
      <c r="AP90" s="253"/>
      <c r="AQ90" s="253"/>
      <c r="AR90" s="253"/>
      <c r="AS90" s="253"/>
      <c r="AT90" s="253"/>
      <c r="AU90" s="253"/>
      <c r="AV90" s="253"/>
      <c r="AW90" s="255">
        <f>200-200</f>
        <v>0</v>
      </c>
      <c r="AX90" s="253"/>
      <c r="AY90" s="253"/>
      <c r="AZ90" s="253"/>
      <c r="BA90" s="253"/>
      <c r="BB90" s="253"/>
      <c r="BC90" s="253"/>
      <c r="BD90" s="253"/>
      <c r="BE90" s="253"/>
      <c r="BF90" s="253"/>
      <c r="BG90" s="253"/>
      <c r="BH90" s="253"/>
      <c r="BI90" s="253"/>
      <c r="BJ90" s="253"/>
      <c r="BK90" s="253"/>
      <c r="BL90" s="253"/>
      <c r="BM90" s="253"/>
      <c r="BN90" s="253"/>
      <c r="BO90" s="253"/>
      <c r="BP90" s="253"/>
      <c r="BQ90" s="253"/>
      <c r="BR90" s="253"/>
      <c r="BS90" s="253"/>
      <c r="BT90" s="253"/>
      <c r="BU90" s="253"/>
      <c r="BV90" s="253"/>
      <c r="BW90" s="253"/>
      <c r="BX90" s="253"/>
      <c r="BY90" s="253"/>
      <c r="BZ90" s="253"/>
      <c r="CA90" s="253"/>
      <c r="CB90" s="253"/>
      <c r="CC90" s="253"/>
      <c r="CD90" s="253"/>
      <c r="CE90" s="253"/>
      <c r="CF90" s="253"/>
      <c r="CG90" s="253"/>
      <c r="CH90" s="253"/>
      <c r="CI90" s="253"/>
      <c r="CJ90" s="253"/>
      <c r="CK90" s="253"/>
      <c r="CL90" s="253"/>
      <c r="CM90" s="253"/>
      <c r="CN90" s="253"/>
      <c r="CO90" s="253"/>
      <c r="CP90" s="253"/>
      <c r="CQ90" s="253"/>
      <c r="CR90" s="253"/>
      <c r="CS90" s="253"/>
      <c r="CT90" s="253"/>
      <c r="CU90" s="253"/>
      <c r="CV90" s="253"/>
      <c r="CW90" s="253"/>
      <c r="CX90" s="253"/>
      <c r="CY90" s="253"/>
      <c r="CZ90" s="253"/>
      <c r="DA90" s="253"/>
      <c r="DB90" s="253"/>
      <c r="DC90" s="253"/>
      <c r="DD90" s="253"/>
      <c r="DE90" s="253"/>
      <c r="DF90" s="253"/>
      <c r="DG90" s="253"/>
      <c r="DH90" s="253"/>
      <c r="DI90" s="253"/>
      <c r="DJ90" s="253"/>
      <c r="DK90" s="253"/>
      <c r="DL90" s="253"/>
      <c r="DM90" s="253"/>
      <c r="DN90" s="253"/>
      <c r="DO90" s="253"/>
      <c r="DP90" s="253"/>
      <c r="DQ90" s="253"/>
      <c r="DR90" s="253"/>
      <c r="DS90" s="253"/>
      <c r="DT90" s="253"/>
      <c r="DU90" s="253"/>
      <c r="DV90" s="253"/>
      <c r="DW90" s="253"/>
      <c r="DX90" s="253"/>
      <c r="DY90" s="253"/>
      <c r="DZ90" s="253"/>
      <c r="EA90" s="253"/>
      <c r="EB90" s="253"/>
      <c r="EC90" s="253"/>
      <c r="ED90" s="253"/>
      <c r="EE90" s="253"/>
      <c r="EF90" s="253"/>
      <c r="EG90" s="253"/>
      <c r="EH90" s="253"/>
      <c r="EI90" s="253"/>
      <c r="EJ90" s="253"/>
      <c r="EK90" s="253"/>
      <c r="EL90" s="253"/>
      <c r="EM90" s="253"/>
      <c r="EN90" s="253"/>
      <c r="EO90" s="253"/>
      <c r="EP90" s="253"/>
      <c r="EQ90" s="253"/>
      <c r="ER90" s="253"/>
      <c r="ES90" s="253"/>
      <c r="ET90" s="253"/>
      <c r="EU90" s="253"/>
      <c r="EV90" s="253"/>
      <c r="EW90" s="253"/>
      <c r="EX90" s="253"/>
      <c r="EY90" s="253"/>
      <c r="EZ90" s="253"/>
      <c r="FA90" s="253"/>
      <c r="FB90" s="253"/>
      <c r="FC90" s="253"/>
      <c r="FD90" s="253"/>
      <c r="FE90" s="253"/>
      <c r="FF90" s="253"/>
      <c r="FG90" s="256"/>
      <c r="FH90" s="257" t="s">
        <v>892</v>
      </c>
      <c r="FI90" s="258" t="s">
        <v>389</v>
      </c>
      <c r="FJ90" s="258" t="s">
        <v>858</v>
      </c>
      <c r="FK90" s="258" t="s">
        <v>420</v>
      </c>
      <c r="FL90" s="259">
        <f t="shared" si="7"/>
        <v>10</v>
      </c>
      <c r="FM90" s="260" t="s">
        <v>433</v>
      </c>
      <c r="FN90" s="260"/>
    </row>
    <row r="91" spans="1:170">
      <c r="A91" s="251" t="s">
        <v>393</v>
      </c>
      <c r="B91" s="251" t="s">
        <v>385</v>
      </c>
      <c r="C91" s="251" t="s">
        <v>411</v>
      </c>
      <c r="D91" s="251" t="s">
        <v>291</v>
      </c>
      <c r="E91" s="252" t="s">
        <v>859</v>
      </c>
      <c r="F91" s="251" t="s">
        <v>388</v>
      </c>
      <c r="G91" s="251"/>
      <c r="H91" s="253"/>
      <c r="I91" s="253"/>
      <c r="J91" s="253"/>
      <c r="K91" s="253"/>
      <c r="L91" s="253"/>
      <c r="M91" s="253"/>
      <c r="N91" s="253"/>
      <c r="O91" s="253"/>
      <c r="P91" s="253"/>
      <c r="Q91" s="253"/>
      <c r="R91" s="253"/>
      <c r="S91" s="253"/>
      <c r="T91" s="253"/>
      <c r="U91" s="253"/>
      <c r="V91" s="253"/>
      <c r="W91" s="253"/>
      <c r="X91" s="253"/>
      <c r="Y91" s="253"/>
      <c r="Z91" s="253"/>
      <c r="AA91" s="253"/>
      <c r="AB91" s="253"/>
      <c r="AC91" s="253"/>
      <c r="AD91" s="253"/>
      <c r="AE91" s="253"/>
      <c r="AF91" s="253"/>
      <c r="AG91" s="253"/>
      <c r="AH91" s="253"/>
      <c r="AI91" s="253"/>
      <c r="AJ91" s="255">
        <f>100-100</f>
        <v>0</v>
      </c>
      <c r="AK91" s="253"/>
      <c r="AL91" s="253"/>
      <c r="AM91" s="253"/>
      <c r="AN91" s="253"/>
      <c r="AO91" s="253"/>
      <c r="AP91" s="253"/>
      <c r="AQ91" s="253"/>
      <c r="AR91" s="253"/>
      <c r="AS91" s="255">
        <f>100-100</f>
        <v>0</v>
      </c>
      <c r="AT91" s="255">
        <f>100-100</f>
        <v>0</v>
      </c>
      <c r="AU91" s="253"/>
      <c r="AV91" s="253"/>
      <c r="AW91" s="253"/>
      <c r="AX91" s="253"/>
      <c r="AY91" s="253"/>
      <c r="AZ91" s="253"/>
      <c r="BA91" s="253"/>
      <c r="BB91" s="253"/>
      <c r="BC91" s="253"/>
      <c r="BD91" s="253"/>
      <c r="BE91" s="253"/>
      <c r="BF91" s="253"/>
      <c r="BG91" s="253"/>
      <c r="BH91" s="253"/>
      <c r="BI91" s="253"/>
      <c r="BJ91" s="253"/>
      <c r="BK91" s="253"/>
      <c r="BL91" s="253"/>
      <c r="BM91" s="253"/>
      <c r="BN91" s="253"/>
      <c r="BO91" s="253"/>
      <c r="BP91" s="253"/>
      <c r="BQ91" s="253"/>
      <c r="BR91" s="253"/>
      <c r="BS91" s="253"/>
      <c r="BT91" s="253"/>
      <c r="BU91" s="253"/>
      <c r="BV91" s="253"/>
      <c r="BW91" s="253"/>
      <c r="BX91" s="253"/>
      <c r="BY91" s="253"/>
      <c r="BZ91" s="253"/>
      <c r="CA91" s="253"/>
      <c r="CB91" s="253"/>
      <c r="CC91" s="253"/>
      <c r="CD91" s="253"/>
      <c r="CE91" s="253"/>
      <c r="CF91" s="253"/>
      <c r="CG91" s="253"/>
      <c r="CH91" s="253"/>
      <c r="CI91" s="253"/>
      <c r="CJ91" s="253"/>
      <c r="CK91" s="253"/>
      <c r="CL91" s="253"/>
      <c r="CM91" s="253"/>
      <c r="CN91" s="253"/>
      <c r="CO91" s="253"/>
      <c r="CP91" s="253"/>
      <c r="CQ91" s="253"/>
      <c r="CR91" s="253"/>
      <c r="CS91" s="253"/>
      <c r="CT91" s="253"/>
      <c r="CU91" s="253"/>
      <c r="CV91" s="253"/>
      <c r="CW91" s="253"/>
      <c r="CX91" s="253"/>
      <c r="CY91" s="253"/>
      <c r="CZ91" s="253"/>
      <c r="DA91" s="253"/>
      <c r="DB91" s="253"/>
      <c r="DC91" s="253"/>
      <c r="DD91" s="253"/>
      <c r="DE91" s="253"/>
      <c r="DF91" s="253"/>
      <c r="DG91" s="253"/>
      <c r="DH91" s="253"/>
      <c r="DI91" s="253"/>
      <c r="DJ91" s="253"/>
      <c r="DK91" s="253"/>
      <c r="DL91" s="253"/>
      <c r="DM91" s="253"/>
      <c r="DN91" s="253"/>
      <c r="DO91" s="253"/>
      <c r="DP91" s="253"/>
      <c r="DQ91" s="253"/>
      <c r="DR91" s="253"/>
      <c r="DS91" s="253"/>
      <c r="DT91" s="253"/>
      <c r="DU91" s="253"/>
      <c r="DV91" s="253"/>
      <c r="DW91" s="253"/>
      <c r="DX91" s="253"/>
      <c r="DY91" s="253"/>
      <c r="DZ91" s="253"/>
      <c r="EA91" s="253"/>
      <c r="EB91" s="253"/>
      <c r="EC91" s="253"/>
      <c r="ED91" s="253"/>
      <c r="EE91" s="253"/>
      <c r="EF91" s="253"/>
      <c r="EG91" s="253"/>
      <c r="EH91" s="253"/>
      <c r="EI91" s="253"/>
      <c r="EJ91" s="253"/>
      <c r="EK91" s="253"/>
      <c r="EL91" s="253"/>
      <c r="EM91" s="253"/>
      <c r="EN91" s="253"/>
      <c r="EO91" s="253"/>
      <c r="EP91" s="253"/>
      <c r="EQ91" s="253"/>
      <c r="ER91" s="253"/>
      <c r="ES91" s="253"/>
      <c r="ET91" s="253"/>
      <c r="EU91" s="253"/>
      <c r="EV91" s="253"/>
      <c r="EW91" s="253"/>
      <c r="EX91" s="253"/>
      <c r="EY91" s="253"/>
      <c r="EZ91" s="253"/>
      <c r="FA91" s="253"/>
      <c r="FB91" s="253"/>
      <c r="FC91" s="253"/>
      <c r="FD91" s="253"/>
      <c r="FE91" s="253"/>
      <c r="FF91" s="253"/>
      <c r="FG91" s="256"/>
      <c r="FH91" s="257" t="s">
        <v>892</v>
      </c>
      <c r="FI91" s="258" t="s">
        <v>389</v>
      </c>
      <c r="FJ91" s="258"/>
      <c r="FK91" s="258" t="s">
        <v>416</v>
      </c>
      <c r="FL91" s="259">
        <f t="shared" si="7"/>
        <v>0</v>
      </c>
      <c r="FM91" s="260" t="s">
        <v>414</v>
      </c>
      <c r="FN91" s="260"/>
    </row>
    <row r="92" spans="1:170">
      <c r="A92" s="251" t="s">
        <v>393</v>
      </c>
      <c r="B92" s="251" t="s">
        <v>385</v>
      </c>
      <c r="C92" s="251" t="s">
        <v>411</v>
      </c>
      <c r="D92" s="251" t="s">
        <v>1</v>
      </c>
      <c r="E92" s="252" t="s">
        <v>859</v>
      </c>
      <c r="F92" s="251" t="s">
        <v>388</v>
      </c>
      <c r="G92" s="251"/>
      <c r="H92" s="253"/>
      <c r="I92" s="253"/>
      <c r="J92" s="253"/>
      <c r="K92" s="253"/>
      <c r="L92" s="253"/>
      <c r="M92" s="253"/>
      <c r="N92" s="253"/>
      <c r="O92" s="253"/>
      <c r="P92" s="253"/>
      <c r="Q92" s="253"/>
      <c r="R92" s="253"/>
      <c r="S92" s="253"/>
      <c r="T92" s="253"/>
      <c r="U92" s="253"/>
      <c r="V92" s="253"/>
      <c r="W92" s="253"/>
      <c r="X92" s="253"/>
      <c r="Y92" s="253"/>
      <c r="Z92" s="253"/>
      <c r="AA92" s="253"/>
      <c r="AB92" s="253"/>
      <c r="AC92" s="253"/>
      <c r="AD92" s="253"/>
      <c r="AE92" s="253"/>
      <c r="AF92" s="253"/>
      <c r="AG92" s="253"/>
      <c r="AH92" s="253"/>
      <c r="AI92" s="253"/>
      <c r="AJ92" s="253"/>
      <c r="AK92" s="253"/>
      <c r="AL92" s="253"/>
      <c r="AM92" s="253"/>
      <c r="AN92" s="253"/>
      <c r="AO92" s="253"/>
      <c r="AP92" s="253"/>
      <c r="AQ92" s="253"/>
      <c r="AR92" s="253"/>
      <c r="AS92" s="253"/>
      <c r="AT92" s="253"/>
      <c r="AU92" s="253"/>
      <c r="AV92" s="253"/>
      <c r="AW92" s="255">
        <f>100-100</f>
        <v>0</v>
      </c>
      <c r="AX92" s="253"/>
      <c r="AY92" s="253"/>
      <c r="AZ92" s="253"/>
      <c r="BA92" s="253"/>
      <c r="BB92" s="253"/>
      <c r="BC92" s="253"/>
      <c r="BD92" s="253"/>
      <c r="BE92" s="253"/>
      <c r="BF92" s="253"/>
      <c r="BG92" s="253"/>
      <c r="BH92" s="253"/>
      <c r="BI92" s="253"/>
      <c r="BJ92" s="253"/>
      <c r="BK92" s="253"/>
      <c r="BL92" s="253"/>
      <c r="BM92" s="253"/>
      <c r="BN92" s="253"/>
      <c r="BO92" s="253"/>
      <c r="BP92" s="253"/>
      <c r="BQ92" s="253"/>
      <c r="BR92" s="253"/>
      <c r="BS92" s="253"/>
      <c r="BT92" s="253"/>
      <c r="BU92" s="253"/>
      <c r="BV92" s="253"/>
      <c r="BW92" s="253"/>
      <c r="BX92" s="253"/>
      <c r="BY92" s="253"/>
      <c r="BZ92" s="253"/>
      <c r="CA92" s="253"/>
      <c r="CB92" s="253"/>
      <c r="CC92" s="253"/>
      <c r="CD92" s="253"/>
      <c r="CE92" s="253"/>
      <c r="CF92" s="253"/>
      <c r="CG92" s="253"/>
      <c r="CH92" s="253"/>
      <c r="CI92" s="253"/>
      <c r="CJ92" s="253"/>
      <c r="CK92" s="253"/>
      <c r="CL92" s="253"/>
      <c r="CM92" s="253"/>
      <c r="CN92" s="253"/>
      <c r="CO92" s="253"/>
      <c r="CP92" s="253"/>
      <c r="CQ92" s="253"/>
      <c r="CR92" s="253"/>
      <c r="CS92" s="253"/>
      <c r="CT92" s="253"/>
      <c r="CU92" s="253"/>
      <c r="CV92" s="253"/>
      <c r="CW92" s="253"/>
      <c r="CX92" s="253"/>
      <c r="CY92" s="253"/>
      <c r="CZ92" s="253"/>
      <c r="DA92" s="253"/>
      <c r="DB92" s="253"/>
      <c r="DC92" s="253"/>
      <c r="DD92" s="253"/>
      <c r="DE92" s="253"/>
      <c r="DF92" s="253"/>
      <c r="DG92" s="253"/>
      <c r="DH92" s="253"/>
      <c r="DI92" s="253"/>
      <c r="DJ92" s="253"/>
      <c r="DK92" s="253"/>
      <c r="DL92" s="253"/>
      <c r="DM92" s="253"/>
      <c r="DN92" s="253"/>
      <c r="DO92" s="253"/>
      <c r="DP92" s="253"/>
      <c r="DQ92" s="253"/>
      <c r="DR92" s="253"/>
      <c r="DS92" s="253"/>
      <c r="DT92" s="253"/>
      <c r="DU92" s="253"/>
      <c r="DV92" s="255">
        <f>100-100</f>
        <v>0</v>
      </c>
      <c r="DW92" s="255">
        <f>100-100</f>
        <v>0</v>
      </c>
      <c r="DX92" s="253"/>
      <c r="DY92" s="253"/>
      <c r="DZ92" s="255">
        <f>100-100</f>
        <v>0</v>
      </c>
      <c r="EA92" s="255">
        <f>100-100</f>
        <v>0</v>
      </c>
      <c r="EB92" s="255">
        <f>100-100</f>
        <v>0</v>
      </c>
      <c r="EC92" s="253"/>
      <c r="ED92" s="253"/>
      <c r="EE92" s="253"/>
      <c r="EF92" s="255">
        <f>100-100</f>
        <v>0</v>
      </c>
      <c r="EG92" s="253"/>
      <c r="EH92" s="253"/>
      <c r="EI92" s="255">
        <f>100-100</f>
        <v>0</v>
      </c>
      <c r="EJ92" s="253"/>
      <c r="EK92" s="253"/>
      <c r="EL92" s="253"/>
      <c r="EM92" s="253"/>
      <c r="EN92" s="253"/>
      <c r="EO92" s="253"/>
      <c r="EP92" s="253"/>
      <c r="EQ92" s="253"/>
      <c r="ER92" s="253"/>
      <c r="ES92" s="253"/>
      <c r="ET92" s="253"/>
      <c r="EU92" s="253"/>
      <c r="EV92" s="253"/>
      <c r="EW92" s="253"/>
      <c r="EX92" s="253"/>
      <c r="EY92" s="253"/>
      <c r="EZ92" s="253"/>
      <c r="FA92" s="253"/>
      <c r="FB92" s="253"/>
      <c r="FC92" s="253"/>
      <c r="FD92" s="253"/>
      <c r="FE92" s="253"/>
      <c r="FF92" s="253"/>
      <c r="FG92" s="256"/>
      <c r="FH92" s="257" t="s">
        <v>892</v>
      </c>
      <c r="FI92" s="258" t="s">
        <v>389</v>
      </c>
      <c r="FJ92" s="258"/>
      <c r="FK92" s="258" t="s">
        <v>416</v>
      </c>
      <c r="FL92" s="259">
        <f t="shared" si="7"/>
        <v>0</v>
      </c>
      <c r="FM92" s="260" t="s">
        <v>414</v>
      </c>
      <c r="FN92" s="260"/>
    </row>
    <row r="93" spans="1:170">
      <c r="A93" s="251" t="s">
        <v>393</v>
      </c>
      <c r="B93" s="251" t="s">
        <v>385</v>
      </c>
      <c r="C93" s="251" t="s">
        <v>411</v>
      </c>
      <c r="D93" s="251" t="s">
        <v>291</v>
      </c>
      <c r="E93" s="252" t="s">
        <v>918</v>
      </c>
      <c r="F93" s="251" t="s">
        <v>388</v>
      </c>
      <c r="G93" s="251" t="s">
        <v>919</v>
      </c>
      <c r="H93" s="253"/>
      <c r="I93" s="253"/>
      <c r="J93" s="253"/>
      <c r="K93" s="253"/>
      <c r="L93" s="253"/>
      <c r="M93" s="253"/>
      <c r="N93" s="253"/>
      <c r="O93" s="253"/>
      <c r="P93" s="253"/>
      <c r="Q93" s="253"/>
      <c r="R93" s="253"/>
      <c r="S93" s="253"/>
      <c r="T93" s="253"/>
      <c r="U93" s="253"/>
      <c r="V93" s="253"/>
      <c r="W93" s="253"/>
      <c r="X93" s="253"/>
      <c r="Y93" s="253"/>
      <c r="Z93" s="253"/>
      <c r="AA93" s="253"/>
      <c r="AB93" s="253"/>
      <c r="AC93" s="253"/>
      <c r="AD93" s="253"/>
      <c r="AE93" s="253"/>
      <c r="AF93" s="253"/>
      <c r="AG93" s="253"/>
      <c r="AH93" s="253"/>
      <c r="AI93" s="253"/>
      <c r="AJ93" s="255">
        <f>500-500</f>
        <v>0</v>
      </c>
      <c r="AK93" s="253"/>
      <c r="AL93" s="253"/>
      <c r="AM93" s="253"/>
      <c r="AN93" s="253"/>
      <c r="AO93" s="253"/>
      <c r="AP93" s="253"/>
      <c r="AQ93" s="253"/>
      <c r="AR93" s="253"/>
      <c r="AS93" s="255">
        <f>500-500</f>
        <v>0</v>
      </c>
      <c r="AT93" s="255">
        <f>1000-1000</f>
        <v>0</v>
      </c>
      <c r="AU93" s="253"/>
      <c r="AV93" s="253"/>
      <c r="AW93" s="253"/>
      <c r="AX93" s="253"/>
      <c r="AY93" s="253"/>
      <c r="AZ93" s="253"/>
      <c r="BA93" s="253"/>
      <c r="BB93" s="253"/>
      <c r="BC93" s="253"/>
      <c r="BD93" s="253"/>
      <c r="BE93" s="253"/>
      <c r="BF93" s="253"/>
      <c r="BG93" s="255">
        <f>500-500</f>
        <v>0</v>
      </c>
      <c r="BH93" s="253"/>
      <c r="BI93" s="253"/>
      <c r="BJ93" s="253"/>
      <c r="BK93" s="253"/>
      <c r="BL93" s="253"/>
      <c r="BM93" s="253"/>
      <c r="BN93" s="253"/>
      <c r="BO93" s="253"/>
      <c r="BP93" s="253"/>
      <c r="BQ93" s="253"/>
      <c r="BR93" s="253"/>
      <c r="BS93" s="253"/>
      <c r="BT93" s="253"/>
      <c r="BU93" s="253"/>
      <c r="BV93" s="253"/>
      <c r="BW93" s="253"/>
      <c r="BX93" s="253"/>
      <c r="BY93" s="253"/>
      <c r="BZ93" s="253"/>
      <c r="CA93" s="253"/>
      <c r="CB93" s="253"/>
      <c r="CC93" s="253"/>
      <c r="CD93" s="253"/>
      <c r="CE93" s="253"/>
      <c r="CF93" s="253"/>
      <c r="CG93" s="253"/>
      <c r="CH93" s="253"/>
      <c r="CI93" s="253"/>
      <c r="CJ93" s="253"/>
      <c r="CK93" s="253"/>
      <c r="CL93" s="253"/>
      <c r="CM93" s="253"/>
      <c r="CN93" s="253"/>
      <c r="CO93" s="253"/>
      <c r="CP93" s="253"/>
      <c r="CQ93" s="253"/>
      <c r="CR93" s="253"/>
      <c r="CS93" s="253"/>
      <c r="CT93" s="253"/>
      <c r="CU93" s="253"/>
      <c r="CV93" s="253"/>
      <c r="CW93" s="253"/>
      <c r="CX93" s="253"/>
      <c r="CY93" s="253"/>
      <c r="CZ93" s="253"/>
      <c r="DA93" s="253"/>
      <c r="DB93" s="253"/>
      <c r="DC93" s="253"/>
      <c r="DD93" s="253"/>
      <c r="DE93" s="253"/>
      <c r="DF93" s="253"/>
      <c r="DG93" s="253"/>
      <c r="DH93" s="253"/>
      <c r="DI93" s="253"/>
      <c r="DJ93" s="253"/>
      <c r="DK93" s="253"/>
      <c r="DL93" s="253"/>
      <c r="DM93" s="253"/>
      <c r="DN93" s="253"/>
      <c r="DO93" s="253"/>
      <c r="DP93" s="253"/>
      <c r="DQ93" s="253"/>
      <c r="DR93" s="253"/>
      <c r="DS93" s="253"/>
      <c r="DT93" s="253"/>
      <c r="DU93" s="253"/>
      <c r="DV93" s="253"/>
      <c r="DW93" s="253"/>
      <c r="DX93" s="253"/>
      <c r="DY93" s="253"/>
      <c r="DZ93" s="253"/>
      <c r="EA93" s="253"/>
      <c r="EB93" s="253"/>
      <c r="EC93" s="253"/>
      <c r="ED93" s="253"/>
      <c r="EE93" s="253"/>
      <c r="EF93" s="253"/>
      <c r="EG93" s="253"/>
      <c r="EH93" s="253"/>
      <c r="EI93" s="253"/>
      <c r="EJ93" s="253"/>
      <c r="EK93" s="253"/>
      <c r="EL93" s="253"/>
      <c r="EM93" s="253"/>
      <c r="EN93" s="253"/>
      <c r="EO93" s="253"/>
      <c r="EP93" s="253"/>
      <c r="EQ93" s="253"/>
      <c r="ER93" s="253"/>
      <c r="ES93" s="253"/>
      <c r="ET93" s="253"/>
      <c r="EU93" s="253"/>
      <c r="EV93" s="253"/>
      <c r="EW93" s="253"/>
      <c r="EX93" s="253"/>
      <c r="EY93" s="253"/>
      <c r="EZ93" s="253"/>
      <c r="FA93" s="253"/>
      <c r="FB93" s="253"/>
      <c r="FC93" s="253"/>
      <c r="FD93" s="253"/>
      <c r="FE93" s="253"/>
      <c r="FF93" s="253"/>
      <c r="FG93" s="256"/>
      <c r="FH93" s="257" t="s">
        <v>892</v>
      </c>
      <c r="FI93" s="258" t="s">
        <v>389</v>
      </c>
      <c r="FJ93" s="258" t="s">
        <v>444</v>
      </c>
      <c r="FK93" s="258" t="s">
        <v>445</v>
      </c>
      <c r="FL93" s="259">
        <f t="shared" si="7"/>
        <v>0</v>
      </c>
      <c r="FM93" s="260" t="s">
        <v>433</v>
      </c>
      <c r="FN93" s="260"/>
    </row>
    <row r="94" spans="1:170">
      <c r="A94" s="251" t="s">
        <v>393</v>
      </c>
      <c r="B94" s="251" t="s">
        <v>385</v>
      </c>
      <c r="C94" s="251" t="s">
        <v>411</v>
      </c>
      <c r="D94" s="251" t="s">
        <v>1</v>
      </c>
      <c r="E94" s="252" t="s">
        <v>918</v>
      </c>
      <c r="F94" s="251" t="s">
        <v>388</v>
      </c>
      <c r="G94" s="251" t="s">
        <v>919</v>
      </c>
      <c r="H94" s="253"/>
      <c r="I94" s="253"/>
      <c r="J94" s="253"/>
      <c r="K94" s="253"/>
      <c r="L94" s="253"/>
      <c r="M94" s="253"/>
      <c r="N94" s="253"/>
      <c r="O94" s="253"/>
      <c r="P94" s="253"/>
      <c r="Q94" s="253"/>
      <c r="R94" s="253"/>
      <c r="S94" s="253"/>
      <c r="T94" s="253"/>
      <c r="U94" s="253"/>
      <c r="V94" s="253"/>
      <c r="W94" s="253"/>
      <c r="X94" s="253"/>
      <c r="Y94" s="253"/>
      <c r="Z94" s="253"/>
      <c r="AA94" s="253"/>
      <c r="AB94" s="253"/>
      <c r="AC94" s="253"/>
      <c r="AD94" s="253"/>
      <c r="AE94" s="253"/>
      <c r="AF94" s="253"/>
      <c r="AG94" s="253"/>
      <c r="AH94" s="253"/>
      <c r="AI94" s="253"/>
      <c r="AJ94" s="254">
        <f>0+10</f>
        <v>10</v>
      </c>
      <c r="AK94" s="253"/>
      <c r="AL94" s="253"/>
      <c r="AM94" s="253"/>
      <c r="AN94" s="253"/>
      <c r="AO94" s="253"/>
      <c r="AP94" s="253"/>
      <c r="AQ94" s="253"/>
      <c r="AR94" s="253"/>
      <c r="AS94" s="253"/>
      <c r="AT94" s="253"/>
      <c r="AU94" s="253"/>
      <c r="AV94" s="253"/>
      <c r="AW94" s="255">
        <f>500-500</f>
        <v>0</v>
      </c>
      <c r="AX94" s="253"/>
      <c r="AY94" s="253"/>
      <c r="AZ94" s="253"/>
      <c r="BA94" s="253"/>
      <c r="BB94" s="253"/>
      <c r="BC94" s="253"/>
      <c r="BD94" s="253"/>
      <c r="BE94" s="253"/>
      <c r="BF94" s="253"/>
      <c r="BG94" s="253"/>
      <c r="BH94" s="253"/>
      <c r="BI94" s="253"/>
      <c r="BJ94" s="253"/>
      <c r="BK94" s="253"/>
      <c r="BL94" s="253"/>
      <c r="BM94" s="253"/>
      <c r="BN94" s="253"/>
      <c r="BO94" s="253"/>
      <c r="BP94" s="253"/>
      <c r="BQ94" s="253"/>
      <c r="BR94" s="253"/>
      <c r="BS94" s="253"/>
      <c r="BT94" s="253"/>
      <c r="BU94" s="253"/>
      <c r="BV94" s="253"/>
      <c r="BW94" s="253"/>
      <c r="BX94" s="253"/>
      <c r="BY94" s="253"/>
      <c r="BZ94" s="253"/>
      <c r="CA94" s="253"/>
      <c r="CB94" s="253"/>
      <c r="CC94" s="253"/>
      <c r="CD94" s="253"/>
      <c r="CE94" s="253"/>
      <c r="CF94" s="253"/>
      <c r="CG94" s="253"/>
      <c r="CH94" s="253"/>
      <c r="CI94" s="253"/>
      <c r="CJ94" s="253"/>
      <c r="CK94" s="253"/>
      <c r="CL94" s="253"/>
      <c r="CM94" s="253"/>
      <c r="CN94" s="253"/>
      <c r="CO94" s="253"/>
      <c r="CP94" s="253"/>
      <c r="CQ94" s="253"/>
      <c r="CR94" s="253"/>
      <c r="CS94" s="253"/>
      <c r="CT94" s="253"/>
      <c r="CU94" s="253"/>
      <c r="CV94" s="253"/>
      <c r="CW94" s="253"/>
      <c r="CX94" s="253"/>
      <c r="CY94" s="253"/>
      <c r="CZ94" s="253"/>
      <c r="DA94" s="253"/>
      <c r="DB94" s="253"/>
      <c r="DC94" s="253"/>
      <c r="DD94" s="253"/>
      <c r="DE94" s="253"/>
      <c r="DF94" s="253"/>
      <c r="DG94" s="253"/>
      <c r="DH94" s="253"/>
      <c r="DI94" s="253"/>
      <c r="DJ94" s="253"/>
      <c r="DK94" s="253"/>
      <c r="DL94" s="253"/>
      <c r="DM94" s="253"/>
      <c r="DN94" s="253"/>
      <c r="DO94" s="253"/>
      <c r="DP94" s="253"/>
      <c r="DQ94" s="253"/>
      <c r="DR94" s="253"/>
      <c r="DS94" s="253"/>
      <c r="DT94" s="253"/>
      <c r="DU94" s="253"/>
      <c r="DV94" s="253"/>
      <c r="DW94" s="253"/>
      <c r="DX94" s="253"/>
      <c r="DY94" s="253"/>
      <c r="DZ94" s="253"/>
      <c r="EA94" s="253"/>
      <c r="EB94" s="253"/>
      <c r="EC94" s="253"/>
      <c r="ED94" s="253"/>
      <c r="EE94" s="253"/>
      <c r="EF94" s="253"/>
      <c r="EG94" s="253"/>
      <c r="EH94" s="253"/>
      <c r="EI94" s="253"/>
      <c r="EJ94" s="253"/>
      <c r="EK94" s="253"/>
      <c r="EL94" s="253"/>
      <c r="EM94" s="253"/>
      <c r="EN94" s="253"/>
      <c r="EO94" s="253"/>
      <c r="EP94" s="253"/>
      <c r="EQ94" s="253"/>
      <c r="ER94" s="253"/>
      <c r="ES94" s="253"/>
      <c r="ET94" s="253"/>
      <c r="EU94" s="253"/>
      <c r="EV94" s="253"/>
      <c r="EW94" s="253"/>
      <c r="EX94" s="253"/>
      <c r="EY94" s="253"/>
      <c r="EZ94" s="253"/>
      <c r="FA94" s="253"/>
      <c r="FB94" s="253"/>
      <c r="FC94" s="253"/>
      <c r="FD94" s="253"/>
      <c r="FE94" s="253"/>
      <c r="FF94" s="253"/>
      <c r="FG94" s="256"/>
      <c r="FH94" s="257" t="s">
        <v>892</v>
      </c>
      <c r="FI94" s="258" t="s">
        <v>389</v>
      </c>
      <c r="FJ94" s="258" t="s">
        <v>444</v>
      </c>
      <c r="FK94" s="258" t="s">
        <v>445</v>
      </c>
      <c r="FL94" s="259">
        <f t="shared" si="7"/>
        <v>10</v>
      </c>
      <c r="FM94" s="260" t="s">
        <v>433</v>
      </c>
      <c r="FN94" s="260"/>
    </row>
    <row r="95" spans="1:170">
      <c r="A95" s="251" t="s">
        <v>393</v>
      </c>
      <c r="B95" s="251" t="s">
        <v>385</v>
      </c>
      <c r="C95" s="251" t="s">
        <v>411</v>
      </c>
      <c r="D95" s="251" t="s">
        <v>291</v>
      </c>
      <c r="E95" s="252" t="s">
        <v>860</v>
      </c>
      <c r="F95" s="251" t="s">
        <v>388</v>
      </c>
      <c r="G95" s="251"/>
      <c r="H95" s="253"/>
      <c r="I95" s="253"/>
      <c r="J95" s="253"/>
      <c r="K95" s="253"/>
      <c r="L95" s="253"/>
      <c r="M95" s="253"/>
      <c r="N95" s="253"/>
      <c r="O95" s="253"/>
      <c r="P95" s="253"/>
      <c r="Q95" s="253"/>
      <c r="R95" s="253"/>
      <c r="S95" s="253"/>
      <c r="T95" s="253"/>
      <c r="U95" s="253"/>
      <c r="V95" s="253"/>
      <c r="W95" s="253"/>
      <c r="X95" s="253"/>
      <c r="Y95" s="253"/>
      <c r="Z95" s="253"/>
      <c r="AA95" s="253"/>
      <c r="AB95" s="253"/>
      <c r="AC95" s="253"/>
      <c r="AD95" s="253"/>
      <c r="AE95" s="253"/>
      <c r="AF95" s="253"/>
      <c r="AG95" s="253"/>
      <c r="AH95" s="253"/>
      <c r="AI95" s="253"/>
      <c r="AJ95" s="253"/>
      <c r="AK95" s="253"/>
      <c r="AL95" s="253"/>
      <c r="AM95" s="253"/>
      <c r="AN95" s="253"/>
      <c r="AO95" s="253"/>
      <c r="AP95" s="253"/>
      <c r="AQ95" s="253"/>
      <c r="AR95" s="253"/>
      <c r="AS95" s="255">
        <f>500-500</f>
        <v>0</v>
      </c>
      <c r="AT95" s="255">
        <f>500-500</f>
        <v>0</v>
      </c>
      <c r="AU95" s="253"/>
      <c r="AV95" s="253"/>
      <c r="AW95" s="253"/>
      <c r="AX95" s="253"/>
      <c r="AY95" s="253"/>
      <c r="AZ95" s="253"/>
      <c r="BA95" s="253"/>
      <c r="BB95" s="253"/>
      <c r="BC95" s="253"/>
      <c r="BD95" s="253"/>
      <c r="BE95" s="253"/>
      <c r="BF95" s="253"/>
      <c r="BG95" s="255">
        <f>200-200</f>
        <v>0</v>
      </c>
      <c r="BH95" s="253"/>
      <c r="BI95" s="253"/>
      <c r="BJ95" s="253"/>
      <c r="BK95" s="253"/>
      <c r="BL95" s="253"/>
      <c r="BM95" s="253"/>
      <c r="BN95" s="253"/>
      <c r="BO95" s="253"/>
      <c r="BP95" s="253"/>
      <c r="BQ95" s="253"/>
      <c r="BR95" s="253"/>
      <c r="BS95" s="253"/>
      <c r="BT95" s="253"/>
      <c r="BU95" s="253"/>
      <c r="BV95" s="253"/>
      <c r="BW95" s="253"/>
      <c r="BX95" s="253"/>
      <c r="BY95" s="253"/>
      <c r="BZ95" s="253"/>
      <c r="CA95" s="253"/>
      <c r="CB95" s="253"/>
      <c r="CC95" s="253"/>
      <c r="CD95" s="253"/>
      <c r="CE95" s="253"/>
      <c r="CF95" s="253"/>
      <c r="CG95" s="253"/>
      <c r="CH95" s="253"/>
      <c r="CI95" s="253"/>
      <c r="CJ95" s="253"/>
      <c r="CK95" s="253"/>
      <c r="CL95" s="253"/>
      <c r="CM95" s="253"/>
      <c r="CN95" s="253"/>
      <c r="CO95" s="253"/>
      <c r="CP95" s="253"/>
      <c r="CQ95" s="253"/>
      <c r="CR95" s="253"/>
      <c r="CS95" s="253"/>
      <c r="CT95" s="253"/>
      <c r="CU95" s="253"/>
      <c r="CV95" s="253"/>
      <c r="CW95" s="253"/>
      <c r="CX95" s="253"/>
      <c r="CY95" s="253"/>
      <c r="CZ95" s="253"/>
      <c r="DA95" s="253"/>
      <c r="DB95" s="253"/>
      <c r="DC95" s="253"/>
      <c r="DD95" s="253"/>
      <c r="DE95" s="253"/>
      <c r="DF95" s="253"/>
      <c r="DG95" s="253"/>
      <c r="DH95" s="253"/>
      <c r="DI95" s="253"/>
      <c r="DJ95" s="253"/>
      <c r="DK95" s="253"/>
      <c r="DL95" s="253"/>
      <c r="DM95" s="253"/>
      <c r="DN95" s="253"/>
      <c r="DO95" s="253"/>
      <c r="DP95" s="253"/>
      <c r="DQ95" s="253"/>
      <c r="DR95" s="253"/>
      <c r="DS95" s="253"/>
      <c r="DT95" s="253"/>
      <c r="DU95" s="253"/>
      <c r="DV95" s="253"/>
      <c r="DW95" s="253"/>
      <c r="DX95" s="253"/>
      <c r="DY95" s="253"/>
      <c r="DZ95" s="253"/>
      <c r="EA95" s="253"/>
      <c r="EB95" s="253"/>
      <c r="EC95" s="253"/>
      <c r="ED95" s="253"/>
      <c r="EE95" s="253"/>
      <c r="EF95" s="253"/>
      <c r="EG95" s="253"/>
      <c r="EH95" s="253"/>
      <c r="EI95" s="253"/>
      <c r="EJ95" s="253"/>
      <c r="EK95" s="253"/>
      <c r="EL95" s="253"/>
      <c r="EM95" s="253"/>
      <c r="EN95" s="253"/>
      <c r="EO95" s="253"/>
      <c r="EP95" s="253"/>
      <c r="EQ95" s="253"/>
      <c r="ER95" s="253"/>
      <c r="ES95" s="253"/>
      <c r="ET95" s="253"/>
      <c r="EU95" s="253"/>
      <c r="EV95" s="253"/>
      <c r="EW95" s="253"/>
      <c r="EX95" s="253"/>
      <c r="EY95" s="253"/>
      <c r="EZ95" s="253"/>
      <c r="FA95" s="253"/>
      <c r="FB95" s="253"/>
      <c r="FC95" s="253"/>
      <c r="FD95" s="253"/>
      <c r="FE95" s="253"/>
      <c r="FF95" s="253"/>
      <c r="FG95" s="256"/>
      <c r="FH95" s="257" t="s">
        <v>892</v>
      </c>
      <c r="FI95" s="258" t="s">
        <v>389</v>
      </c>
      <c r="FJ95" s="258"/>
      <c r="FK95" s="258" t="s">
        <v>429</v>
      </c>
      <c r="FL95" s="259">
        <f t="shared" si="7"/>
        <v>0</v>
      </c>
      <c r="FM95" s="260" t="s">
        <v>414</v>
      </c>
      <c r="FN95" s="260"/>
    </row>
    <row r="96" spans="1:170">
      <c r="A96" s="251" t="s">
        <v>393</v>
      </c>
      <c r="B96" s="251" t="s">
        <v>385</v>
      </c>
      <c r="C96" s="251" t="s">
        <v>411</v>
      </c>
      <c r="D96" s="251" t="s">
        <v>1</v>
      </c>
      <c r="E96" s="252" t="s">
        <v>860</v>
      </c>
      <c r="F96" s="251" t="s">
        <v>388</v>
      </c>
      <c r="G96" s="251"/>
      <c r="H96" s="253"/>
      <c r="I96" s="253"/>
      <c r="J96" s="253"/>
      <c r="K96" s="253"/>
      <c r="L96" s="253"/>
      <c r="M96" s="253"/>
      <c r="N96" s="253"/>
      <c r="O96" s="253"/>
      <c r="P96" s="253"/>
      <c r="Q96" s="253"/>
      <c r="R96" s="253"/>
      <c r="S96" s="253"/>
      <c r="T96" s="253"/>
      <c r="U96" s="253"/>
      <c r="V96" s="253"/>
      <c r="W96" s="253"/>
      <c r="X96" s="253"/>
      <c r="Y96" s="253"/>
      <c r="Z96" s="253"/>
      <c r="AA96" s="253"/>
      <c r="AB96" s="253"/>
      <c r="AC96" s="253"/>
      <c r="AD96" s="253"/>
      <c r="AE96" s="253"/>
      <c r="AF96" s="253"/>
      <c r="AG96" s="253"/>
      <c r="AH96" s="253"/>
      <c r="AI96" s="253"/>
      <c r="AJ96" s="253"/>
      <c r="AK96" s="253"/>
      <c r="AL96" s="253"/>
      <c r="AM96" s="253"/>
      <c r="AN96" s="253"/>
      <c r="AO96" s="253"/>
      <c r="AP96" s="255">
        <f>500-500</f>
        <v>0</v>
      </c>
      <c r="AQ96" s="253"/>
      <c r="AR96" s="253"/>
      <c r="AS96" s="253"/>
      <c r="AT96" s="253"/>
      <c r="AU96" s="253"/>
      <c r="AV96" s="253"/>
      <c r="AW96" s="255">
        <f>500-500</f>
        <v>0</v>
      </c>
      <c r="AX96" s="253"/>
      <c r="AY96" s="253"/>
      <c r="AZ96" s="253"/>
      <c r="BA96" s="253"/>
      <c r="BB96" s="253"/>
      <c r="BC96" s="253"/>
      <c r="BD96" s="253"/>
      <c r="BE96" s="253"/>
      <c r="BF96" s="253"/>
      <c r="BG96" s="253"/>
      <c r="BH96" s="253"/>
      <c r="BI96" s="253"/>
      <c r="BJ96" s="253"/>
      <c r="BK96" s="253"/>
      <c r="BL96" s="253"/>
      <c r="BM96" s="253"/>
      <c r="BN96" s="253"/>
      <c r="BO96" s="253"/>
      <c r="BP96" s="253"/>
      <c r="BQ96" s="253"/>
      <c r="BR96" s="253"/>
      <c r="BS96" s="253"/>
      <c r="BT96" s="253"/>
      <c r="BU96" s="253"/>
      <c r="BV96" s="253"/>
      <c r="BW96" s="253"/>
      <c r="BX96" s="253"/>
      <c r="BY96" s="253"/>
      <c r="BZ96" s="253"/>
      <c r="CA96" s="253"/>
      <c r="CB96" s="253"/>
      <c r="CC96" s="253"/>
      <c r="CD96" s="253"/>
      <c r="CE96" s="253"/>
      <c r="CF96" s="253"/>
      <c r="CG96" s="253"/>
      <c r="CH96" s="253"/>
      <c r="CI96" s="253"/>
      <c r="CJ96" s="253"/>
      <c r="CK96" s="253"/>
      <c r="CL96" s="253"/>
      <c r="CM96" s="253"/>
      <c r="CN96" s="253"/>
      <c r="CO96" s="253"/>
      <c r="CP96" s="253"/>
      <c r="CQ96" s="253"/>
      <c r="CR96" s="253"/>
      <c r="CS96" s="253"/>
      <c r="CT96" s="253"/>
      <c r="CU96" s="253"/>
      <c r="CV96" s="253"/>
      <c r="CW96" s="253"/>
      <c r="CX96" s="253"/>
      <c r="CY96" s="253"/>
      <c r="CZ96" s="253"/>
      <c r="DA96" s="253"/>
      <c r="DB96" s="253"/>
      <c r="DC96" s="253"/>
      <c r="DD96" s="253"/>
      <c r="DE96" s="253"/>
      <c r="DF96" s="253"/>
      <c r="DG96" s="253"/>
      <c r="DH96" s="253"/>
      <c r="DI96" s="253"/>
      <c r="DJ96" s="253"/>
      <c r="DK96" s="253"/>
      <c r="DL96" s="253"/>
      <c r="DM96" s="253"/>
      <c r="DN96" s="253"/>
      <c r="DO96" s="253"/>
      <c r="DP96" s="253"/>
      <c r="DQ96" s="253"/>
      <c r="DR96" s="253"/>
      <c r="DS96" s="253"/>
      <c r="DT96" s="253"/>
      <c r="DU96" s="253"/>
      <c r="DV96" s="253"/>
      <c r="DW96" s="253"/>
      <c r="DX96" s="255">
        <f>200-200</f>
        <v>0</v>
      </c>
      <c r="DY96" s="253"/>
      <c r="DZ96" s="255">
        <f>200-200</f>
        <v>0</v>
      </c>
      <c r="EA96" s="253"/>
      <c r="EB96" s="255">
        <f>100-100</f>
        <v>0</v>
      </c>
      <c r="EC96" s="253"/>
      <c r="ED96" s="255">
        <f>100-100</f>
        <v>0</v>
      </c>
      <c r="EE96" s="253"/>
      <c r="EF96" s="255">
        <f>300-300</f>
        <v>0</v>
      </c>
      <c r="EG96" s="255">
        <f>300-300</f>
        <v>0</v>
      </c>
      <c r="EH96" s="253"/>
      <c r="EI96" s="255">
        <f>300-300</f>
        <v>0</v>
      </c>
      <c r="EJ96" s="253"/>
      <c r="EK96" s="253"/>
      <c r="EL96" s="253"/>
      <c r="EM96" s="253"/>
      <c r="EN96" s="253"/>
      <c r="EO96" s="253"/>
      <c r="EP96" s="253"/>
      <c r="EQ96" s="253"/>
      <c r="ER96" s="253"/>
      <c r="ES96" s="253"/>
      <c r="ET96" s="253"/>
      <c r="EU96" s="253"/>
      <c r="EV96" s="253"/>
      <c r="EW96" s="253"/>
      <c r="EX96" s="253"/>
      <c r="EY96" s="253"/>
      <c r="EZ96" s="253"/>
      <c r="FA96" s="253"/>
      <c r="FB96" s="253"/>
      <c r="FC96" s="255">
        <f>200-200</f>
        <v>0</v>
      </c>
      <c r="FD96" s="255">
        <f>500-500</f>
        <v>0</v>
      </c>
      <c r="FE96" s="253"/>
      <c r="FF96" s="253"/>
      <c r="FG96" s="256"/>
      <c r="FH96" s="257" t="s">
        <v>892</v>
      </c>
      <c r="FI96" s="258" t="s">
        <v>389</v>
      </c>
      <c r="FJ96" s="258"/>
      <c r="FK96" s="258" t="s">
        <v>429</v>
      </c>
      <c r="FL96" s="259">
        <f t="shared" si="7"/>
        <v>0</v>
      </c>
      <c r="FM96" s="260" t="s">
        <v>414</v>
      </c>
      <c r="FN96" s="260"/>
    </row>
    <row r="97" spans="1:170">
      <c r="A97" s="251" t="s">
        <v>393</v>
      </c>
      <c r="B97" s="251" t="s">
        <v>385</v>
      </c>
      <c r="C97" s="251" t="s">
        <v>411</v>
      </c>
      <c r="D97" s="251" t="s">
        <v>291</v>
      </c>
      <c r="E97" s="252" t="s">
        <v>446</v>
      </c>
      <c r="F97" s="251" t="s">
        <v>388</v>
      </c>
      <c r="G97" s="251" t="s">
        <v>920</v>
      </c>
      <c r="H97" s="253"/>
      <c r="I97" s="255">
        <f>500-500</f>
        <v>0</v>
      </c>
      <c r="J97" s="253"/>
      <c r="K97" s="255">
        <f>300-300</f>
        <v>0</v>
      </c>
      <c r="L97" s="253"/>
      <c r="M97" s="253"/>
      <c r="N97" s="253"/>
      <c r="O97" s="253"/>
      <c r="P97" s="253"/>
      <c r="Q97" s="253"/>
      <c r="R97" s="253"/>
      <c r="S97" s="253"/>
      <c r="T97" s="253"/>
      <c r="U97" s="253"/>
      <c r="V97" s="253"/>
      <c r="W97" s="253"/>
      <c r="X97" s="253"/>
      <c r="Y97" s="253"/>
      <c r="Z97" s="253"/>
      <c r="AA97" s="253"/>
      <c r="AB97" s="253"/>
      <c r="AC97" s="253"/>
      <c r="AD97" s="253"/>
      <c r="AE97" s="253"/>
      <c r="AF97" s="253"/>
      <c r="AG97" s="254">
        <f>0+20</f>
        <v>20</v>
      </c>
      <c r="AH97" s="253"/>
      <c r="AI97" s="255">
        <f>1000-1000</f>
        <v>0</v>
      </c>
      <c r="AJ97" s="255">
        <f>1000-1000</f>
        <v>0</v>
      </c>
      <c r="AK97" s="253"/>
      <c r="AL97" s="253"/>
      <c r="AM97" s="253"/>
      <c r="AN97" s="253"/>
      <c r="AO97" s="253"/>
      <c r="AP97" s="253"/>
      <c r="AQ97" s="255">
        <f>500-500</f>
        <v>0</v>
      </c>
      <c r="AR97" s="253"/>
      <c r="AS97" s="253"/>
      <c r="AT97" s="253"/>
      <c r="AU97" s="253"/>
      <c r="AV97" s="253"/>
      <c r="AW97" s="253"/>
      <c r="AX97" s="253"/>
      <c r="AY97" s="253"/>
      <c r="AZ97" s="253"/>
      <c r="BA97" s="253"/>
      <c r="BB97" s="253"/>
      <c r="BC97" s="253"/>
      <c r="BD97" s="253"/>
      <c r="BE97" s="253"/>
      <c r="BF97" s="253"/>
      <c r="BG97" s="255">
        <f>1000-1000</f>
        <v>0</v>
      </c>
      <c r="BH97" s="253"/>
      <c r="BI97" s="253"/>
      <c r="BJ97" s="253"/>
      <c r="BK97" s="253"/>
      <c r="BL97" s="253"/>
      <c r="BM97" s="253"/>
      <c r="BN97" s="253"/>
      <c r="BO97" s="253"/>
      <c r="BP97" s="253"/>
      <c r="BQ97" s="253"/>
      <c r="BR97" s="253"/>
      <c r="BS97" s="253"/>
      <c r="BT97" s="253"/>
      <c r="BU97" s="253"/>
      <c r="BV97" s="253"/>
      <c r="BW97" s="253"/>
      <c r="BX97" s="253"/>
      <c r="BY97" s="253"/>
      <c r="BZ97" s="253"/>
      <c r="CA97" s="253"/>
      <c r="CB97" s="253"/>
      <c r="CC97" s="253"/>
      <c r="CD97" s="253"/>
      <c r="CE97" s="253"/>
      <c r="CF97" s="253"/>
      <c r="CG97" s="253"/>
      <c r="CH97" s="253"/>
      <c r="CI97" s="253"/>
      <c r="CJ97" s="253"/>
      <c r="CK97" s="253"/>
      <c r="CL97" s="253"/>
      <c r="CM97" s="253"/>
      <c r="CN97" s="253"/>
      <c r="CO97" s="253"/>
      <c r="CP97" s="253"/>
      <c r="CQ97" s="253"/>
      <c r="CR97" s="253"/>
      <c r="CS97" s="253"/>
      <c r="CT97" s="253"/>
      <c r="CU97" s="253"/>
      <c r="CV97" s="253"/>
      <c r="CW97" s="253"/>
      <c r="CX97" s="253"/>
      <c r="CY97" s="253"/>
      <c r="CZ97" s="253"/>
      <c r="DA97" s="253"/>
      <c r="DB97" s="253"/>
      <c r="DC97" s="253"/>
      <c r="DD97" s="253"/>
      <c r="DE97" s="253"/>
      <c r="DF97" s="253"/>
      <c r="DG97" s="253"/>
      <c r="DH97" s="253"/>
      <c r="DI97" s="253"/>
      <c r="DJ97" s="253"/>
      <c r="DK97" s="253"/>
      <c r="DL97" s="253"/>
      <c r="DM97" s="253"/>
      <c r="DN97" s="253"/>
      <c r="DO97" s="253"/>
      <c r="DP97" s="253"/>
      <c r="DQ97" s="253"/>
      <c r="DR97" s="253"/>
      <c r="DS97" s="253"/>
      <c r="DT97" s="253"/>
      <c r="DU97" s="253"/>
      <c r="DV97" s="253"/>
      <c r="DW97" s="253"/>
      <c r="DX97" s="253"/>
      <c r="DY97" s="253"/>
      <c r="DZ97" s="253"/>
      <c r="EA97" s="253"/>
      <c r="EB97" s="253"/>
      <c r="EC97" s="253"/>
      <c r="ED97" s="253"/>
      <c r="EE97" s="253"/>
      <c r="EF97" s="253"/>
      <c r="EG97" s="253"/>
      <c r="EH97" s="253"/>
      <c r="EI97" s="253"/>
      <c r="EJ97" s="253"/>
      <c r="EK97" s="253"/>
      <c r="EL97" s="253"/>
      <c r="EM97" s="253"/>
      <c r="EN97" s="253"/>
      <c r="EO97" s="253"/>
      <c r="EP97" s="253"/>
      <c r="EQ97" s="253"/>
      <c r="ER97" s="253"/>
      <c r="ES97" s="253"/>
      <c r="ET97" s="253"/>
      <c r="EU97" s="253"/>
      <c r="EV97" s="253"/>
      <c r="EW97" s="253"/>
      <c r="EX97" s="253"/>
      <c r="EY97" s="253"/>
      <c r="EZ97" s="253"/>
      <c r="FA97" s="253"/>
      <c r="FB97" s="255">
        <f>500-500</f>
        <v>0</v>
      </c>
      <c r="FC97" s="253"/>
      <c r="FD97" s="253"/>
      <c r="FE97" s="253"/>
      <c r="FF97" s="253"/>
      <c r="FG97" s="256"/>
      <c r="FH97" s="257" t="s">
        <v>892</v>
      </c>
      <c r="FI97" s="258" t="s">
        <v>389</v>
      </c>
      <c r="FJ97" s="258"/>
      <c r="FK97" s="258" t="s">
        <v>423</v>
      </c>
      <c r="FL97" s="259">
        <f t="shared" si="7"/>
        <v>20</v>
      </c>
      <c r="FM97" s="260" t="s">
        <v>835</v>
      </c>
      <c r="FN97" s="260"/>
    </row>
    <row r="98" spans="1:170">
      <c r="A98" s="251" t="s">
        <v>393</v>
      </c>
      <c r="B98" s="251" t="s">
        <v>385</v>
      </c>
      <c r="C98" s="251" t="s">
        <v>411</v>
      </c>
      <c r="D98" s="251" t="s">
        <v>1</v>
      </c>
      <c r="E98" s="252" t="s">
        <v>446</v>
      </c>
      <c r="F98" s="251" t="s">
        <v>388</v>
      </c>
      <c r="G98" s="251" t="s">
        <v>920</v>
      </c>
      <c r="H98" s="253"/>
      <c r="I98" s="253"/>
      <c r="J98" s="253"/>
      <c r="K98" s="253"/>
      <c r="L98" s="255">
        <f>500-500</f>
        <v>0</v>
      </c>
      <c r="M98" s="253"/>
      <c r="N98" s="253"/>
      <c r="O98" s="253"/>
      <c r="P98" s="255">
        <f>500-500</f>
        <v>0</v>
      </c>
      <c r="Q98" s="255">
        <f>500-500</f>
        <v>0</v>
      </c>
      <c r="R98" s="253"/>
      <c r="S98" s="253"/>
      <c r="T98" s="253"/>
      <c r="U98" s="253"/>
      <c r="V98" s="253"/>
      <c r="W98" s="253"/>
      <c r="X98" s="253"/>
      <c r="Y98" s="253"/>
      <c r="Z98" s="253"/>
      <c r="AA98" s="253"/>
      <c r="AB98" s="253"/>
      <c r="AC98" s="253"/>
      <c r="AD98" s="255">
        <f>1000-1000</f>
        <v>0</v>
      </c>
      <c r="AE98" s="255">
        <f>1000-1000</f>
        <v>0</v>
      </c>
      <c r="AF98" s="253"/>
      <c r="AG98" s="255">
        <f>1000-1000</f>
        <v>0</v>
      </c>
      <c r="AH98" s="253"/>
      <c r="AI98" s="253"/>
      <c r="AJ98" s="253"/>
      <c r="AK98" s="253"/>
      <c r="AL98" s="253"/>
      <c r="AM98" s="253"/>
      <c r="AN98" s="253"/>
      <c r="AO98" s="253"/>
      <c r="AP98" s="253"/>
      <c r="AQ98" s="253"/>
      <c r="AR98" s="253"/>
      <c r="AS98" s="253"/>
      <c r="AT98" s="253"/>
      <c r="AU98" s="255">
        <f>500-500</f>
        <v>0</v>
      </c>
      <c r="AV98" s="255">
        <f>200-200</f>
        <v>0</v>
      </c>
      <c r="AW98" s="255">
        <f>1000-1000</f>
        <v>0</v>
      </c>
      <c r="AX98" s="253"/>
      <c r="AY98" s="253"/>
      <c r="AZ98" s="253"/>
      <c r="BA98" s="253"/>
      <c r="BB98" s="253"/>
      <c r="BC98" s="253"/>
      <c r="BD98" s="253"/>
      <c r="BE98" s="253"/>
      <c r="BF98" s="253"/>
      <c r="BG98" s="253"/>
      <c r="BH98" s="253"/>
      <c r="BI98" s="255">
        <f>1000-1000</f>
        <v>0</v>
      </c>
      <c r="BJ98" s="253"/>
      <c r="BK98" s="253"/>
      <c r="BL98" s="253"/>
      <c r="BM98" s="253"/>
      <c r="BN98" s="253"/>
      <c r="BO98" s="253"/>
      <c r="BP98" s="253"/>
      <c r="BQ98" s="253"/>
      <c r="BR98" s="253"/>
      <c r="BS98" s="253"/>
      <c r="BT98" s="253"/>
      <c r="BU98" s="253"/>
      <c r="BV98" s="253"/>
      <c r="BW98" s="253"/>
      <c r="BX98" s="253"/>
      <c r="BY98" s="253"/>
      <c r="BZ98" s="253"/>
      <c r="CA98" s="253"/>
      <c r="CB98" s="253"/>
      <c r="CC98" s="253"/>
      <c r="CD98" s="253"/>
      <c r="CE98" s="253"/>
      <c r="CF98" s="253"/>
      <c r="CG98" s="253"/>
      <c r="CH98" s="253"/>
      <c r="CI98" s="253"/>
      <c r="CJ98" s="253"/>
      <c r="CK98" s="253"/>
      <c r="CL98" s="253"/>
      <c r="CM98" s="253"/>
      <c r="CN98" s="253"/>
      <c r="CO98" s="253"/>
      <c r="CP98" s="253"/>
      <c r="CQ98" s="253"/>
      <c r="CR98" s="253"/>
      <c r="CS98" s="253"/>
      <c r="CT98" s="253"/>
      <c r="CU98" s="253"/>
      <c r="CV98" s="253"/>
      <c r="CW98" s="253"/>
      <c r="CX98" s="253"/>
      <c r="CY98" s="253"/>
      <c r="CZ98" s="253"/>
      <c r="DA98" s="253"/>
      <c r="DB98" s="253"/>
      <c r="DC98" s="253"/>
      <c r="DD98" s="253"/>
      <c r="DE98" s="253"/>
      <c r="DF98" s="253"/>
      <c r="DG98" s="253"/>
      <c r="DH98" s="253"/>
      <c r="DI98" s="253"/>
      <c r="DJ98" s="253"/>
      <c r="DK98" s="253"/>
      <c r="DL98" s="253"/>
      <c r="DM98" s="253"/>
      <c r="DN98" s="253"/>
      <c r="DO98" s="253"/>
      <c r="DP98" s="253"/>
      <c r="DQ98" s="253"/>
      <c r="DR98" s="253"/>
      <c r="DS98" s="253"/>
      <c r="DT98" s="253"/>
      <c r="DU98" s="253"/>
      <c r="DV98" s="253"/>
      <c r="DW98" s="253"/>
      <c r="DX98" s="253"/>
      <c r="DY98" s="255">
        <f>200-200</f>
        <v>0</v>
      </c>
      <c r="DZ98" s="255">
        <f>500-500</f>
        <v>0</v>
      </c>
      <c r="EA98" s="255">
        <f>500-500</f>
        <v>0</v>
      </c>
      <c r="EB98" s="255">
        <f>500-500</f>
        <v>0</v>
      </c>
      <c r="EC98" s="253"/>
      <c r="ED98" s="255">
        <f>500-500</f>
        <v>0</v>
      </c>
      <c r="EE98" s="255">
        <f>500-500</f>
        <v>0</v>
      </c>
      <c r="EF98" s="255">
        <f>500-500</f>
        <v>0</v>
      </c>
      <c r="EG98" s="255">
        <f>500-500</f>
        <v>0</v>
      </c>
      <c r="EH98" s="253"/>
      <c r="EI98" s="255">
        <f>500-500</f>
        <v>0</v>
      </c>
      <c r="EJ98" s="253"/>
      <c r="EK98" s="253"/>
      <c r="EL98" s="253"/>
      <c r="EM98" s="253"/>
      <c r="EN98" s="253"/>
      <c r="EO98" s="253"/>
      <c r="EP98" s="253"/>
      <c r="EQ98" s="253"/>
      <c r="ER98" s="253"/>
      <c r="ES98" s="253"/>
      <c r="ET98" s="253"/>
      <c r="EU98" s="253"/>
      <c r="EV98" s="253"/>
      <c r="EW98" s="253"/>
      <c r="EX98" s="253"/>
      <c r="EY98" s="253"/>
      <c r="EZ98" s="253"/>
      <c r="FA98" s="253"/>
      <c r="FB98" s="253"/>
      <c r="FC98" s="255">
        <f>500-500</f>
        <v>0</v>
      </c>
      <c r="FD98" s="255">
        <f>500-500</f>
        <v>0</v>
      </c>
      <c r="FE98" s="253"/>
      <c r="FF98" s="253"/>
      <c r="FG98" s="256"/>
      <c r="FH98" s="257" t="s">
        <v>892</v>
      </c>
      <c r="FI98" s="258" t="s">
        <v>389</v>
      </c>
      <c r="FJ98" s="258"/>
      <c r="FK98" s="258" t="s">
        <v>423</v>
      </c>
      <c r="FL98" s="259">
        <f t="shared" si="7"/>
        <v>0</v>
      </c>
      <c r="FM98" s="260" t="s">
        <v>835</v>
      </c>
      <c r="FN98" s="260"/>
    </row>
    <row r="99" spans="1:170">
      <c r="A99" s="251" t="s">
        <v>393</v>
      </c>
      <c r="B99" s="251" t="s">
        <v>385</v>
      </c>
      <c r="C99" s="251" t="s">
        <v>411</v>
      </c>
      <c r="D99" s="251" t="s">
        <v>293</v>
      </c>
      <c r="E99" s="252" t="s">
        <v>446</v>
      </c>
      <c r="F99" s="251" t="s">
        <v>388</v>
      </c>
      <c r="G99" s="251"/>
      <c r="H99" s="253"/>
      <c r="I99" s="253"/>
      <c r="J99" s="255">
        <f>200-200</f>
        <v>0</v>
      </c>
      <c r="K99" s="253"/>
      <c r="L99" s="253"/>
      <c r="M99" s="253"/>
      <c r="N99" s="253"/>
      <c r="O99" s="253"/>
      <c r="P99" s="253"/>
      <c r="Q99" s="253"/>
      <c r="R99" s="253"/>
      <c r="S99" s="253"/>
      <c r="T99" s="253"/>
      <c r="U99" s="253"/>
      <c r="V99" s="253"/>
      <c r="W99" s="253"/>
      <c r="X99" s="253"/>
      <c r="Y99" s="253"/>
      <c r="Z99" s="253"/>
      <c r="AA99" s="253"/>
      <c r="AB99" s="253"/>
      <c r="AC99" s="253"/>
      <c r="AD99" s="253"/>
      <c r="AE99" s="253"/>
      <c r="AF99" s="253"/>
      <c r="AG99" s="253"/>
      <c r="AH99" s="253"/>
      <c r="AI99" s="253"/>
      <c r="AJ99" s="253"/>
      <c r="AK99" s="253"/>
      <c r="AL99" s="253"/>
      <c r="AM99" s="253"/>
      <c r="AN99" s="253"/>
      <c r="AO99" s="253"/>
      <c r="AP99" s="253"/>
      <c r="AQ99" s="253"/>
      <c r="AR99" s="253"/>
      <c r="AS99" s="253"/>
      <c r="AT99" s="253"/>
      <c r="AU99" s="253"/>
      <c r="AV99" s="253"/>
      <c r="AW99" s="253"/>
      <c r="AX99" s="253"/>
      <c r="AY99" s="253"/>
      <c r="AZ99" s="253"/>
      <c r="BA99" s="253"/>
      <c r="BB99" s="253"/>
      <c r="BC99" s="253"/>
      <c r="BD99" s="253"/>
      <c r="BE99" s="253"/>
      <c r="BF99" s="253"/>
      <c r="BG99" s="253"/>
      <c r="BH99" s="253"/>
      <c r="BI99" s="253"/>
      <c r="BJ99" s="253"/>
      <c r="BK99" s="253"/>
      <c r="BL99" s="253"/>
      <c r="BM99" s="253"/>
      <c r="BN99" s="253"/>
      <c r="BO99" s="253"/>
      <c r="BP99" s="253"/>
      <c r="BQ99" s="253"/>
      <c r="BR99" s="253"/>
      <c r="BS99" s="253"/>
      <c r="BT99" s="253"/>
      <c r="BU99" s="253"/>
      <c r="BV99" s="253"/>
      <c r="BW99" s="253"/>
      <c r="BX99" s="253"/>
      <c r="BY99" s="253"/>
      <c r="BZ99" s="253"/>
      <c r="CA99" s="253"/>
      <c r="CB99" s="253"/>
      <c r="CC99" s="253"/>
      <c r="CD99" s="253"/>
      <c r="CE99" s="253"/>
      <c r="CF99" s="253"/>
      <c r="CG99" s="253"/>
      <c r="CH99" s="253"/>
      <c r="CI99" s="253"/>
      <c r="CJ99" s="253"/>
      <c r="CK99" s="253"/>
      <c r="CL99" s="253"/>
      <c r="CM99" s="253"/>
      <c r="CN99" s="253"/>
      <c r="CO99" s="253"/>
      <c r="CP99" s="253"/>
      <c r="CQ99" s="253"/>
      <c r="CR99" s="253"/>
      <c r="CS99" s="253"/>
      <c r="CT99" s="253"/>
      <c r="CU99" s="253"/>
      <c r="CV99" s="253"/>
      <c r="CW99" s="253"/>
      <c r="CX99" s="253"/>
      <c r="CY99" s="253"/>
      <c r="CZ99" s="253"/>
      <c r="DA99" s="253"/>
      <c r="DB99" s="253"/>
      <c r="DC99" s="253"/>
      <c r="DD99" s="253"/>
      <c r="DE99" s="253"/>
      <c r="DF99" s="253"/>
      <c r="DG99" s="253"/>
      <c r="DH99" s="253"/>
      <c r="DI99" s="253"/>
      <c r="DJ99" s="253"/>
      <c r="DK99" s="253"/>
      <c r="DL99" s="253"/>
      <c r="DM99" s="253"/>
      <c r="DN99" s="253"/>
      <c r="DO99" s="253"/>
      <c r="DP99" s="253"/>
      <c r="DQ99" s="253"/>
      <c r="DR99" s="253"/>
      <c r="DS99" s="253"/>
      <c r="DT99" s="253"/>
      <c r="DU99" s="253"/>
      <c r="DV99" s="253"/>
      <c r="DW99" s="253"/>
      <c r="DX99" s="253"/>
      <c r="DY99" s="253"/>
      <c r="DZ99" s="253"/>
      <c r="EA99" s="253"/>
      <c r="EB99" s="253"/>
      <c r="EC99" s="253"/>
      <c r="ED99" s="253"/>
      <c r="EE99" s="253"/>
      <c r="EF99" s="253"/>
      <c r="EG99" s="253"/>
      <c r="EH99" s="253"/>
      <c r="EI99" s="253"/>
      <c r="EJ99" s="253"/>
      <c r="EK99" s="253"/>
      <c r="EL99" s="253"/>
      <c r="EM99" s="253"/>
      <c r="EN99" s="253"/>
      <c r="EO99" s="253"/>
      <c r="EP99" s="253"/>
      <c r="EQ99" s="253"/>
      <c r="ER99" s="253"/>
      <c r="ES99" s="253"/>
      <c r="ET99" s="253"/>
      <c r="EU99" s="253"/>
      <c r="EV99" s="253"/>
      <c r="EW99" s="253"/>
      <c r="EX99" s="253"/>
      <c r="EY99" s="253"/>
      <c r="EZ99" s="253"/>
      <c r="FA99" s="253"/>
      <c r="FB99" s="253"/>
      <c r="FC99" s="253"/>
      <c r="FD99" s="253"/>
      <c r="FE99" s="253"/>
      <c r="FF99" s="253"/>
      <c r="FG99" s="256"/>
      <c r="FH99" s="257" t="s">
        <v>892</v>
      </c>
      <c r="FI99" s="258" t="s">
        <v>389</v>
      </c>
      <c r="FJ99" s="258"/>
      <c r="FK99" s="258" t="s">
        <v>423</v>
      </c>
      <c r="FL99" s="259">
        <f t="shared" si="7"/>
        <v>0</v>
      </c>
      <c r="FM99" s="260" t="s">
        <v>835</v>
      </c>
      <c r="FN99" s="260"/>
    </row>
    <row r="100" spans="1:170">
      <c r="A100" s="251" t="s">
        <v>385</v>
      </c>
      <c r="B100" s="251" t="s">
        <v>385</v>
      </c>
      <c r="C100" s="251" t="s">
        <v>411</v>
      </c>
      <c r="D100" s="251" t="s">
        <v>291</v>
      </c>
      <c r="E100" s="252" t="s">
        <v>862</v>
      </c>
      <c r="F100" s="251" t="s">
        <v>388</v>
      </c>
      <c r="G100" s="251" t="s">
        <v>921</v>
      </c>
      <c r="H100" s="253"/>
      <c r="I100" s="255">
        <f>50-50</f>
        <v>0</v>
      </c>
      <c r="J100" s="253"/>
      <c r="K100" s="255">
        <f>50-50</f>
        <v>0</v>
      </c>
      <c r="L100" s="253"/>
      <c r="M100" s="253"/>
      <c r="N100" s="253"/>
      <c r="O100" s="253"/>
      <c r="P100" s="253"/>
      <c r="Q100" s="253"/>
      <c r="R100" s="253"/>
      <c r="S100" s="253"/>
      <c r="T100" s="253"/>
      <c r="U100" s="253"/>
      <c r="V100" s="253"/>
      <c r="W100" s="253"/>
      <c r="X100" s="253"/>
      <c r="Y100" s="253"/>
      <c r="Z100" s="253"/>
      <c r="AA100" s="253"/>
      <c r="AB100" s="253"/>
      <c r="AC100" s="253"/>
      <c r="AD100" s="253"/>
      <c r="AE100" s="253"/>
      <c r="AF100" s="253"/>
      <c r="AG100" s="253"/>
      <c r="AH100" s="253"/>
      <c r="AI100" s="255">
        <f>20-20</f>
        <v>0</v>
      </c>
      <c r="AJ100" s="253"/>
      <c r="AK100" s="253"/>
      <c r="AL100" s="253"/>
      <c r="AM100" s="253"/>
      <c r="AN100" s="253"/>
      <c r="AO100" s="253"/>
      <c r="AP100" s="253"/>
      <c r="AQ100" s="253"/>
      <c r="AR100" s="253"/>
      <c r="AS100" s="253"/>
      <c r="AT100" s="253"/>
      <c r="AU100" s="253"/>
      <c r="AV100" s="253"/>
      <c r="AW100" s="253"/>
      <c r="AX100" s="253"/>
      <c r="AY100" s="253"/>
      <c r="AZ100" s="253"/>
      <c r="BA100" s="253"/>
      <c r="BB100" s="253"/>
      <c r="BC100" s="253"/>
      <c r="BD100" s="253"/>
      <c r="BE100" s="253"/>
      <c r="BF100" s="253"/>
      <c r="BG100" s="253"/>
      <c r="BH100" s="253"/>
      <c r="BI100" s="253"/>
      <c r="BJ100" s="253"/>
      <c r="BK100" s="253"/>
      <c r="BL100" s="253"/>
      <c r="BM100" s="253"/>
      <c r="BN100" s="253"/>
      <c r="BO100" s="253"/>
      <c r="BP100" s="253"/>
      <c r="BQ100" s="253"/>
      <c r="BR100" s="253"/>
      <c r="BS100" s="253"/>
      <c r="BT100" s="253"/>
      <c r="BU100" s="253"/>
      <c r="BV100" s="253"/>
      <c r="BW100" s="253"/>
      <c r="BX100" s="253"/>
      <c r="BY100" s="253"/>
      <c r="BZ100" s="253"/>
      <c r="CA100" s="253"/>
      <c r="CB100" s="253"/>
      <c r="CC100" s="253"/>
      <c r="CD100" s="253"/>
      <c r="CE100" s="253"/>
      <c r="CF100" s="253"/>
      <c r="CG100" s="253"/>
      <c r="CH100" s="253"/>
      <c r="CI100" s="253"/>
      <c r="CJ100" s="253"/>
      <c r="CK100" s="253"/>
      <c r="CL100" s="253"/>
      <c r="CM100" s="253"/>
      <c r="CN100" s="253"/>
      <c r="CO100" s="253"/>
      <c r="CP100" s="253"/>
      <c r="CQ100" s="253"/>
      <c r="CR100" s="253"/>
      <c r="CS100" s="253"/>
      <c r="CT100" s="253"/>
      <c r="CU100" s="253"/>
      <c r="CV100" s="253"/>
      <c r="CW100" s="253"/>
      <c r="CX100" s="253"/>
      <c r="CY100" s="253"/>
      <c r="CZ100" s="253"/>
      <c r="DA100" s="253"/>
      <c r="DB100" s="253"/>
      <c r="DC100" s="253"/>
      <c r="DD100" s="253"/>
      <c r="DE100" s="253"/>
      <c r="DF100" s="253"/>
      <c r="DG100" s="253"/>
      <c r="DH100" s="253"/>
      <c r="DI100" s="253"/>
      <c r="DJ100" s="253"/>
      <c r="DK100" s="253"/>
      <c r="DL100" s="253"/>
      <c r="DM100" s="253"/>
      <c r="DN100" s="253"/>
      <c r="DO100" s="253"/>
      <c r="DP100" s="253"/>
      <c r="DQ100" s="253"/>
      <c r="DR100" s="253"/>
      <c r="DS100" s="253"/>
      <c r="DT100" s="253"/>
      <c r="DU100" s="253"/>
      <c r="DV100" s="253"/>
      <c r="DW100" s="253"/>
      <c r="DX100" s="253"/>
      <c r="DY100" s="253"/>
      <c r="DZ100" s="253"/>
      <c r="EA100" s="253"/>
      <c r="EB100" s="253"/>
      <c r="EC100" s="253"/>
      <c r="ED100" s="253"/>
      <c r="EE100" s="253"/>
      <c r="EF100" s="253"/>
      <c r="EG100" s="253"/>
      <c r="EH100" s="253"/>
      <c r="EI100" s="253"/>
      <c r="EJ100" s="253"/>
      <c r="EK100" s="253"/>
      <c r="EL100" s="253"/>
      <c r="EM100" s="253"/>
      <c r="EN100" s="253"/>
      <c r="EO100" s="253"/>
      <c r="EP100" s="253"/>
      <c r="EQ100" s="253"/>
      <c r="ER100" s="253"/>
      <c r="ES100" s="253"/>
      <c r="ET100" s="253"/>
      <c r="EU100" s="253"/>
      <c r="EV100" s="253"/>
      <c r="EW100" s="253"/>
      <c r="EX100" s="253"/>
      <c r="EY100" s="253"/>
      <c r="EZ100" s="253"/>
      <c r="FA100" s="253"/>
      <c r="FB100" s="253"/>
      <c r="FC100" s="253"/>
      <c r="FD100" s="253"/>
      <c r="FE100" s="253"/>
      <c r="FF100" s="253"/>
      <c r="FG100" s="256"/>
      <c r="FH100" s="257" t="s">
        <v>892</v>
      </c>
      <c r="FI100" s="258" t="s">
        <v>389</v>
      </c>
      <c r="FJ100" s="258" t="s">
        <v>864</v>
      </c>
      <c r="FK100" s="258" t="s">
        <v>432</v>
      </c>
      <c r="FL100" s="259">
        <f t="shared" si="7"/>
        <v>0</v>
      </c>
      <c r="FM100" s="260" t="s">
        <v>433</v>
      </c>
      <c r="FN100" s="260"/>
    </row>
    <row r="101" spans="1:170">
      <c r="A101" s="251" t="s">
        <v>385</v>
      </c>
      <c r="B101" s="251" t="s">
        <v>385</v>
      </c>
      <c r="C101" s="251" t="s">
        <v>411</v>
      </c>
      <c r="D101" s="251" t="s">
        <v>1</v>
      </c>
      <c r="E101" s="252" t="s">
        <v>862</v>
      </c>
      <c r="F101" s="251" t="s">
        <v>388</v>
      </c>
      <c r="G101" s="251" t="s">
        <v>921</v>
      </c>
      <c r="H101" s="253"/>
      <c r="I101" s="253"/>
      <c r="J101" s="253"/>
      <c r="K101" s="253"/>
      <c r="L101" s="253"/>
      <c r="M101" s="253"/>
      <c r="N101" s="253"/>
      <c r="O101" s="253"/>
      <c r="P101" s="253"/>
      <c r="Q101" s="253"/>
      <c r="R101" s="253"/>
      <c r="S101" s="253"/>
      <c r="T101" s="255">
        <f>20-20</f>
        <v>0</v>
      </c>
      <c r="U101" s="253"/>
      <c r="V101" s="253"/>
      <c r="W101" s="253"/>
      <c r="X101" s="253"/>
      <c r="Y101" s="253"/>
      <c r="Z101" s="253"/>
      <c r="AA101" s="253"/>
      <c r="AB101" s="253"/>
      <c r="AC101" s="253"/>
      <c r="AD101" s="253"/>
      <c r="AE101" s="253"/>
      <c r="AF101" s="253"/>
      <c r="AG101" s="253"/>
      <c r="AH101" s="253"/>
      <c r="AI101" s="253"/>
      <c r="AJ101" s="253"/>
      <c r="AK101" s="253"/>
      <c r="AL101" s="253"/>
      <c r="AM101" s="253"/>
      <c r="AN101" s="253"/>
      <c r="AO101" s="253"/>
      <c r="AP101" s="253"/>
      <c r="AQ101" s="253"/>
      <c r="AR101" s="253"/>
      <c r="AS101" s="253"/>
      <c r="AT101" s="253"/>
      <c r="AU101" s="253"/>
      <c r="AV101" s="253"/>
      <c r="AW101" s="253"/>
      <c r="AX101" s="253"/>
      <c r="AY101" s="253"/>
      <c r="AZ101" s="253"/>
      <c r="BA101" s="253"/>
      <c r="BB101" s="253"/>
      <c r="BC101" s="253"/>
      <c r="BD101" s="253"/>
      <c r="BE101" s="253"/>
      <c r="BF101" s="253"/>
      <c r="BG101" s="253"/>
      <c r="BH101" s="253"/>
      <c r="BI101" s="253"/>
      <c r="BJ101" s="253"/>
      <c r="BK101" s="253"/>
      <c r="BL101" s="253"/>
      <c r="BM101" s="253"/>
      <c r="BN101" s="253"/>
      <c r="BO101" s="253"/>
      <c r="BP101" s="253"/>
      <c r="BQ101" s="253"/>
      <c r="BR101" s="253"/>
      <c r="BS101" s="253"/>
      <c r="BT101" s="253"/>
      <c r="BU101" s="253"/>
      <c r="BV101" s="253"/>
      <c r="BW101" s="253"/>
      <c r="BX101" s="253"/>
      <c r="BY101" s="253"/>
      <c r="BZ101" s="253"/>
      <c r="CA101" s="253"/>
      <c r="CB101" s="253"/>
      <c r="CC101" s="253"/>
      <c r="CD101" s="253"/>
      <c r="CE101" s="253"/>
      <c r="CF101" s="253"/>
      <c r="CG101" s="253"/>
      <c r="CH101" s="253"/>
      <c r="CI101" s="253"/>
      <c r="CJ101" s="253"/>
      <c r="CK101" s="253"/>
      <c r="CL101" s="253"/>
      <c r="CM101" s="253"/>
      <c r="CN101" s="253"/>
      <c r="CO101" s="253"/>
      <c r="CP101" s="253"/>
      <c r="CQ101" s="253"/>
      <c r="CR101" s="253"/>
      <c r="CS101" s="253"/>
      <c r="CT101" s="253"/>
      <c r="CU101" s="253"/>
      <c r="CV101" s="253"/>
      <c r="CW101" s="253"/>
      <c r="CX101" s="253"/>
      <c r="CY101" s="253"/>
      <c r="CZ101" s="253"/>
      <c r="DA101" s="253"/>
      <c r="DB101" s="253"/>
      <c r="DC101" s="253"/>
      <c r="DD101" s="253"/>
      <c r="DE101" s="253"/>
      <c r="DF101" s="253"/>
      <c r="DG101" s="253"/>
      <c r="DH101" s="253"/>
      <c r="DI101" s="253"/>
      <c r="DJ101" s="253"/>
      <c r="DK101" s="253"/>
      <c r="DL101" s="253"/>
      <c r="DM101" s="253"/>
      <c r="DN101" s="253"/>
      <c r="DO101" s="253"/>
      <c r="DP101" s="253"/>
      <c r="DQ101" s="253"/>
      <c r="DR101" s="253"/>
      <c r="DS101" s="253"/>
      <c r="DT101" s="253"/>
      <c r="DU101" s="253"/>
      <c r="DV101" s="253"/>
      <c r="DW101" s="253"/>
      <c r="DX101" s="253"/>
      <c r="DY101" s="253"/>
      <c r="DZ101" s="253"/>
      <c r="EA101" s="253"/>
      <c r="EB101" s="253"/>
      <c r="EC101" s="253"/>
      <c r="ED101" s="253"/>
      <c r="EE101" s="253"/>
      <c r="EF101" s="253"/>
      <c r="EG101" s="253"/>
      <c r="EH101" s="253"/>
      <c r="EI101" s="253"/>
      <c r="EJ101" s="253"/>
      <c r="EK101" s="253"/>
      <c r="EL101" s="253"/>
      <c r="EM101" s="253"/>
      <c r="EN101" s="253"/>
      <c r="EO101" s="253"/>
      <c r="EP101" s="253"/>
      <c r="EQ101" s="253"/>
      <c r="ER101" s="253"/>
      <c r="ES101" s="253"/>
      <c r="ET101" s="253"/>
      <c r="EU101" s="253"/>
      <c r="EV101" s="253"/>
      <c r="EW101" s="253"/>
      <c r="EX101" s="253"/>
      <c r="EY101" s="253"/>
      <c r="EZ101" s="253"/>
      <c r="FA101" s="253"/>
      <c r="FB101" s="253"/>
      <c r="FC101" s="253"/>
      <c r="FD101" s="253"/>
      <c r="FE101" s="253"/>
      <c r="FF101" s="253"/>
      <c r="FG101" s="256"/>
      <c r="FH101" s="257" t="s">
        <v>892</v>
      </c>
      <c r="FI101" s="258" t="s">
        <v>389</v>
      </c>
      <c r="FJ101" s="258" t="s">
        <v>864</v>
      </c>
      <c r="FK101" s="258" t="s">
        <v>432</v>
      </c>
      <c r="FL101" s="259">
        <f t="shared" si="7"/>
        <v>0</v>
      </c>
      <c r="FM101" s="260" t="s">
        <v>433</v>
      </c>
      <c r="FN101" s="260"/>
    </row>
    <row r="102" spans="1:170">
      <c r="A102" s="251" t="s">
        <v>393</v>
      </c>
      <c r="B102" s="251" t="s">
        <v>385</v>
      </c>
      <c r="C102" s="251" t="s">
        <v>411</v>
      </c>
      <c r="D102" s="251" t="s">
        <v>291</v>
      </c>
      <c r="E102" s="252" t="s">
        <v>447</v>
      </c>
      <c r="F102" s="251" t="s">
        <v>388</v>
      </c>
      <c r="G102" s="251" t="s">
        <v>922</v>
      </c>
      <c r="H102" s="253"/>
      <c r="I102" s="253"/>
      <c r="J102" s="253"/>
      <c r="K102" s="255">
        <f>100-100</f>
        <v>0</v>
      </c>
      <c r="L102" s="253"/>
      <c r="M102" s="253"/>
      <c r="N102" s="253"/>
      <c r="O102" s="253"/>
      <c r="P102" s="253"/>
      <c r="Q102" s="253"/>
      <c r="R102" s="253"/>
      <c r="S102" s="253"/>
      <c r="T102" s="253"/>
      <c r="U102" s="253"/>
      <c r="V102" s="253"/>
      <c r="W102" s="253"/>
      <c r="X102" s="253"/>
      <c r="Y102" s="253"/>
      <c r="Z102" s="253"/>
      <c r="AA102" s="253"/>
      <c r="AB102" s="253"/>
      <c r="AC102" s="253"/>
      <c r="AD102" s="253"/>
      <c r="AE102" s="253"/>
      <c r="AF102" s="253"/>
      <c r="AG102" s="253"/>
      <c r="AH102" s="253"/>
      <c r="AI102" s="253"/>
      <c r="AJ102" s="255">
        <f>100-100</f>
        <v>0</v>
      </c>
      <c r="AK102" s="253"/>
      <c r="AL102" s="253"/>
      <c r="AM102" s="253"/>
      <c r="AN102" s="253"/>
      <c r="AO102" s="253"/>
      <c r="AP102" s="253"/>
      <c r="AQ102" s="253"/>
      <c r="AR102" s="253"/>
      <c r="AS102" s="253"/>
      <c r="AT102" s="253"/>
      <c r="AU102" s="253"/>
      <c r="AV102" s="253"/>
      <c r="AW102" s="253"/>
      <c r="AX102" s="253"/>
      <c r="AY102" s="253"/>
      <c r="AZ102" s="253"/>
      <c r="BA102" s="253"/>
      <c r="BB102" s="253"/>
      <c r="BC102" s="253"/>
      <c r="BD102" s="253"/>
      <c r="BE102" s="253"/>
      <c r="BF102" s="253"/>
      <c r="BG102" s="255">
        <f>100-100</f>
        <v>0</v>
      </c>
      <c r="BH102" s="253"/>
      <c r="BI102" s="253"/>
      <c r="BJ102" s="253"/>
      <c r="BK102" s="253"/>
      <c r="BL102" s="253"/>
      <c r="BM102" s="253"/>
      <c r="BN102" s="253"/>
      <c r="BO102" s="253"/>
      <c r="BP102" s="253"/>
      <c r="BQ102" s="253"/>
      <c r="BR102" s="253"/>
      <c r="BS102" s="253"/>
      <c r="BT102" s="253"/>
      <c r="BU102" s="253"/>
      <c r="BV102" s="253"/>
      <c r="BW102" s="253"/>
      <c r="BX102" s="253"/>
      <c r="BY102" s="253"/>
      <c r="BZ102" s="253"/>
      <c r="CA102" s="253"/>
      <c r="CB102" s="253"/>
      <c r="CC102" s="253"/>
      <c r="CD102" s="253"/>
      <c r="CE102" s="253"/>
      <c r="CF102" s="253"/>
      <c r="CG102" s="253"/>
      <c r="CH102" s="253"/>
      <c r="CI102" s="253"/>
      <c r="CJ102" s="253"/>
      <c r="CK102" s="253"/>
      <c r="CL102" s="253"/>
      <c r="CM102" s="253"/>
      <c r="CN102" s="253"/>
      <c r="CO102" s="253"/>
      <c r="CP102" s="253"/>
      <c r="CQ102" s="253"/>
      <c r="CR102" s="253"/>
      <c r="CS102" s="253"/>
      <c r="CT102" s="253"/>
      <c r="CU102" s="253"/>
      <c r="CV102" s="253"/>
      <c r="CW102" s="253"/>
      <c r="CX102" s="253"/>
      <c r="CY102" s="253"/>
      <c r="CZ102" s="253"/>
      <c r="DA102" s="253"/>
      <c r="DB102" s="253"/>
      <c r="DC102" s="253"/>
      <c r="DD102" s="253"/>
      <c r="DE102" s="253"/>
      <c r="DF102" s="253"/>
      <c r="DG102" s="253"/>
      <c r="DH102" s="253"/>
      <c r="DI102" s="253"/>
      <c r="DJ102" s="253"/>
      <c r="DK102" s="253"/>
      <c r="DL102" s="253"/>
      <c r="DM102" s="253"/>
      <c r="DN102" s="253"/>
      <c r="DO102" s="253"/>
      <c r="DP102" s="253"/>
      <c r="DQ102" s="253"/>
      <c r="DR102" s="253"/>
      <c r="DS102" s="253"/>
      <c r="DT102" s="253"/>
      <c r="DU102" s="253"/>
      <c r="DV102" s="253"/>
      <c r="DW102" s="253"/>
      <c r="DX102" s="253"/>
      <c r="DY102" s="253"/>
      <c r="DZ102" s="253"/>
      <c r="EA102" s="253"/>
      <c r="EB102" s="253"/>
      <c r="EC102" s="253"/>
      <c r="ED102" s="253"/>
      <c r="EE102" s="253"/>
      <c r="EF102" s="253"/>
      <c r="EG102" s="253"/>
      <c r="EH102" s="253"/>
      <c r="EI102" s="253"/>
      <c r="EJ102" s="253"/>
      <c r="EK102" s="253"/>
      <c r="EL102" s="253"/>
      <c r="EM102" s="253"/>
      <c r="EN102" s="253"/>
      <c r="EO102" s="253"/>
      <c r="EP102" s="253"/>
      <c r="EQ102" s="253"/>
      <c r="ER102" s="253"/>
      <c r="ES102" s="253"/>
      <c r="ET102" s="253"/>
      <c r="EU102" s="253"/>
      <c r="EV102" s="253"/>
      <c r="EW102" s="253"/>
      <c r="EX102" s="253"/>
      <c r="EY102" s="253"/>
      <c r="EZ102" s="253"/>
      <c r="FA102" s="253"/>
      <c r="FB102" s="253"/>
      <c r="FC102" s="253"/>
      <c r="FD102" s="253"/>
      <c r="FE102" s="253"/>
      <c r="FF102" s="253"/>
      <c r="FG102" s="256"/>
      <c r="FH102" s="257" t="s">
        <v>892</v>
      </c>
      <c r="FI102" s="258" t="s">
        <v>389</v>
      </c>
      <c r="FJ102" s="258" t="s">
        <v>448</v>
      </c>
      <c r="FK102" s="258" t="s">
        <v>449</v>
      </c>
      <c r="FL102" s="259">
        <f t="shared" si="7"/>
        <v>0</v>
      </c>
      <c r="FM102" s="260" t="s">
        <v>433</v>
      </c>
      <c r="FN102" s="260"/>
    </row>
    <row r="103" spans="1:170">
      <c r="A103" s="251" t="s">
        <v>393</v>
      </c>
      <c r="B103" s="251" t="s">
        <v>385</v>
      </c>
      <c r="C103" s="251" t="s">
        <v>411</v>
      </c>
      <c r="D103" s="251" t="s">
        <v>1</v>
      </c>
      <c r="E103" s="252" t="s">
        <v>447</v>
      </c>
      <c r="F103" s="251" t="s">
        <v>388</v>
      </c>
      <c r="G103" s="251" t="s">
        <v>922</v>
      </c>
      <c r="H103" s="253"/>
      <c r="I103" s="253"/>
      <c r="J103" s="253"/>
      <c r="K103" s="253"/>
      <c r="L103" s="253"/>
      <c r="M103" s="253"/>
      <c r="N103" s="253"/>
      <c r="O103" s="253"/>
      <c r="P103" s="253"/>
      <c r="Q103" s="253"/>
      <c r="R103" s="253"/>
      <c r="S103" s="253"/>
      <c r="T103" s="253"/>
      <c r="U103" s="253"/>
      <c r="V103" s="253"/>
      <c r="W103" s="253"/>
      <c r="X103" s="253"/>
      <c r="Y103" s="253"/>
      <c r="Z103" s="253"/>
      <c r="AA103" s="253"/>
      <c r="AB103" s="253"/>
      <c r="AC103" s="253"/>
      <c r="AD103" s="253"/>
      <c r="AE103" s="253"/>
      <c r="AF103" s="254">
        <f>100-100+10</f>
        <v>10</v>
      </c>
      <c r="AG103" s="253"/>
      <c r="AH103" s="253"/>
      <c r="AI103" s="253"/>
      <c r="AJ103" s="253"/>
      <c r="AK103" s="253"/>
      <c r="AL103" s="253"/>
      <c r="AM103" s="253"/>
      <c r="AN103" s="253"/>
      <c r="AO103" s="253"/>
      <c r="AP103" s="253"/>
      <c r="AQ103" s="253"/>
      <c r="AR103" s="253"/>
      <c r="AS103" s="253"/>
      <c r="AT103" s="253"/>
      <c r="AU103" s="253"/>
      <c r="AV103" s="253"/>
      <c r="AW103" s="255">
        <f>100-100</f>
        <v>0</v>
      </c>
      <c r="AX103" s="253"/>
      <c r="AY103" s="253"/>
      <c r="AZ103" s="253"/>
      <c r="BA103" s="253"/>
      <c r="BB103" s="253"/>
      <c r="BC103" s="253"/>
      <c r="BD103" s="253"/>
      <c r="BE103" s="253"/>
      <c r="BF103" s="253"/>
      <c r="BG103" s="253"/>
      <c r="BH103" s="253"/>
      <c r="BI103" s="253"/>
      <c r="BJ103" s="253"/>
      <c r="BK103" s="253"/>
      <c r="BL103" s="253"/>
      <c r="BM103" s="253"/>
      <c r="BN103" s="253"/>
      <c r="BO103" s="253"/>
      <c r="BP103" s="253"/>
      <c r="BQ103" s="253"/>
      <c r="BR103" s="253"/>
      <c r="BS103" s="253"/>
      <c r="BT103" s="253"/>
      <c r="BU103" s="253"/>
      <c r="BV103" s="253"/>
      <c r="BW103" s="253"/>
      <c r="BX103" s="253"/>
      <c r="BY103" s="253"/>
      <c r="BZ103" s="253"/>
      <c r="CA103" s="253"/>
      <c r="CB103" s="253"/>
      <c r="CC103" s="253"/>
      <c r="CD103" s="253"/>
      <c r="CE103" s="253"/>
      <c r="CF103" s="253"/>
      <c r="CG103" s="253"/>
      <c r="CH103" s="253"/>
      <c r="CI103" s="253"/>
      <c r="CJ103" s="253"/>
      <c r="CK103" s="253"/>
      <c r="CL103" s="253"/>
      <c r="CM103" s="253"/>
      <c r="CN103" s="253"/>
      <c r="CO103" s="253"/>
      <c r="CP103" s="253"/>
      <c r="CQ103" s="253"/>
      <c r="CR103" s="253"/>
      <c r="CS103" s="253"/>
      <c r="CT103" s="253"/>
      <c r="CU103" s="253"/>
      <c r="CV103" s="253"/>
      <c r="CW103" s="253"/>
      <c r="CX103" s="253"/>
      <c r="CY103" s="253"/>
      <c r="CZ103" s="253"/>
      <c r="DA103" s="253"/>
      <c r="DB103" s="253"/>
      <c r="DC103" s="253"/>
      <c r="DD103" s="253"/>
      <c r="DE103" s="253"/>
      <c r="DF103" s="253"/>
      <c r="DG103" s="253"/>
      <c r="DH103" s="253"/>
      <c r="DI103" s="253"/>
      <c r="DJ103" s="253"/>
      <c r="DK103" s="253"/>
      <c r="DL103" s="253"/>
      <c r="DM103" s="253"/>
      <c r="DN103" s="253"/>
      <c r="DO103" s="253"/>
      <c r="DP103" s="253"/>
      <c r="DQ103" s="253"/>
      <c r="DR103" s="253"/>
      <c r="DS103" s="253"/>
      <c r="DT103" s="253"/>
      <c r="DU103" s="253"/>
      <c r="DV103" s="253"/>
      <c r="DW103" s="253"/>
      <c r="DX103" s="253"/>
      <c r="DY103" s="253"/>
      <c r="DZ103" s="253"/>
      <c r="EA103" s="253"/>
      <c r="EB103" s="253"/>
      <c r="EC103" s="253"/>
      <c r="ED103" s="253"/>
      <c r="EE103" s="253"/>
      <c r="EF103" s="253"/>
      <c r="EG103" s="253"/>
      <c r="EH103" s="253"/>
      <c r="EI103" s="253"/>
      <c r="EJ103" s="253"/>
      <c r="EK103" s="253"/>
      <c r="EL103" s="253"/>
      <c r="EM103" s="253"/>
      <c r="EN103" s="253"/>
      <c r="EO103" s="253"/>
      <c r="EP103" s="253"/>
      <c r="EQ103" s="253"/>
      <c r="ER103" s="253"/>
      <c r="ES103" s="253"/>
      <c r="ET103" s="253"/>
      <c r="EU103" s="253"/>
      <c r="EV103" s="253"/>
      <c r="EW103" s="253"/>
      <c r="EX103" s="253"/>
      <c r="EY103" s="253"/>
      <c r="EZ103" s="253"/>
      <c r="FA103" s="253"/>
      <c r="FB103" s="253"/>
      <c r="FC103" s="253"/>
      <c r="FD103" s="253"/>
      <c r="FE103" s="253"/>
      <c r="FF103" s="253"/>
      <c r="FG103" s="256"/>
      <c r="FH103" s="257" t="s">
        <v>892</v>
      </c>
      <c r="FI103" s="258" t="s">
        <v>389</v>
      </c>
      <c r="FJ103" s="258" t="s">
        <v>448</v>
      </c>
      <c r="FK103" s="258" t="s">
        <v>449</v>
      </c>
      <c r="FL103" s="259">
        <f t="shared" si="7"/>
        <v>10</v>
      </c>
      <c r="FM103" s="260" t="s">
        <v>433</v>
      </c>
      <c r="FN103" s="260"/>
    </row>
    <row r="104" spans="1:170">
      <c r="A104" s="251" t="s">
        <v>417</v>
      </c>
      <c r="B104" s="251" t="s">
        <v>385</v>
      </c>
      <c r="C104" s="251" t="s">
        <v>411</v>
      </c>
      <c r="D104" s="251" t="s">
        <v>291</v>
      </c>
      <c r="E104" s="252" t="s">
        <v>450</v>
      </c>
      <c r="F104" s="251" t="s">
        <v>388</v>
      </c>
      <c r="G104" s="251" t="s">
        <v>923</v>
      </c>
      <c r="H104" s="253"/>
      <c r="I104" s="253"/>
      <c r="J104" s="253"/>
      <c r="K104" s="253"/>
      <c r="L104" s="253"/>
      <c r="M104" s="253"/>
      <c r="N104" s="253"/>
      <c r="O104" s="253"/>
      <c r="P104" s="253"/>
      <c r="Q104" s="253"/>
      <c r="R104" s="253"/>
      <c r="S104" s="253"/>
      <c r="T104" s="253"/>
      <c r="U104" s="253"/>
      <c r="V104" s="253"/>
      <c r="W104" s="253"/>
      <c r="X104" s="253"/>
      <c r="Y104" s="253"/>
      <c r="Z104" s="253"/>
      <c r="AA104" s="253"/>
      <c r="AB104" s="253"/>
      <c r="AC104" s="253"/>
      <c r="AD104" s="253"/>
      <c r="AE104" s="253"/>
      <c r="AF104" s="253"/>
      <c r="AG104" s="253"/>
      <c r="AH104" s="253"/>
      <c r="AI104" s="253"/>
      <c r="AJ104" s="255">
        <f>50-50</f>
        <v>0</v>
      </c>
      <c r="AK104" s="253"/>
      <c r="AL104" s="253"/>
      <c r="AM104" s="253"/>
      <c r="AN104" s="253"/>
      <c r="AO104" s="253"/>
      <c r="AP104" s="253"/>
      <c r="AQ104" s="253"/>
      <c r="AR104" s="253"/>
      <c r="AS104" s="253"/>
      <c r="AT104" s="253"/>
      <c r="AU104" s="253"/>
      <c r="AV104" s="253"/>
      <c r="AW104" s="253"/>
      <c r="AX104" s="253"/>
      <c r="AY104" s="253"/>
      <c r="AZ104" s="253"/>
      <c r="BA104" s="253"/>
      <c r="BB104" s="253"/>
      <c r="BC104" s="253"/>
      <c r="BD104" s="253"/>
      <c r="BE104" s="253"/>
      <c r="BF104" s="253"/>
      <c r="BG104" s="255">
        <f>10-10</f>
        <v>0</v>
      </c>
      <c r="BH104" s="253"/>
      <c r="BI104" s="253"/>
      <c r="BJ104" s="253"/>
      <c r="BK104" s="253"/>
      <c r="BL104" s="253"/>
      <c r="BM104" s="253"/>
      <c r="BN104" s="253"/>
      <c r="BO104" s="253"/>
      <c r="BP104" s="253"/>
      <c r="BQ104" s="253"/>
      <c r="BR104" s="253"/>
      <c r="BS104" s="253"/>
      <c r="BT104" s="253"/>
      <c r="BU104" s="253"/>
      <c r="BV104" s="253"/>
      <c r="BW104" s="253"/>
      <c r="BX104" s="253"/>
      <c r="BY104" s="253"/>
      <c r="BZ104" s="253"/>
      <c r="CA104" s="253"/>
      <c r="CB104" s="253"/>
      <c r="CC104" s="253"/>
      <c r="CD104" s="253"/>
      <c r="CE104" s="253"/>
      <c r="CF104" s="253"/>
      <c r="CG104" s="253"/>
      <c r="CH104" s="253"/>
      <c r="CI104" s="253"/>
      <c r="CJ104" s="253"/>
      <c r="CK104" s="253"/>
      <c r="CL104" s="253"/>
      <c r="CM104" s="253"/>
      <c r="CN104" s="253"/>
      <c r="CO104" s="253"/>
      <c r="CP104" s="253"/>
      <c r="CQ104" s="253"/>
      <c r="CR104" s="253"/>
      <c r="CS104" s="253"/>
      <c r="CT104" s="253"/>
      <c r="CU104" s="253"/>
      <c r="CV104" s="253"/>
      <c r="CW104" s="253"/>
      <c r="CX104" s="253"/>
      <c r="CY104" s="253"/>
      <c r="CZ104" s="253"/>
      <c r="DA104" s="253"/>
      <c r="DB104" s="253"/>
      <c r="DC104" s="253"/>
      <c r="DD104" s="253"/>
      <c r="DE104" s="253"/>
      <c r="DF104" s="253"/>
      <c r="DG104" s="253"/>
      <c r="DH104" s="253"/>
      <c r="DI104" s="253"/>
      <c r="DJ104" s="253"/>
      <c r="DK104" s="253"/>
      <c r="DL104" s="253"/>
      <c r="DM104" s="253"/>
      <c r="DN104" s="253"/>
      <c r="DO104" s="253"/>
      <c r="DP104" s="253"/>
      <c r="DQ104" s="253"/>
      <c r="DR104" s="253"/>
      <c r="DS104" s="253"/>
      <c r="DT104" s="253"/>
      <c r="DU104" s="253"/>
      <c r="DV104" s="253"/>
      <c r="DW104" s="253"/>
      <c r="DX104" s="253"/>
      <c r="DY104" s="253"/>
      <c r="DZ104" s="253"/>
      <c r="EA104" s="253"/>
      <c r="EB104" s="253"/>
      <c r="EC104" s="253"/>
      <c r="ED104" s="253"/>
      <c r="EE104" s="253"/>
      <c r="EF104" s="253"/>
      <c r="EG104" s="253"/>
      <c r="EH104" s="253"/>
      <c r="EI104" s="253"/>
      <c r="EJ104" s="253"/>
      <c r="EK104" s="253"/>
      <c r="EL104" s="253"/>
      <c r="EM104" s="253"/>
      <c r="EN104" s="253"/>
      <c r="EO104" s="253"/>
      <c r="EP104" s="253"/>
      <c r="EQ104" s="253"/>
      <c r="ER104" s="253"/>
      <c r="ES104" s="253"/>
      <c r="ET104" s="253"/>
      <c r="EU104" s="253"/>
      <c r="EV104" s="253"/>
      <c r="EW104" s="253"/>
      <c r="EX104" s="253"/>
      <c r="EY104" s="253"/>
      <c r="EZ104" s="253"/>
      <c r="FA104" s="253"/>
      <c r="FB104" s="253"/>
      <c r="FC104" s="253"/>
      <c r="FD104" s="253"/>
      <c r="FE104" s="253"/>
      <c r="FF104" s="253"/>
      <c r="FG104" s="256"/>
      <c r="FH104" s="257" t="s">
        <v>892</v>
      </c>
      <c r="FI104" s="258" t="s">
        <v>389</v>
      </c>
      <c r="FJ104" s="258" t="s">
        <v>451</v>
      </c>
      <c r="FK104" s="258" t="s">
        <v>432</v>
      </c>
      <c r="FL104" s="259">
        <f t="shared" si="7"/>
        <v>0</v>
      </c>
      <c r="FM104" s="260" t="s">
        <v>433</v>
      </c>
      <c r="FN104" s="260"/>
    </row>
    <row r="105" spans="1:170">
      <c r="A105" s="251" t="s">
        <v>417</v>
      </c>
      <c r="B105" s="251" t="s">
        <v>385</v>
      </c>
      <c r="C105" s="251" t="s">
        <v>411</v>
      </c>
      <c r="D105" s="251" t="s">
        <v>1</v>
      </c>
      <c r="E105" s="252" t="s">
        <v>450</v>
      </c>
      <c r="F105" s="251" t="s">
        <v>388</v>
      </c>
      <c r="G105" s="251" t="s">
        <v>923</v>
      </c>
      <c r="H105" s="253"/>
      <c r="I105" s="253"/>
      <c r="J105" s="253"/>
      <c r="K105" s="253"/>
      <c r="L105" s="253"/>
      <c r="M105" s="253"/>
      <c r="N105" s="253"/>
      <c r="O105" s="253"/>
      <c r="P105" s="253"/>
      <c r="Q105" s="253"/>
      <c r="R105" s="253"/>
      <c r="S105" s="253"/>
      <c r="T105" s="253"/>
      <c r="U105" s="253"/>
      <c r="V105" s="253"/>
      <c r="W105" s="253"/>
      <c r="X105" s="253"/>
      <c r="Y105" s="253"/>
      <c r="Z105" s="253"/>
      <c r="AA105" s="253"/>
      <c r="AB105" s="253"/>
      <c r="AC105" s="253"/>
      <c r="AD105" s="253"/>
      <c r="AE105" s="253"/>
      <c r="AF105" s="253"/>
      <c r="AG105" s="253"/>
      <c r="AH105" s="253"/>
      <c r="AI105" s="253"/>
      <c r="AJ105" s="253"/>
      <c r="AK105" s="253"/>
      <c r="AL105" s="253"/>
      <c r="AM105" s="253"/>
      <c r="AN105" s="253"/>
      <c r="AO105" s="253"/>
      <c r="AP105" s="253"/>
      <c r="AQ105" s="253"/>
      <c r="AR105" s="253"/>
      <c r="AS105" s="253"/>
      <c r="AT105" s="253"/>
      <c r="AU105" s="253"/>
      <c r="AV105" s="253"/>
      <c r="AW105" s="255">
        <f>30-30</f>
        <v>0</v>
      </c>
      <c r="AX105" s="253"/>
      <c r="AY105" s="253"/>
      <c r="AZ105" s="253"/>
      <c r="BA105" s="253"/>
      <c r="BB105" s="253"/>
      <c r="BC105" s="253"/>
      <c r="BD105" s="253"/>
      <c r="BE105" s="253"/>
      <c r="BF105" s="253"/>
      <c r="BG105" s="253"/>
      <c r="BH105" s="253"/>
      <c r="BI105" s="253"/>
      <c r="BJ105" s="253"/>
      <c r="BK105" s="253"/>
      <c r="BL105" s="253"/>
      <c r="BM105" s="253"/>
      <c r="BN105" s="253"/>
      <c r="BO105" s="253"/>
      <c r="BP105" s="253"/>
      <c r="BQ105" s="253"/>
      <c r="BR105" s="253"/>
      <c r="BS105" s="253"/>
      <c r="BT105" s="253"/>
      <c r="BU105" s="253"/>
      <c r="BV105" s="253"/>
      <c r="BW105" s="253"/>
      <c r="BX105" s="253"/>
      <c r="BY105" s="253"/>
      <c r="BZ105" s="253"/>
      <c r="CA105" s="253"/>
      <c r="CB105" s="253"/>
      <c r="CC105" s="253"/>
      <c r="CD105" s="253"/>
      <c r="CE105" s="253"/>
      <c r="CF105" s="253"/>
      <c r="CG105" s="253"/>
      <c r="CH105" s="253"/>
      <c r="CI105" s="253"/>
      <c r="CJ105" s="253"/>
      <c r="CK105" s="253"/>
      <c r="CL105" s="253"/>
      <c r="CM105" s="253"/>
      <c r="CN105" s="253"/>
      <c r="CO105" s="253"/>
      <c r="CP105" s="253"/>
      <c r="CQ105" s="253"/>
      <c r="CR105" s="253"/>
      <c r="CS105" s="253"/>
      <c r="CT105" s="253"/>
      <c r="CU105" s="253"/>
      <c r="CV105" s="253"/>
      <c r="CW105" s="253"/>
      <c r="CX105" s="253"/>
      <c r="CY105" s="253"/>
      <c r="CZ105" s="253"/>
      <c r="DA105" s="253"/>
      <c r="DB105" s="253"/>
      <c r="DC105" s="253"/>
      <c r="DD105" s="253"/>
      <c r="DE105" s="253"/>
      <c r="DF105" s="253"/>
      <c r="DG105" s="253"/>
      <c r="DH105" s="253"/>
      <c r="DI105" s="253"/>
      <c r="DJ105" s="253"/>
      <c r="DK105" s="253"/>
      <c r="DL105" s="253"/>
      <c r="DM105" s="253"/>
      <c r="DN105" s="253"/>
      <c r="DO105" s="253"/>
      <c r="DP105" s="253"/>
      <c r="DQ105" s="253"/>
      <c r="DR105" s="253"/>
      <c r="DS105" s="253"/>
      <c r="DT105" s="253"/>
      <c r="DU105" s="253"/>
      <c r="DV105" s="253"/>
      <c r="DW105" s="253"/>
      <c r="DX105" s="253"/>
      <c r="DY105" s="253"/>
      <c r="DZ105" s="253"/>
      <c r="EA105" s="253"/>
      <c r="EB105" s="253"/>
      <c r="EC105" s="253"/>
      <c r="ED105" s="253"/>
      <c r="EE105" s="253"/>
      <c r="EF105" s="253"/>
      <c r="EG105" s="253"/>
      <c r="EH105" s="253"/>
      <c r="EI105" s="253"/>
      <c r="EJ105" s="253"/>
      <c r="EK105" s="253"/>
      <c r="EL105" s="253"/>
      <c r="EM105" s="253"/>
      <c r="EN105" s="253"/>
      <c r="EO105" s="253"/>
      <c r="EP105" s="253"/>
      <c r="EQ105" s="253"/>
      <c r="ER105" s="253"/>
      <c r="ES105" s="253"/>
      <c r="ET105" s="253"/>
      <c r="EU105" s="253"/>
      <c r="EV105" s="253"/>
      <c r="EW105" s="253"/>
      <c r="EX105" s="253"/>
      <c r="EY105" s="253"/>
      <c r="EZ105" s="253"/>
      <c r="FA105" s="253"/>
      <c r="FB105" s="253"/>
      <c r="FC105" s="253"/>
      <c r="FD105" s="253"/>
      <c r="FE105" s="253"/>
      <c r="FF105" s="253"/>
      <c r="FG105" s="256"/>
      <c r="FH105" s="257" t="s">
        <v>892</v>
      </c>
      <c r="FI105" s="258" t="s">
        <v>389</v>
      </c>
      <c r="FJ105" s="258" t="s">
        <v>451</v>
      </c>
      <c r="FK105" s="258" t="s">
        <v>432</v>
      </c>
      <c r="FL105" s="259">
        <f t="shared" si="7"/>
        <v>0</v>
      </c>
      <c r="FM105" s="260" t="s">
        <v>433</v>
      </c>
      <c r="FN105" s="260"/>
    </row>
    <row r="106" spans="1:170">
      <c r="A106" s="251" t="s">
        <v>385</v>
      </c>
      <c r="B106" s="251" t="s">
        <v>385</v>
      </c>
      <c r="C106" s="251" t="s">
        <v>411</v>
      </c>
      <c r="D106" s="251" t="s">
        <v>777</v>
      </c>
      <c r="E106" s="252" t="s">
        <v>203</v>
      </c>
      <c r="F106" s="251" t="s">
        <v>388</v>
      </c>
      <c r="G106" s="251" t="s">
        <v>924</v>
      </c>
      <c r="H106" s="253"/>
      <c r="I106" s="253"/>
      <c r="J106" s="253"/>
      <c r="K106" s="253"/>
      <c r="L106" s="253"/>
      <c r="M106" s="253"/>
      <c r="N106" s="253"/>
      <c r="O106" s="253"/>
      <c r="P106" s="253"/>
      <c r="Q106" s="253"/>
      <c r="R106" s="253"/>
      <c r="S106" s="253"/>
      <c r="T106" s="253"/>
      <c r="U106" s="253"/>
      <c r="V106" s="253"/>
      <c r="W106" s="253"/>
      <c r="X106" s="253"/>
      <c r="Y106" s="253"/>
      <c r="Z106" s="253"/>
      <c r="AA106" s="253"/>
      <c r="AB106" s="253"/>
      <c r="AC106" s="253"/>
      <c r="AD106" s="253"/>
      <c r="AE106" s="253"/>
      <c r="AF106" s="253"/>
      <c r="AG106" s="253"/>
      <c r="AH106" s="253"/>
      <c r="AI106" s="253"/>
      <c r="AJ106" s="253"/>
      <c r="AK106" s="253"/>
      <c r="AL106" s="253"/>
      <c r="AM106" s="253"/>
      <c r="AN106" s="253"/>
      <c r="AO106" s="253"/>
      <c r="AP106" s="253"/>
      <c r="AQ106" s="253"/>
      <c r="AR106" s="253"/>
      <c r="AS106" s="253"/>
      <c r="AT106" s="253"/>
      <c r="AU106" s="253"/>
      <c r="AV106" s="253"/>
      <c r="AW106" s="255"/>
      <c r="AX106" s="253"/>
      <c r="AY106" s="253"/>
      <c r="AZ106" s="253"/>
      <c r="BA106" s="253"/>
      <c r="BB106" s="253"/>
      <c r="BC106" s="253"/>
      <c r="BD106" s="253"/>
      <c r="BE106" s="253"/>
      <c r="BF106" s="253"/>
      <c r="BG106" s="253"/>
      <c r="BH106" s="253"/>
      <c r="BI106" s="253"/>
      <c r="BJ106" s="253"/>
      <c r="BK106" s="253"/>
      <c r="BL106" s="253"/>
      <c r="BM106" s="253"/>
      <c r="BN106" s="253"/>
      <c r="BO106" s="253"/>
      <c r="BP106" s="253"/>
      <c r="BQ106" s="253"/>
      <c r="BR106" s="253"/>
      <c r="BS106" s="253"/>
      <c r="BT106" s="253"/>
      <c r="BU106" s="253"/>
      <c r="BV106" s="253"/>
      <c r="BW106" s="253"/>
      <c r="BX106" s="253"/>
      <c r="BY106" s="253"/>
      <c r="BZ106" s="253"/>
      <c r="CA106" s="253"/>
      <c r="CB106" s="253"/>
      <c r="CC106" s="253"/>
      <c r="CD106" s="253"/>
      <c r="CE106" s="253"/>
      <c r="CF106" s="253"/>
      <c r="CG106" s="253"/>
      <c r="CH106" s="253"/>
      <c r="CI106" s="253"/>
      <c r="CJ106" s="253"/>
      <c r="CK106" s="253"/>
      <c r="CL106" s="253"/>
      <c r="CM106" s="253"/>
      <c r="CN106" s="253"/>
      <c r="CO106" s="253"/>
      <c r="CP106" s="253"/>
      <c r="CQ106" s="253"/>
      <c r="CR106" s="253"/>
      <c r="CS106" s="253"/>
      <c r="CT106" s="253"/>
      <c r="CU106" s="253"/>
      <c r="CV106" s="253"/>
      <c r="CW106" s="253"/>
      <c r="CX106" s="253"/>
      <c r="CY106" s="253"/>
      <c r="CZ106" s="253"/>
      <c r="DA106" s="253"/>
      <c r="DB106" s="253"/>
      <c r="DC106" s="253"/>
      <c r="DD106" s="253"/>
      <c r="DE106" s="253"/>
      <c r="DF106" s="253"/>
      <c r="DG106" s="253"/>
      <c r="DH106" s="253"/>
      <c r="DI106" s="253"/>
      <c r="DJ106" s="253"/>
      <c r="DK106" s="253"/>
      <c r="DL106" s="253"/>
      <c r="DM106" s="253"/>
      <c r="DN106" s="253"/>
      <c r="DO106" s="253"/>
      <c r="DP106" s="253"/>
      <c r="DQ106" s="253"/>
      <c r="DR106" s="253"/>
      <c r="DS106" s="253"/>
      <c r="DT106" s="253"/>
      <c r="DU106" s="253"/>
      <c r="DV106" s="253"/>
      <c r="DW106" s="253"/>
      <c r="DX106" s="253"/>
      <c r="DY106" s="253"/>
      <c r="DZ106" s="253"/>
      <c r="EA106" s="253"/>
      <c r="EB106" s="253"/>
      <c r="EC106" s="253"/>
      <c r="ED106" s="253"/>
      <c r="EE106" s="253"/>
      <c r="EF106" s="253"/>
      <c r="EG106" s="253"/>
      <c r="EH106" s="253"/>
      <c r="EI106" s="253"/>
      <c r="EJ106" s="253"/>
      <c r="EK106" s="253"/>
      <c r="EL106" s="253"/>
      <c r="EM106" s="253"/>
      <c r="EN106" s="253"/>
      <c r="EO106" s="253"/>
      <c r="EP106" s="253"/>
      <c r="EQ106" s="253"/>
      <c r="ER106" s="253"/>
      <c r="ES106" s="253"/>
      <c r="ET106" s="253"/>
      <c r="EU106" s="253"/>
      <c r="EV106" s="253"/>
      <c r="EW106" s="253"/>
      <c r="EX106" s="253"/>
      <c r="EY106" s="253"/>
      <c r="EZ106" s="253"/>
      <c r="FA106" s="253"/>
      <c r="FB106" s="253"/>
      <c r="FC106" s="253"/>
      <c r="FD106" s="253"/>
      <c r="FE106" s="253"/>
      <c r="FF106" s="253"/>
      <c r="FG106" s="256" t="s">
        <v>925</v>
      </c>
      <c r="FH106" s="257" t="s">
        <v>892</v>
      </c>
      <c r="FI106" s="258" t="s">
        <v>389</v>
      </c>
      <c r="FJ106" s="258" t="s">
        <v>926</v>
      </c>
      <c r="FK106" s="258"/>
      <c r="FL106" s="259">
        <f t="shared" si="7"/>
        <v>0</v>
      </c>
      <c r="FM106" s="260" t="s">
        <v>433</v>
      </c>
      <c r="FN106" s="260"/>
    </row>
    <row r="107" spans="1:170">
      <c r="A107" s="251" t="s">
        <v>385</v>
      </c>
      <c r="B107" s="251" t="s">
        <v>385</v>
      </c>
      <c r="C107" s="251" t="s">
        <v>411</v>
      </c>
      <c r="D107" s="251" t="s">
        <v>1</v>
      </c>
      <c r="E107" s="252" t="s">
        <v>203</v>
      </c>
      <c r="F107" s="251" t="s">
        <v>388</v>
      </c>
      <c r="G107" s="251" t="s">
        <v>927</v>
      </c>
      <c r="H107" s="253"/>
      <c r="I107" s="253"/>
      <c r="J107" s="253"/>
      <c r="K107" s="253"/>
      <c r="L107" s="253"/>
      <c r="M107" s="253"/>
      <c r="N107" s="253"/>
      <c r="O107" s="253"/>
      <c r="P107" s="253"/>
      <c r="Q107" s="253"/>
      <c r="R107" s="253"/>
      <c r="S107" s="253"/>
      <c r="T107" s="253"/>
      <c r="U107" s="253"/>
      <c r="V107" s="253"/>
      <c r="W107" s="253"/>
      <c r="X107" s="253"/>
      <c r="Y107" s="253"/>
      <c r="Z107" s="253"/>
      <c r="AA107" s="253"/>
      <c r="AB107" s="253"/>
      <c r="AC107" s="253"/>
      <c r="AD107" s="253"/>
      <c r="AE107" s="253"/>
      <c r="AF107" s="253"/>
      <c r="AG107" s="253"/>
      <c r="AH107" s="253"/>
      <c r="AI107" s="253"/>
      <c r="AJ107" s="253"/>
      <c r="AK107" s="253"/>
      <c r="AL107" s="253"/>
      <c r="AM107" s="253"/>
      <c r="AN107" s="253"/>
      <c r="AO107" s="253"/>
      <c r="AP107" s="253"/>
      <c r="AQ107" s="253"/>
      <c r="AR107" s="253"/>
      <c r="AS107" s="253"/>
      <c r="AT107" s="253"/>
      <c r="AU107" s="253"/>
      <c r="AV107" s="253"/>
      <c r="AW107" s="255"/>
      <c r="AX107" s="253"/>
      <c r="AY107" s="253"/>
      <c r="AZ107" s="253"/>
      <c r="BA107" s="253"/>
      <c r="BB107" s="253"/>
      <c r="BC107" s="253"/>
      <c r="BD107" s="253"/>
      <c r="BE107" s="253"/>
      <c r="BF107" s="253"/>
      <c r="BG107" s="253"/>
      <c r="BH107" s="253"/>
      <c r="BI107" s="253"/>
      <c r="BJ107" s="253"/>
      <c r="BK107" s="253"/>
      <c r="BL107" s="253"/>
      <c r="BM107" s="253"/>
      <c r="BN107" s="253"/>
      <c r="BO107" s="253"/>
      <c r="BP107" s="253"/>
      <c r="BQ107" s="253"/>
      <c r="BR107" s="253"/>
      <c r="BS107" s="253"/>
      <c r="BT107" s="253"/>
      <c r="BU107" s="253"/>
      <c r="BV107" s="253"/>
      <c r="BW107" s="253"/>
      <c r="BX107" s="253"/>
      <c r="BY107" s="253"/>
      <c r="BZ107" s="253"/>
      <c r="CA107" s="253"/>
      <c r="CB107" s="253"/>
      <c r="CC107" s="253"/>
      <c r="CD107" s="253"/>
      <c r="CE107" s="253"/>
      <c r="CF107" s="253"/>
      <c r="CG107" s="253"/>
      <c r="CH107" s="253"/>
      <c r="CI107" s="253"/>
      <c r="CJ107" s="253"/>
      <c r="CK107" s="253"/>
      <c r="CL107" s="253"/>
      <c r="CM107" s="253"/>
      <c r="CN107" s="253"/>
      <c r="CO107" s="253"/>
      <c r="CP107" s="253"/>
      <c r="CQ107" s="253"/>
      <c r="CR107" s="253"/>
      <c r="CS107" s="253"/>
      <c r="CT107" s="253"/>
      <c r="CU107" s="253"/>
      <c r="CV107" s="253"/>
      <c r="CW107" s="253"/>
      <c r="CX107" s="253"/>
      <c r="CY107" s="253"/>
      <c r="CZ107" s="253"/>
      <c r="DA107" s="253"/>
      <c r="DB107" s="253"/>
      <c r="DC107" s="253"/>
      <c r="DD107" s="253"/>
      <c r="DE107" s="253"/>
      <c r="DF107" s="253"/>
      <c r="DG107" s="253"/>
      <c r="DH107" s="253"/>
      <c r="DI107" s="253"/>
      <c r="DJ107" s="253"/>
      <c r="DK107" s="253"/>
      <c r="DL107" s="253"/>
      <c r="DM107" s="253"/>
      <c r="DN107" s="253"/>
      <c r="DO107" s="253"/>
      <c r="DP107" s="253"/>
      <c r="DQ107" s="253"/>
      <c r="DR107" s="253"/>
      <c r="DS107" s="253"/>
      <c r="DT107" s="253"/>
      <c r="DU107" s="253"/>
      <c r="DV107" s="253"/>
      <c r="DW107" s="253"/>
      <c r="DX107" s="253"/>
      <c r="DY107" s="253"/>
      <c r="DZ107" s="253"/>
      <c r="EA107" s="253"/>
      <c r="EB107" s="253"/>
      <c r="EC107" s="253"/>
      <c r="ED107" s="253"/>
      <c r="EE107" s="253"/>
      <c r="EF107" s="253"/>
      <c r="EG107" s="253"/>
      <c r="EH107" s="253"/>
      <c r="EI107" s="253"/>
      <c r="EJ107" s="253"/>
      <c r="EK107" s="253"/>
      <c r="EL107" s="253"/>
      <c r="EM107" s="253"/>
      <c r="EN107" s="253"/>
      <c r="EO107" s="253"/>
      <c r="EP107" s="253"/>
      <c r="EQ107" s="253"/>
      <c r="ER107" s="253"/>
      <c r="ES107" s="253"/>
      <c r="ET107" s="253"/>
      <c r="EU107" s="253"/>
      <c r="EV107" s="253"/>
      <c r="EW107" s="253"/>
      <c r="EX107" s="253"/>
      <c r="EY107" s="253"/>
      <c r="EZ107" s="253"/>
      <c r="FA107" s="253"/>
      <c r="FB107" s="253"/>
      <c r="FC107" s="253"/>
      <c r="FD107" s="253"/>
      <c r="FE107" s="253"/>
      <c r="FF107" s="253"/>
      <c r="FG107" s="256" t="s">
        <v>925</v>
      </c>
      <c r="FH107" s="257" t="s">
        <v>892</v>
      </c>
      <c r="FI107" s="258" t="s">
        <v>389</v>
      </c>
      <c r="FJ107" s="258" t="s">
        <v>926</v>
      </c>
      <c r="FK107" s="258"/>
      <c r="FL107" s="259">
        <f t="shared" si="7"/>
        <v>0</v>
      </c>
      <c r="FM107" s="260" t="s">
        <v>433</v>
      </c>
      <c r="FN107" s="260"/>
    </row>
    <row r="108" spans="1:170">
      <c r="A108" s="251" t="s">
        <v>385</v>
      </c>
      <c r="B108" s="251" t="s">
        <v>385</v>
      </c>
      <c r="C108" s="251" t="s">
        <v>411</v>
      </c>
      <c r="D108" s="251" t="s">
        <v>777</v>
      </c>
      <c r="E108" s="252" t="s">
        <v>928</v>
      </c>
      <c r="F108" s="251" t="s">
        <v>388</v>
      </c>
      <c r="G108" s="251" t="s">
        <v>929</v>
      </c>
      <c r="H108" s="253"/>
      <c r="I108" s="253"/>
      <c r="J108" s="253"/>
      <c r="K108" s="253"/>
      <c r="L108" s="253"/>
      <c r="M108" s="253"/>
      <c r="N108" s="253"/>
      <c r="O108" s="253"/>
      <c r="P108" s="253"/>
      <c r="Q108" s="253"/>
      <c r="R108" s="253"/>
      <c r="S108" s="253"/>
      <c r="T108" s="253"/>
      <c r="U108" s="253"/>
      <c r="V108" s="253"/>
      <c r="W108" s="253"/>
      <c r="X108" s="253"/>
      <c r="Y108" s="253"/>
      <c r="Z108" s="253"/>
      <c r="AA108" s="253"/>
      <c r="AB108" s="253"/>
      <c r="AC108" s="253"/>
      <c r="AD108" s="253"/>
      <c r="AE108" s="253"/>
      <c r="AF108" s="253"/>
      <c r="AG108" s="253"/>
      <c r="AH108" s="253"/>
      <c r="AI108" s="253"/>
      <c r="AJ108" s="253"/>
      <c r="AK108" s="253"/>
      <c r="AL108" s="253"/>
      <c r="AM108" s="253"/>
      <c r="AN108" s="253"/>
      <c r="AO108" s="253"/>
      <c r="AP108" s="253"/>
      <c r="AQ108" s="253"/>
      <c r="AR108" s="253"/>
      <c r="AS108" s="253"/>
      <c r="AT108" s="253"/>
      <c r="AU108" s="253"/>
      <c r="AV108" s="253"/>
      <c r="AW108" s="255"/>
      <c r="AX108" s="253"/>
      <c r="AY108" s="253"/>
      <c r="AZ108" s="253"/>
      <c r="BA108" s="253"/>
      <c r="BB108" s="253"/>
      <c r="BC108" s="253"/>
      <c r="BD108" s="253"/>
      <c r="BE108" s="253"/>
      <c r="BF108" s="253"/>
      <c r="BG108" s="253"/>
      <c r="BH108" s="253"/>
      <c r="BI108" s="253"/>
      <c r="BJ108" s="253"/>
      <c r="BK108" s="253"/>
      <c r="BL108" s="253"/>
      <c r="BM108" s="253"/>
      <c r="BN108" s="253"/>
      <c r="BO108" s="253"/>
      <c r="BP108" s="253"/>
      <c r="BQ108" s="253"/>
      <c r="BR108" s="253"/>
      <c r="BS108" s="253"/>
      <c r="BT108" s="253"/>
      <c r="BU108" s="253"/>
      <c r="BV108" s="253"/>
      <c r="BW108" s="253"/>
      <c r="BX108" s="253"/>
      <c r="BY108" s="253"/>
      <c r="BZ108" s="253"/>
      <c r="CA108" s="253"/>
      <c r="CB108" s="253"/>
      <c r="CC108" s="253"/>
      <c r="CD108" s="253"/>
      <c r="CE108" s="253"/>
      <c r="CF108" s="253"/>
      <c r="CG108" s="253"/>
      <c r="CH108" s="253"/>
      <c r="CI108" s="253"/>
      <c r="CJ108" s="253"/>
      <c r="CK108" s="253"/>
      <c r="CL108" s="253"/>
      <c r="CM108" s="253"/>
      <c r="CN108" s="253"/>
      <c r="CO108" s="253"/>
      <c r="CP108" s="253"/>
      <c r="CQ108" s="253"/>
      <c r="CR108" s="253"/>
      <c r="CS108" s="253"/>
      <c r="CT108" s="253"/>
      <c r="CU108" s="253"/>
      <c r="CV108" s="253"/>
      <c r="CW108" s="253"/>
      <c r="CX108" s="253"/>
      <c r="CY108" s="253"/>
      <c r="CZ108" s="253"/>
      <c r="DA108" s="253"/>
      <c r="DB108" s="253"/>
      <c r="DC108" s="253"/>
      <c r="DD108" s="253"/>
      <c r="DE108" s="253"/>
      <c r="DF108" s="253"/>
      <c r="DG108" s="253"/>
      <c r="DH108" s="253"/>
      <c r="DI108" s="253"/>
      <c r="DJ108" s="253"/>
      <c r="DK108" s="253"/>
      <c r="DL108" s="253"/>
      <c r="DM108" s="253"/>
      <c r="DN108" s="253"/>
      <c r="DO108" s="253"/>
      <c r="DP108" s="253"/>
      <c r="DQ108" s="253"/>
      <c r="DR108" s="253"/>
      <c r="DS108" s="253"/>
      <c r="DT108" s="253"/>
      <c r="DU108" s="253"/>
      <c r="DV108" s="253"/>
      <c r="DW108" s="253"/>
      <c r="DX108" s="253"/>
      <c r="DY108" s="253"/>
      <c r="DZ108" s="253"/>
      <c r="EA108" s="253"/>
      <c r="EB108" s="253"/>
      <c r="EC108" s="253"/>
      <c r="ED108" s="253"/>
      <c r="EE108" s="253"/>
      <c r="EF108" s="253"/>
      <c r="EG108" s="253"/>
      <c r="EH108" s="253"/>
      <c r="EI108" s="253"/>
      <c r="EJ108" s="253"/>
      <c r="EK108" s="253"/>
      <c r="EL108" s="253"/>
      <c r="EM108" s="253"/>
      <c r="EN108" s="253"/>
      <c r="EO108" s="253"/>
      <c r="EP108" s="253"/>
      <c r="EQ108" s="253"/>
      <c r="ER108" s="253"/>
      <c r="ES108" s="253"/>
      <c r="ET108" s="253"/>
      <c r="EU108" s="253"/>
      <c r="EV108" s="253"/>
      <c r="EW108" s="253"/>
      <c r="EX108" s="253"/>
      <c r="EY108" s="253"/>
      <c r="EZ108" s="253"/>
      <c r="FA108" s="253"/>
      <c r="FB108" s="253"/>
      <c r="FC108" s="253"/>
      <c r="FD108" s="253"/>
      <c r="FE108" s="253"/>
      <c r="FF108" s="253"/>
      <c r="FG108" s="256" t="s">
        <v>925</v>
      </c>
      <c r="FH108" s="257" t="s">
        <v>892</v>
      </c>
      <c r="FI108" s="258" t="s">
        <v>389</v>
      </c>
      <c r="FJ108" s="258" t="s">
        <v>930</v>
      </c>
      <c r="FK108" s="258"/>
      <c r="FL108" s="259">
        <f t="shared" si="7"/>
        <v>0</v>
      </c>
      <c r="FM108" s="260" t="s">
        <v>433</v>
      </c>
      <c r="FN108" s="260"/>
    </row>
    <row r="109" spans="1:170">
      <c r="A109" s="251" t="s">
        <v>385</v>
      </c>
      <c r="B109" s="251" t="s">
        <v>385</v>
      </c>
      <c r="C109" s="251" t="s">
        <v>411</v>
      </c>
      <c r="D109" s="251" t="s">
        <v>1</v>
      </c>
      <c r="E109" s="252" t="s">
        <v>931</v>
      </c>
      <c r="F109" s="251" t="s">
        <v>388</v>
      </c>
      <c r="G109" s="251" t="s">
        <v>932</v>
      </c>
      <c r="H109" s="253"/>
      <c r="I109" s="253"/>
      <c r="J109" s="253"/>
      <c r="K109" s="253"/>
      <c r="L109" s="253"/>
      <c r="M109" s="253"/>
      <c r="N109" s="253"/>
      <c r="O109" s="253"/>
      <c r="P109" s="253"/>
      <c r="Q109" s="253"/>
      <c r="R109" s="253"/>
      <c r="S109" s="253"/>
      <c r="T109" s="253"/>
      <c r="U109" s="253"/>
      <c r="V109" s="253"/>
      <c r="W109" s="253"/>
      <c r="X109" s="253"/>
      <c r="Y109" s="253"/>
      <c r="Z109" s="253"/>
      <c r="AA109" s="253"/>
      <c r="AB109" s="253"/>
      <c r="AC109" s="253"/>
      <c r="AD109" s="253"/>
      <c r="AE109" s="253"/>
      <c r="AF109" s="253"/>
      <c r="AG109" s="253"/>
      <c r="AH109" s="253"/>
      <c r="AI109" s="253"/>
      <c r="AJ109" s="253"/>
      <c r="AK109" s="253"/>
      <c r="AL109" s="253"/>
      <c r="AM109" s="253"/>
      <c r="AN109" s="253"/>
      <c r="AO109" s="253"/>
      <c r="AP109" s="253"/>
      <c r="AQ109" s="253"/>
      <c r="AR109" s="253"/>
      <c r="AS109" s="253"/>
      <c r="AT109" s="253"/>
      <c r="AU109" s="253"/>
      <c r="AV109" s="253"/>
      <c r="AW109" s="255"/>
      <c r="AX109" s="253"/>
      <c r="AY109" s="253"/>
      <c r="AZ109" s="253"/>
      <c r="BA109" s="253"/>
      <c r="BB109" s="253"/>
      <c r="BC109" s="253"/>
      <c r="BD109" s="253"/>
      <c r="BE109" s="253"/>
      <c r="BF109" s="253"/>
      <c r="BG109" s="253"/>
      <c r="BH109" s="253"/>
      <c r="BI109" s="253"/>
      <c r="BJ109" s="253"/>
      <c r="BK109" s="253"/>
      <c r="BL109" s="253"/>
      <c r="BM109" s="253"/>
      <c r="BN109" s="253"/>
      <c r="BO109" s="253"/>
      <c r="BP109" s="253"/>
      <c r="BQ109" s="253"/>
      <c r="BR109" s="253"/>
      <c r="BS109" s="253"/>
      <c r="BT109" s="253"/>
      <c r="BU109" s="253"/>
      <c r="BV109" s="253"/>
      <c r="BW109" s="253"/>
      <c r="BX109" s="253"/>
      <c r="BY109" s="253"/>
      <c r="BZ109" s="253"/>
      <c r="CA109" s="253"/>
      <c r="CB109" s="253"/>
      <c r="CC109" s="253"/>
      <c r="CD109" s="253"/>
      <c r="CE109" s="253"/>
      <c r="CF109" s="253"/>
      <c r="CG109" s="253"/>
      <c r="CH109" s="253"/>
      <c r="CI109" s="253"/>
      <c r="CJ109" s="253"/>
      <c r="CK109" s="253"/>
      <c r="CL109" s="253"/>
      <c r="CM109" s="253"/>
      <c r="CN109" s="253"/>
      <c r="CO109" s="253"/>
      <c r="CP109" s="253"/>
      <c r="CQ109" s="253"/>
      <c r="CR109" s="253"/>
      <c r="CS109" s="253"/>
      <c r="CT109" s="253"/>
      <c r="CU109" s="253"/>
      <c r="CV109" s="253"/>
      <c r="CW109" s="253"/>
      <c r="CX109" s="253"/>
      <c r="CY109" s="253"/>
      <c r="CZ109" s="253"/>
      <c r="DA109" s="253"/>
      <c r="DB109" s="253"/>
      <c r="DC109" s="253"/>
      <c r="DD109" s="253"/>
      <c r="DE109" s="253"/>
      <c r="DF109" s="253"/>
      <c r="DG109" s="253"/>
      <c r="DH109" s="253"/>
      <c r="DI109" s="253"/>
      <c r="DJ109" s="253"/>
      <c r="DK109" s="253"/>
      <c r="DL109" s="253"/>
      <c r="DM109" s="253"/>
      <c r="DN109" s="253"/>
      <c r="DO109" s="253"/>
      <c r="DP109" s="253"/>
      <c r="DQ109" s="253"/>
      <c r="DR109" s="253"/>
      <c r="DS109" s="253"/>
      <c r="DT109" s="253"/>
      <c r="DU109" s="253"/>
      <c r="DV109" s="253"/>
      <c r="DW109" s="253"/>
      <c r="DX109" s="253"/>
      <c r="DY109" s="253"/>
      <c r="DZ109" s="253"/>
      <c r="EA109" s="253"/>
      <c r="EB109" s="253"/>
      <c r="EC109" s="253"/>
      <c r="ED109" s="253"/>
      <c r="EE109" s="253"/>
      <c r="EF109" s="253"/>
      <c r="EG109" s="253"/>
      <c r="EH109" s="253"/>
      <c r="EI109" s="253"/>
      <c r="EJ109" s="253"/>
      <c r="EK109" s="253"/>
      <c r="EL109" s="253"/>
      <c r="EM109" s="253"/>
      <c r="EN109" s="253"/>
      <c r="EO109" s="253"/>
      <c r="EP109" s="253"/>
      <c r="EQ109" s="253"/>
      <c r="ER109" s="253"/>
      <c r="ES109" s="253"/>
      <c r="ET109" s="253"/>
      <c r="EU109" s="253"/>
      <c r="EV109" s="253"/>
      <c r="EW109" s="253"/>
      <c r="EX109" s="253"/>
      <c r="EY109" s="253"/>
      <c r="EZ109" s="253"/>
      <c r="FA109" s="253"/>
      <c r="FB109" s="253"/>
      <c r="FC109" s="253"/>
      <c r="FD109" s="253"/>
      <c r="FE109" s="253"/>
      <c r="FF109" s="253"/>
      <c r="FG109" s="256" t="s">
        <v>925</v>
      </c>
      <c r="FH109" s="257" t="s">
        <v>892</v>
      </c>
      <c r="FI109" s="258" t="s">
        <v>389</v>
      </c>
      <c r="FJ109" s="258" t="s">
        <v>930</v>
      </c>
      <c r="FK109" s="258"/>
      <c r="FL109" s="259">
        <f t="shared" si="7"/>
        <v>0</v>
      </c>
      <c r="FM109" s="260" t="s">
        <v>433</v>
      </c>
      <c r="FN109" s="260"/>
    </row>
    <row r="111" spans="1:170" s="289" customFormat="1" ht="15" customHeight="1">
      <c r="A111" s="283"/>
      <c r="B111" s="283"/>
      <c r="C111" s="283"/>
      <c r="D111" s="283" t="s">
        <v>291</v>
      </c>
      <c r="E111" s="284" t="s">
        <v>933</v>
      </c>
      <c r="F111" s="283"/>
      <c r="G111" s="283"/>
      <c r="H111" s="282"/>
      <c r="I111" s="282"/>
      <c r="J111" s="282"/>
      <c r="K111" s="282"/>
      <c r="L111" s="282"/>
      <c r="M111" s="282"/>
      <c r="N111" s="282"/>
      <c r="O111" s="282"/>
      <c r="P111" s="282"/>
      <c r="Q111" s="282"/>
      <c r="R111" s="282"/>
      <c r="S111" s="282"/>
      <c r="T111" s="282"/>
      <c r="U111" s="282"/>
      <c r="V111" s="282"/>
      <c r="W111" s="282"/>
      <c r="X111" s="282"/>
      <c r="Y111" s="282"/>
      <c r="Z111" s="282"/>
      <c r="AA111" s="282"/>
      <c r="AB111" s="282"/>
      <c r="AC111" s="282"/>
      <c r="AD111" s="282"/>
      <c r="AE111" s="282"/>
      <c r="AF111" s="282"/>
      <c r="AG111" s="282"/>
      <c r="AH111" s="282"/>
      <c r="AI111" s="282"/>
      <c r="AJ111" s="282"/>
      <c r="AK111" s="282"/>
      <c r="AL111" s="282"/>
      <c r="AM111" s="282"/>
      <c r="AN111" s="282"/>
      <c r="AO111" s="282"/>
      <c r="AP111" s="282"/>
      <c r="AQ111" s="282"/>
      <c r="AR111" s="282"/>
      <c r="AS111" s="282"/>
      <c r="AT111" s="282"/>
      <c r="AU111" s="282"/>
      <c r="AV111" s="282"/>
      <c r="AW111" s="282"/>
      <c r="AX111" s="282"/>
      <c r="AY111" s="282"/>
      <c r="AZ111" s="282"/>
      <c r="BA111" s="282"/>
      <c r="BB111" s="282"/>
      <c r="BC111" s="282"/>
      <c r="BD111" s="282"/>
      <c r="BE111" s="282"/>
      <c r="BF111" s="282"/>
      <c r="BG111" s="282"/>
      <c r="BH111" s="282"/>
      <c r="BI111" s="282"/>
      <c r="BJ111" s="282"/>
      <c r="BK111" s="282"/>
      <c r="BL111" s="282"/>
      <c r="BM111" s="282"/>
      <c r="BN111" s="282"/>
      <c r="BO111" s="282"/>
      <c r="BP111" s="282"/>
      <c r="BQ111" s="282"/>
      <c r="BR111" s="282"/>
      <c r="BS111" s="282"/>
      <c r="BT111" s="282"/>
      <c r="BU111" s="282"/>
      <c r="BV111" s="282"/>
      <c r="BW111" s="282"/>
      <c r="BX111" s="282"/>
      <c r="BY111" s="282"/>
      <c r="BZ111" s="282"/>
      <c r="CA111" s="282"/>
      <c r="CB111" s="282"/>
      <c r="CC111" s="282"/>
      <c r="CD111" s="282"/>
      <c r="CE111" s="282"/>
      <c r="CF111" s="282"/>
      <c r="CG111" s="282"/>
      <c r="CH111" s="282"/>
      <c r="CI111" s="282"/>
      <c r="CJ111" s="282"/>
      <c r="CK111" s="282"/>
      <c r="CL111" s="282"/>
      <c r="CM111" s="282"/>
      <c r="CN111" s="282"/>
      <c r="CO111" s="282"/>
      <c r="CP111" s="282"/>
      <c r="CQ111" s="282"/>
      <c r="CR111" s="282"/>
      <c r="CS111" s="282"/>
      <c r="CT111" s="282"/>
      <c r="CU111" s="282"/>
      <c r="CV111" s="282"/>
      <c r="CW111" s="282"/>
      <c r="CX111" s="282"/>
      <c r="CY111" s="282"/>
      <c r="CZ111" s="282"/>
      <c r="DA111" s="282"/>
      <c r="DB111" s="282"/>
      <c r="DC111" s="282"/>
      <c r="DD111" s="282"/>
      <c r="DE111" s="282"/>
      <c r="DF111" s="282"/>
      <c r="DG111" s="282"/>
      <c r="DH111" s="282"/>
      <c r="DI111" s="282"/>
      <c r="DJ111" s="282"/>
      <c r="DK111" s="282"/>
      <c r="DL111" s="282"/>
      <c r="DM111" s="282"/>
      <c r="DN111" s="282"/>
      <c r="DO111" s="282"/>
      <c r="DP111" s="282"/>
      <c r="DQ111" s="282"/>
      <c r="DR111" s="282"/>
      <c r="DS111" s="282"/>
      <c r="DT111" s="282"/>
      <c r="DU111" s="282"/>
      <c r="DV111" s="282"/>
      <c r="DW111" s="282"/>
      <c r="DX111" s="282"/>
      <c r="DY111" s="282"/>
      <c r="DZ111" s="282"/>
      <c r="EA111" s="282"/>
      <c r="EB111" s="282"/>
      <c r="EC111" s="282"/>
      <c r="ED111" s="282"/>
      <c r="EE111" s="282"/>
      <c r="EF111" s="282"/>
      <c r="EG111" s="282"/>
      <c r="EH111" s="282"/>
      <c r="EI111" s="282"/>
      <c r="EJ111" s="282"/>
      <c r="EK111" s="282"/>
      <c r="EL111" s="282"/>
      <c r="EM111" s="282"/>
      <c r="EN111" s="282"/>
      <c r="EO111" s="282"/>
      <c r="EP111" s="282"/>
      <c r="EQ111" s="282"/>
      <c r="ER111" s="282"/>
      <c r="ES111" s="282"/>
      <c r="ET111" s="282"/>
      <c r="EU111" s="282"/>
      <c r="EV111" s="282"/>
      <c r="EW111" s="282"/>
      <c r="EX111" s="282"/>
      <c r="EY111" s="282"/>
      <c r="EZ111" s="282"/>
      <c r="FA111" s="282"/>
      <c r="FB111" s="282"/>
      <c r="FC111" s="282"/>
      <c r="FD111" s="282"/>
      <c r="FE111" s="282"/>
      <c r="FF111" s="282"/>
      <c r="FG111" s="285"/>
      <c r="FH111" s="286"/>
      <c r="FI111" s="287"/>
      <c r="FJ111" s="287"/>
      <c r="FK111" s="287"/>
      <c r="FL111" s="280"/>
      <c r="FM111" s="288"/>
    </row>
    <row r="112" spans="1:170" s="289" customFormat="1" ht="15" customHeight="1">
      <c r="A112" s="283"/>
      <c r="B112" s="283"/>
      <c r="C112" s="283"/>
      <c r="D112" s="283" t="s">
        <v>1</v>
      </c>
      <c r="E112" s="284" t="s">
        <v>933</v>
      </c>
      <c r="F112" s="283"/>
      <c r="G112" s="283"/>
      <c r="H112" s="282"/>
      <c r="I112" s="282"/>
      <c r="J112" s="282"/>
      <c r="K112" s="282"/>
      <c r="L112" s="282"/>
      <c r="M112" s="282"/>
      <c r="N112" s="282"/>
      <c r="O112" s="282"/>
      <c r="P112" s="282"/>
      <c r="Q112" s="282"/>
      <c r="R112" s="282"/>
      <c r="S112" s="282"/>
      <c r="T112" s="282"/>
      <c r="U112" s="282"/>
      <c r="V112" s="282"/>
      <c r="W112" s="282"/>
      <c r="X112" s="282"/>
      <c r="Y112" s="282"/>
      <c r="Z112" s="282"/>
      <c r="AA112" s="282"/>
      <c r="AB112" s="282"/>
      <c r="AC112" s="282"/>
      <c r="AD112" s="282"/>
      <c r="AE112" s="282"/>
      <c r="AF112" s="282"/>
      <c r="AG112" s="282"/>
      <c r="AH112" s="282"/>
      <c r="AI112" s="282"/>
      <c r="AJ112" s="282"/>
      <c r="AK112" s="282"/>
      <c r="AL112" s="282"/>
      <c r="AM112" s="282"/>
      <c r="AN112" s="282"/>
      <c r="AO112" s="282"/>
      <c r="AP112" s="282"/>
      <c r="AQ112" s="282"/>
      <c r="AR112" s="282"/>
      <c r="AS112" s="282"/>
      <c r="AT112" s="282"/>
      <c r="AU112" s="282"/>
      <c r="AV112" s="282"/>
      <c r="AW112" s="282">
        <v>1870</v>
      </c>
      <c r="AX112" s="282"/>
      <c r="AY112" s="282"/>
      <c r="AZ112" s="282"/>
      <c r="BA112" s="282"/>
      <c r="BB112" s="282"/>
      <c r="BC112" s="282">
        <v>200</v>
      </c>
      <c r="BD112" s="282"/>
      <c r="BE112" s="282"/>
      <c r="BF112" s="282"/>
      <c r="BG112" s="282">
        <v>1040</v>
      </c>
      <c r="BH112" s="282"/>
      <c r="BI112" s="282"/>
      <c r="BJ112" s="282"/>
      <c r="BK112" s="282"/>
      <c r="BL112" s="282"/>
      <c r="BM112" s="282"/>
      <c r="BN112" s="282"/>
      <c r="BO112" s="282"/>
      <c r="BP112" s="282"/>
      <c r="BQ112" s="282"/>
      <c r="BR112" s="282"/>
      <c r="BS112" s="282">
        <v>5</v>
      </c>
      <c r="BT112" s="282"/>
      <c r="BU112" s="282">
        <v>400</v>
      </c>
      <c r="BV112" s="282">
        <v>80</v>
      </c>
      <c r="BW112" s="282"/>
      <c r="BX112" s="282"/>
      <c r="BY112" s="282">
        <v>5</v>
      </c>
      <c r="BZ112" s="282"/>
      <c r="CA112" s="282">
        <v>4</v>
      </c>
      <c r="CB112" s="282"/>
      <c r="CC112" s="282"/>
      <c r="CD112" s="282"/>
      <c r="CE112" s="282">
        <v>130</v>
      </c>
      <c r="CF112" s="282">
        <v>2</v>
      </c>
      <c r="CG112" s="282"/>
      <c r="CH112" s="282">
        <v>340</v>
      </c>
      <c r="CI112" s="282"/>
      <c r="CJ112" s="282">
        <v>5</v>
      </c>
      <c r="CK112" s="282">
        <v>12</v>
      </c>
      <c r="CL112" s="282">
        <v>10</v>
      </c>
      <c r="CM112" s="282">
        <v>5</v>
      </c>
      <c r="CN112" s="282">
        <v>3</v>
      </c>
      <c r="CO112" s="282">
        <v>2</v>
      </c>
      <c r="CP112" s="282">
        <v>140</v>
      </c>
      <c r="CQ112" s="282"/>
      <c r="CR112" s="282">
        <v>14</v>
      </c>
      <c r="CS112" s="282"/>
      <c r="CT112" s="282"/>
      <c r="CU112" s="282"/>
      <c r="CV112" s="282"/>
      <c r="CW112" s="282"/>
      <c r="CX112" s="282"/>
      <c r="CY112" s="282">
        <v>70</v>
      </c>
      <c r="CZ112" s="282">
        <v>90</v>
      </c>
      <c r="DA112" s="282">
        <v>10</v>
      </c>
      <c r="DB112" s="282"/>
      <c r="DC112" s="282"/>
      <c r="DD112" s="282">
        <v>30</v>
      </c>
      <c r="DE112" s="282"/>
      <c r="DF112" s="282"/>
      <c r="DG112" s="282"/>
      <c r="DH112" s="282"/>
      <c r="DI112" s="282"/>
      <c r="DJ112" s="282"/>
      <c r="DK112" s="282"/>
      <c r="DL112" s="282">
        <v>6</v>
      </c>
      <c r="DM112" s="282"/>
      <c r="DN112" s="282">
        <v>50</v>
      </c>
      <c r="DO112" s="282"/>
      <c r="DP112" s="282"/>
      <c r="DQ112" s="282"/>
      <c r="DR112" s="282"/>
      <c r="DS112" s="282"/>
      <c r="DT112" s="282"/>
      <c r="DU112" s="282"/>
      <c r="DV112" s="282"/>
      <c r="DW112" s="282"/>
      <c r="DX112" s="282"/>
      <c r="DY112" s="282"/>
      <c r="DZ112" s="282"/>
      <c r="EA112" s="282"/>
      <c r="EB112" s="282"/>
      <c r="EC112" s="282"/>
      <c r="ED112" s="282"/>
      <c r="EE112" s="282"/>
      <c r="EF112" s="282"/>
      <c r="EG112" s="282"/>
      <c r="EH112" s="282"/>
      <c r="EI112" s="282"/>
      <c r="EJ112" s="282"/>
      <c r="EK112" s="282"/>
      <c r="EL112" s="282">
        <v>70</v>
      </c>
      <c r="EM112" s="282"/>
      <c r="EN112" s="282"/>
      <c r="EO112" s="282">
        <v>150</v>
      </c>
      <c r="EP112" s="282">
        <v>90</v>
      </c>
      <c r="EQ112" s="282"/>
      <c r="ER112" s="282"/>
      <c r="ES112" s="282">
        <v>10</v>
      </c>
      <c r="ET112" s="282"/>
      <c r="EU112" s="282">
        <v>2</v>
      </c>
      <c r="EV112" s="282"/>
      <c r="EW112" s="282"/>
      <c r="EX112" s="282"/>
      <c r="EY112" s="282"/>
      <c r="EZ112" s="282"/>
      <c r="FA112" s="282"/>
      <c r="FB112" s="282"/>
      <c r="FC112" s="282">
        <v>330</v>
      </c>
      <c r="FD112" s="282">
        <v>650</v>
      </c>
      <c r="FE112" s="282"/>
      <c r="FF112" s="282"/>
      <c r="FG112" s="282">
        <f>SUBTOTAL(9,G112:FF112)</f>
        <v>5825</v>
      </c>
      <c r="FH112" s="286"/>
      <c r="FI112" s="287"/>
      <c r="FJ112" s="287"/>
      <c r="FK112" s="287"/>
      <c r="FL112" s="280"/>
      <c r="FM112" s="288"/>
    </row>
    <row r="113" spans="1:169" s="194" customFormat="1"/>
    <row r="114" spans="1:169" s="194" customFormat="1">
      <c r="E114" s="290" t="s">
        <v>770</v>
      </c>
      <c r="AW114" s="194">
        <v>2510</v>
      </c>
      <c r="BC114" s="194">
        <v>100</v>
      </c>
      <c r="BG114" s="194">
        <v>2000</v>
      </c>
      <c r="BU114" s="194">
        <v>300</v>
      </c>
      <c r="BV114" s="194">
        <v>20</v>
      </c>
      <c r="BY114" s="194">
        <v>5</v>
      </c>
      <c r="CA114" s="194">
        <v>4</v>
      </c>
      <c r="CE114" s="194">
        <v>90</v>
      </c>
      <c r="CH114" s="194">
        <v>200</v>
      </c>
      <c r="CJ114" s="194">
        <v>5</v>
      </c>
      <c r="CK114" s="194">
        <v>12</v>
      </c>
      <c r="CL114" s="194">
        <v>10</v>
      </c>
      <c r="CM114" s="194">
        <v>5</v>
      </c>
      <c r="CP114" s="194">
        <v>90</v>
      </c>
      <c r="CR114" s="194">
        <v>14</v>
      </c>
      <c r="CY114" s="194">
        <v>60</v>
      </c>
      <c r="CZ114" s="194">
        <v>50</v>
      </c>
      <c r="DA114" s="194">
        <v>10</v>
      </c>
      <c r="DD114" s="194">
        <v>10</v>
      </c>
      <c r="DL114" s="194">
        <v>6</v>
      </c>
      <c r="DN114" s="194">
        <v>20</v>
      </c>
      <c r="EL114" s="194">
        <v>40</v>
      </c>
      <c r="EO114" s="194">
        <v>100</v>
      </c>
      <c r="EP114" s="194">
        <v>40</v>
      </c>
      <c r="ES114" s="194">
        <v>10</v>
      </c>
      <c r="EU114" s="194">
        <v>2</v>
      </c>
      <c r="FC114" s="194">
        <v>330</v>
      </c>
      <c r="FD114" s="194">
        <v>650</v>
      </c>
      <c r="FG114" s="194">
        <f t="shared" ref="FG114:FG118" si="9">SUBTOTAL(9,G114:FF114)</f>
        <v>6693</v>
      </c>
    </row>
    <row r="115" spans="1:169" s="194" customFormat="1">
      <c r="E115" s="290" t="s">
        <v>769</v>
      </c>
      <c r="AW115" s="194">
        <v>120</v>
      </c>
      <c r="BC115" s="194">
        <v>30</v>
      </c>
      <c r="BG115" s="194">
        <v>10</v>
      </c>
      <c r="BU115" s="194">
        <v>30</v>
      </c>
      <c r="BV115" s="194">
        <v>10</v>
      </c>
      <c r="CE115" s="194">
        <v>10</v>
      </c>
      <c r="CF115" s="194">
        <v>2</v>
      </c>
      <c r="CH115" s="194">
        <v>70</v>
      </c>
      <c r="CN115" s="194">
        <v>3</v>
      </c>
      <c r="CP115" s="194">
        <v>20</v>
      </c>
      <c r="CZ115" s="194">
        <v>10</v>
      </c>
      <c r="DD115" s="194">
        <v>5</v>
      </c>
      <c r="DN115" s="194">
        <v>5</v>
      </c>
      <c r="EL115" s="194">
        <v>10</v>
      </c>
      <c r="EO115" s="194">
        <v>20</v>
      </c>
      <c r="EP115" s="194">
        <v>20</v>
      </c>
      <c r="FG115" s="194">
        <f t="shared" si="9"/>
        <v>375</v>
      </c>
    </row>
    <row r="116" spans="1:169" s="194" customFormat="1">
      <c r="E116" s="290" t="s">
        <v>768</v>
      </c>
      <c r="AW116" s="194">
        <v>80</v>
      </c>
      <c r="BC116" s="194">
        <v>20</v>
      </c>
      <c r="BG116" s="194">
        <v>10</v>
      </c>
      <c r="BU116" s="194">
        <v>20</v>
      </c>
      <c r="BV116" s="194">
        <v>20</v>
      </c>
      <c r="CE116" s="194">
        <v>10</v>
      </c>
      <c r="CH116" s="194">
        <v>20</v>
      </c>
      <c r="CP116" s="194">
        <v>10</v>
      </c>
      <c r="CZ116" s="194">
        <v>10</v>
      </c>
      <c r="DD116" s="194">
        <v>5</v>
      </c>
      <c r="DN116" s="194">
        <v>10</v>
      </c>
      <c r="EL116" s="194">
        <v>10</v>
      </c>
      <c r="EO116" s="194">
        <v>10</v>
      </c>
      <c r="EP116" s="194">
        <v>10</v>
      </c>
      <c r="FG116" s="194">
        <f t="shared" si="9"/>
        <v>245</v>
      </c>
    </row>
    <row r="117" spans="1:169" s="194" customFormat="1">
      <c r="E117" s="290" t="s">
        <v>766</v>
      </c>
      <c r="AW117" s="194">
        <v>100</v>
      </c>
      <c r="BC117" s="194">
        <v>30</v>
      </c>
      <c r="BG117" s="194">
        <v>10</v>
      </c>
      <c r="BS117" s="194">
        <v>5</v>
      </c>
      <c r="BU117" s="194">
        <v>30</v>
      </c>
      <c r="BV117" s="194">
        <v>20</v>
      </c>
      <c r="CE117" s="194">
        <v>15</v>
      </c>
      <c r="CH117" s="194">
        <v>30</v>
      </c>
      <c r="CO117" s="194">
        <v>2</v>
      </c>
      <c r="CP117" s="194">
        <v>10</v>
      </c>
      <c r="CY117" s="194">
        <v>10</v>
      </c>
      <c r="CZ117" s="194">
        <v>10</v>
      </c>
      <c r="DD117" s="194">
        <v>5</v>
      </c>
      <c r="DN117" s="194">
        <v>10</v>
      </c>
      <c r="EO117" s="194">
        <v>10</v>
      </c>
      <c r="EP117" s="194">
        <v>10</v>
      </c>
      <c r="FG117" s="194">
        <f t="shared" si="9"/>
        <v>307</v>
      </c>
    </row>
    <row r="118" spans="1:169" s="194" customFormat="1">
      <c r="A118" s="291"/>
      <c r="B118" s="291"/>
      <c r="C118" s="291"/>
      <c r="D118" s="291"/>
      <c r="E118" s="292" t="s">
        <v>767</v>
      </c>
      <c r="F118" s="291"/>
      <c r="G118" s="291"/>
      <c r="H118" s="291"/>
      <c r="I118" s="291"/>
      <c r="J118" s="291"/>
      <c r="K118" s="291"/>
      <c r="L118" s="291"/>
      <c r="M118" s="291"/>
      <c r="N118" s="291"/>
      <c r="O118" s="291"/>
      <c r="P118" s="291"/>
      <c r="Q118" s="291"/>
      <c r="R118" s="291"/>
      <c r="S118" s="291"/>
      <c r="T118" s="291"/>
      <c r="U118" s="291"/>
      <c r="V118" s="291"/>
      <c r="W118" s="291"/>
      <c r="X118" s="291"/>
      <c r="Y118" s="291"/>
      <c r="Z118" s="291"/>
      <c r="AA118" s="291"/>
      <c r="AB118" s="291"/>
      <c r="AC118" s="291"/>
      <c r="AD118" s="291"/>
      <c r="AE118" s="291"/>
      <c r="AF118" s="291"/>
      <c r="AG118" s="291"/>
      <c r="AH118" s="291"/>
      <c r="AI118" s="291"/>
      <c r="AJ118" s="291"/>
      <c r="AK118" s="291"/>
      <c r="AL118" s="291"/>
      <c r="AM118" s="291"/>
      <c r="AN118" s="291"/>
      <c r="AO118" s="291"/>
      <c r="AP118" s="291"/>
      <c r="AQ118" s="291"/>
      <c r="AR118" s="291"/>
      <c r="AS118" s="291"/>
      <c r="AT118" s="291"/>
      <c r="AU118" s="291"/>
      <c r="AV118" s="291"/>
      <c r="AW118" s="291">
        <v>60</v>
      </c>
      <c r="AX118" s="291"/>
      <c r="AY118" s="291"/>
      <c r="AZ118" s="291"/>
      <c r="BA118" s="291"/>
      <c r="BB118" s="291"/>
      <c r="BC118" s="291">
        <v>20</v>
      </c>
      <c r="BD118" s="291"/>
      <c r="BE118" s="291"/>
      <c r="BF118" s="291"/>
      <c r="BG118" s="291">
        <v>10</v>
      </c>
      <c r="BH118" s="291"/>
      <c r="BI118" s="291"/>
      <c r="BJ118" s="291"/>
      <c r="BK118" s="291"/>
      <c r="BL118" s="291"/>
      <c r="BM118" s="291"/>
      <c r="BN118" s="291"/>
      <c r="BO118" s="291"/>
      <c r="BP118" s="291"/>
      <c r="BQ118" s="291"/>
      <c r="BR118" s="291"/>
      <c r="BS118" s="291"/>
      <c r="BT118" s="291"/>
      <c r="BU118" s="291">
        <v>20</v>
      </c>
      <c r="BV118" s="291">
        <v>10</v>
      </c>
      <c r="BW118" s="291"/>
      <c r="BX118" s="291"/>
      <c r="BY118" s="291"/>
      <c r="BZ118" s="291"/>
      <c r="CA118" s="291"/>
      <c r="CB118" s="291"/>
      <c r="CC118" s="291"/>
      <c r="CD118" s="291"/>
      <c r="CE118" s="291">
        <v>5</v>
      </c>
      <c r="CF118" s="291"/>
      <c r="CG118" s="291"/>
      <c r="CH118" s="291">
        <v>20</v>
      </c>
      <c r="CI118" s="291"/>
      <c r="CJ118" s="291"/>
      <c r="CK118" s="291"/>
      <c r="CL118" s="291"/>
      <c r="CM118" s="291"/>
      <c r="CN118" s="291"/>
      <c r="CO118" s="291"/>
      <c r="CP118" s="291">
        <v>10</v>
      </c>
      <c r="CQ118" s="291"/>
      <c r="CR118" s="291"/>
      <c r="CS118" s="291"/>
      <c r="CT118" s="291"/>
      <c r="CU118" s="291"/>
      <c r="CV118" s="291"/>
      <c r="CW118" s="291"/>
      <c r="CX118" s="291"/>
      <c r="CY118" s="291"/>
      <c r="CZ118" s="291">
        <v>10</v>
      </c>
      <c r="DA118" s="291"/>
      <c r="DB118" s="291"/>
      <c r="DC118" s="291"/>
      <c r="DD118" s="291">
        <v>5</v>
      </c>
      <c r="DE118" s="291"/>
      <c r="DF118" s="291"/>
      <c r="DG118" s="291"/>
      <c r="DH118" s="291"/>
      <c r="DI118" s="291"/>
      <c r="DJ118" s="291"/>
      <c r="DK118" s="291"/>
      <c r="DL118" s="291"/>
      <c r="DM118" s="291"/>
      <c r="DN118" s="291">
        <v>5</v>
      </c>
      <c r="DO118" s="291"/>
      <c r="DP118" s="291"/>
      <c r="DQ118" s="291"/>
      <c r="DR118" s="291"/>
      <c r="DS118" s="291"/>
      <c r="DT118" s="291"/>
      <c r="DU118" s="291"/>
      <c r="DV118" s="291"/>
      <c r="DW118" s="291"/>
      <c r="DX118" s="291"/>
      <c r="DY118" s="291"/>
      <c r="DZ118" s="291"/>
      <c r="EA118" s="291"/>
      <c r="EB118" s="291"/>
      <c r="EC118" s="291"/>
      <c r="ED118" s="291"/>
      <c r="EE118" s="291"/>
      <c r="EF118" s="291"/>
      <c r="EG118" s="291"/>
      <c r="EH118" s="291"/>
      <c r="EI118" s="291"/>
      <c r="EJ118" s="291"/>
      <c r="EK118" s="291"/>
      <c r="EL118" s="291">
        <v>10</v>
      </c>
      <c r="EM118" s="291"/>
      <c r="EN118" s="291"/>
      <c r="EO118" s="291">
        <v>10</v>
      </c>
      <c r="EP118" s="291">
        <v>10</v>
      </c>
      <c r="EQ118" s="291"/>
      <c r="ER118" s="291"/>
      <c r="ES118" s="291"/>
      <c r="ET118" s="291"/>
      <c r="EU118" s="291"/>
      <c r="EV118" s="291"/>
      <c r="EW118" s="291"/>
      <c r="EX118" s="291"/>
      <c r="EY118" s="291"/>
      <c r="EZ118" s="291"/>
      <c r="FA118" s="291"/>
      <c r="FB118" s="291"/>
      <c r="FC118" s="291"/>
      <c r="FD118" s="291"/>
      <c r="FE118" s="291"/>
      <c r="FF118" s="291"/>
      <c r="FG118" s="291">
        <f t="shared" si="9"/>
        <v>205</v>
      </c>
      <c r="FH118" s="291"/>
      <c r="FI118" s="291"/>
      <c r="FJ118" s="291"/>
      <c r="FK118" s="291"/>
      <c r="FL118" s="291"/>
      <c r="FM118" s="291"/>
    </row>
    <row r="119" spans="1:169" s="194" customFormat="1">
      <c r="E119" s="293" t="s">
        <v>771</v>
      </c>
      <c r="AW119" s="194">
        <f>SUBTOTAL(9,AW114:AW118)</f>
        <v>2870</v>
      </c>
      <c r="BC119" s="194">
        <f>SUBTOTAL(9,BC114:BC118)</f>
        <v>200</v>
      </c>
      <c r="BG119" s="194">
        <f>SUBTOTAL(9,BG114:BG118)</f>
        <v>2040</v>
      </c>
      <c r="BS119" s="194">
        <f>SUBTOTAL(9,BS114:BS118)</f>
        <v>5</v>
      </c>
      <c r="BU119" s="194">
        <f>SUBTOTAL(9,BU114:BU118)</f>
        <v>400</v>
      </c>
      <c r="BV119" s="194">
        <f>SUBTOTAL(9,BV114:BV118)</f>
        <v>80</v>
      </c>
      <c r="BY119" s="194">
        <f>SUBTOTAL(9,BY114:BY118)</f>
        <v>5</v>
      </c>
      <c r="CA119" s="194">
        <f>SUBTOTAL(9,CA114:CA118)</f>
        <v>4</v>
      </c>
      <c r="CE119" s="194">
        <f>SUBTOTAL(9,CE114:CE118)</f>
        <v>130</v>
      </c>
      <c r="CF119" s="194">
        <f>SUBTOTAL(9,CF114:CF118)</f>
        <v>2</v>
      </c>
      <c r="CH119" s="194">
        <f>SUBTOTAL(9,CH114:CH118)</f>
        <v>340</v>
      </c>
      <c r="CJ119" s="194">
        <f t="shared" ref="CJ119:CR119" si="10">SUBTOTAL(9,CJ114:CJ118)</f>
        <v>5</v>
      </c>
      <c r="CK119" s="194">
        <f t="shared" si="10"/>
        <v>12</v>
      </c>
      <c r="CL119" s="194">
        <f t="shared" si="10"/>
        <v>10</v>
      </c>
      <c r="CM119" s="194">
        <f t="shared" si="10"/>
        <v>5</v>
      </c>
      <c r="CN119" s="194">
        <f t="shared" si="10"/>
        <v>3</v>
      </c>
      <c r="CO119" s="194">
        <f t="shared" si="10"/>
        <v>2</v>
      </c>
      <c r="CP119" s="194">
        <f t="shared" si="10"/>
        <v>140</v>
      </c>
      <c r="CR119" s="194">
        <f t="shared" si="10"/>
        <v>14</v>
      </c>
      <c r="CY119" s="194">
        <f t="shared" ref="CY119" si="11">SUBTOTAL(9,CY114:CY118)</f>
        <v>70</v>
      </c>
      <c r="CZ119" s="194">
        <f t="shared" ref="CZ119" si="12">SUBTOTAL(9,CZ114:CZ118)</f>
        <v>90</v>
      </c>
      <c r="DA119" s="194">
        <f t="shared" ref="DA119" si="13">SUBTOTAL(9,DA114:DA118)</f>
        <v>10</v>
      </c>
      <c r="DD119" s="194">
        <f t="shared" ref="DD119" si="14">SUBTOTAL(9,DD114:DD118)</f>
        <v>30</v>
      </c>
      <c r="DL119" s="194">
        <f t="shared" ref="DL119:DN119" si="15">SUBTOTAL(9,DL114:DL118)</f>
        <v>6</v>
      </c>
      <c r="DN119" s="194">
        <f t="shared" si="15"/>
        <v>50</v>
      </c>
      <c r="EL119" s="194">
        <f t="shared" ref="EL119" si="16">SUBTOTAL(9,EL114:EL118)</f>
        <v>70</v>
      </c>
      <c r="EO119" s="194">
        <f t="shared" ref="EO119:EP119" si="17">SUBTOTAL(9,EO114:EO118)</f>
        <v>150</v>
      </c>
      <c r="EP119" s="194">
        <f t="shared" si="17"/>
        <v>90</v>
      </c>
      <c r="ES119" s="194">
        <f t="shared" ref="ES119" si="18">SUBTOTAL(9,ES114:ES118)</f>
        <v>10</v>
      </c>
      <c r="EU119" s="194">
        <f t="shared" ref="EU119" si="19">SUBTOTAL(9,EU114:EU118)</f>
        <v>2</v>
      </c>
      <c r="FC119" s="194">
        <v>330</v>
      </c>
      <c r="FD119" s="194">
        <v>650</v>
      </c>
      <c r="FG119" s="194">
        <f>FG114+FG115+FG116+FG117+FG118</f>
        <v>7825</v>
      </c>
    </row>
    <row r="120" spans="1:169">
      <c r="FG120" s="281"/>
    </row>
    <row r="122" spans="1:169">
      <c r="D122" s="273" t="s">
        <v>935</v>
      </c>
    </row>
    <row r="123" spans="1:169" ht="11.4">
      <c r="D123" s="273" t="s">
        <v>939</v>
      </c>
    </row>
    <row r="124" spans="1:169">
      <c r="D124" s="273" t="s">
        <v>936</v>
      </c>
    </row>
    <row r="125" spans="1:169">
      <c r="D125" s="273" t="s">
        <v>937</v>
      </c>
    </row>
    <row r="126" spans="1:169">
      <c r="D126" s="273" t="s">
        <v>938</v>
      </c>
    </row>
    <row r="127" spans="1:169">
      <c r="E127" s="290" t="s">
        <v>770</v>
      </c>
      <c r="F127" s="273">
        <v>280</v>
      </c>
    </row>
    <row r="128" spans="1:169">
      <c r="E128" s="290" t="s">
        <v>769</v>
      </c>
      <c r="F128" s="273">
        <v>40</v>
      </c>
    </row>
    <row r="129" spans="5:6">
      <c r="E129" s="290" t="s">
        <v>768</v>
      </c>
      <c r="F129" s="273">
        <v>30</v>
      </c>
    </row>
    <row r="130" spans="5:6">
      <c r="E130" s="290" t="s">
        <v>766</v>
      </c>
      <c r="F130" s="273">
        <v>50</v>
      </c>
    </row>
    <row r="131" spans="5:6">
      <c r="E131" s="292" t="s">
        <v>767</v>
      </c>
      <c r="F131" s="273">
        <v>20</v>
      </c>
    </row>
    <row r="132" spans="5:6">
      <c r="F132" s="273">
        <f>SUBTOTAL(9,F127:F131)</f>
        <v>420</v>
      </c>
    </row>
  </sheetData>
  <autoFilter ref="A6:FN109">
    <filterColumn colId="2">
      <filters>
        <filter val="UA1J"/>
        <filter val="UA1K"/>
      </filters>
    </filterColumn>
  </autoFilter>
  <phoneticPr fontId="1" type="noConversion"/>
  <conditionalFormatting sqref="F5:F6">
    <cfRule type="cellIs" dxfId="1888" priority="268" stopIfTrue="1" operator="equal">
      <formula>"E7"</formula>
    </cfRule>
    <cfRule type="cellIs" dxfId="1887" priority="269" stopIfTrue="1" operator="equal">
      <formula>"E7A"</formula>
    </cfRule>
  </conditionalFormatting>
  <conditionalFormatting sqref="F7">
    <cfRule type="cellIs" dxfId="1886" priority="266" stopIfTrue="1" operator="equal">
      <formula>"E7"</formula>
    </cfRule>
    <cfRule type="cellIs" dxfId="1885" priority="267" stopIfTrue="1" operator="equal">
      <formula>"E7A"</formula>
    </cfRule>
  </conditionalFormatting>
  <conditionalFormatting sqref="F8">
    <cfRule type="cellIs" dxfId="1884" priority="264" stopIfTrue="1" operator="equal">
      <formula>"E7"</formula>
    </cfRule>
    <cfRule type="cellIs" dxfId="1883" priority="265" stopIfTrue="1" operator="equal">
      <formula>"E7A"</formula>
    </cfRule>
  </conditionalFormatting>
  <conditionalFormatting sqref="F82">
    <cfRule type="cellIs" dxfId="1882" priority="262" stopIfTrue="1" operator="equal">
      <formula>"E7"</formula>
    </cfRule>
    <cfRule type="cellIs" dxfId="1881" priority="263" stopIfTrue="1" operator="equal">
      <formula>"E7A"</formula>
    </cfRule>
  </conditionalFormatting>
  <conditionalFormatting sqref="F69">
    <cfRule type="cellIs" dxfId="1880" priority="258" stopIfTrue="1" operator="equal">
      <formula>"E7"</formula>
    </cfRule>
    <cfRule type="cellIs" dxfId="1879" priority="259" stopIfTrue="1" operator="equal">
      <formula>"E7A"</formula>
    </cfRule>
  </conditionalFormatting>
  <conditionalFormatting sqref="F81">
    <cfRule type="cellIs" dxfId="1878" priority="260" stopIfTrue="1" operator="equal">
      <formula>"E7"</formula>
    </cfRule>
    <cfRule type="cellIs" dxfId="1877" priority="261" stopIfTrue="1" operator="equal">
      <formula>"E7A"</formula>
    </cfRule>
  </conditionalFormatting>
  <conditionalFormatting sqref="F80">
    <cfRule type="cellIs" dxfId="1876" priority="256" stopIfTrue="1" operator="equal">
      <formula>"E7"</formula>
    </cfRule>
    <cfRule type="cellIs" dxfId="1875" priority="257" stopIfTrue="1" operator="equal">
      <formula>"E7A"</formula>
    </cfRule>
  </conditionalFormatting>
  <conditionalFormatting sqref="F83">
    <cfRule type="cellIs" dxfId="1874" priority="254" stopIfTrue="1" operator="equal">
      <formula>"E7"</formula>
    </cfRule>
    <cfRule type="cellIs" dxfId="1873" priority="255" stopIfTrue="1" operator="equal">
      <formula>"E7A"</formula>
    </cfRule>
  </conditionalFormatting>
  <conditionalFormatting sqref="F104">
    <cfRule type="cellIs" dxfId="1872" priority="252" stopIfTrue="1" operator="equal">
      <formula>"E7"</formula>
    </cfRule>
    <cfRule type="cellIs" dxfId="1871" priority="253" stopIfTrue="1" operator="equal">
      <formula>"E7A"</formula>
    </cfRule>
  </conditionalFormatting>
  <conditionalFormatting sqref="F105">
    <cfRule type="cellIs" dxfId="1870" priority="250" stopIfTrue="1" operator="equal">
      <formula>"E7"</formula>
    </cfRule>
    <cfRule type="cellIs" dxfId="1869" priority="251" stopIfTrue="1" operator="equal">
      <formula>"E7A"</formula>
    </cfRule>
  </conditionalFormatting>
  <conditionalFormatting sqref="F101">
    <cfRule type="cellIs" dxfId="1868" priority="248" stopIfTrue="1" operator="equal">
      <formula>"E7"</formula>
    </cfRule>
    <cfRule type="cellIs" dxfId="1867" priority="249" stopIfTrue="1" operator="equal">
      <formula>"E7A"</formula>
    </cfRule>
  </conditionalFormatting>
  <conditionalFormatting sqref="F102">
    <cfRule type="cellIs" dxfId="1866" priority="246" stopIfTrue="1" operator="equal">
      <formula>"E7"</formula>
    </cfRule>
    <cfRule type="cellIs" dxfId="1865" priority="247" stopIfTrue="1" operator="equal">
      <formula>"E7A"</formula>
    </cfRule>
  </conditionalFormatting>
  <conditionalFormatting sqref="F103">
    <cfRule type="cellIs" dxfId="1864" priority="244" stopIfTrue="1" operator="equal">
      <formula>"E7"</formula>
    </cfRule>
    <cfRule type="cellIs" dxfId="1863" priority="245" stopIfTrue="1" operator="equal">
      <formula>"E7A"</formula>
    </cfRule>
  </conditionalFormatting>
  <conditionalFormatting sqref="B7 B91 B98:B105">
    <cfRule type="expression" dxfId="1862" priority="243">
      <formula>$B7="A"</formula>
    </cfRule>
  </conditionalFormatting>
  <conditionalFormatting sqref="B8 B80:B83 B69">
    <cfRule type="expression" dxfId="1861" priority="242">
      <formula>$B8="A"</formula>
    </cfRule>
  </conditionalFormatting>
  <conditionalFormatting sqref="H6 AV6:FF6 AA6:AJ6 P6:X6">
    <cfRule type="expression" dxfId="1860" priority="204">
      <formula>H293=0</formula>
    </cfRule>
  </conditionalFormatting>
  <conditionalFormatting sqref="F91">
    <cfRule type="cellIs" dxfId="1859" priority="240" stopIfTrue="1" operator="equal">
      <formula>"E7"</formula>
    </cfRule>
    <cfRule type="cellIs" dxfId="1858" priority="241" stopIfTrue="1" operator="equal">
      <formula>"E7A"</formula>
    </cfRule>
  </conditionalFormatting>
  <conditionalFormatting sqref="F98">
    <cfRule type="cellIs" dxfId="1857" priority="238" stopIfTrue="1" operator="equal">
      <formula>"E7"</formula>
    </cfRule>
    <cfRule type="cellIs" dxfId="1856" priority="239" stopIfTrue="1" operator="equal">
      <formula>"E7A"</formula>
    </cfRule>
  </conditionalFormatting>
  <conditionalFormatting sqref="F99">
    <cfRule type="cellIs" dxfId="1855" priority="236" stopIfTrue="1" operator="equal">
      <formula>"E7"</formula>
    </cfRule>
    <cfRule type="cellIs" dxfId="1854" priority="237" stopIfTrue="1" operator="equal">
      <formula>"E7A"</formula>
    </cfRule>
  </conditionalFormatting>
  <conditionalFormatting sqref="F100">
    <cfRule type="cellIs" dxfId="1853" priority="234" stopIfTrue="1" operator="equal">
      <formula>"E7"</formula>
    </cfRule>
    <cfRule type="cellIs" dxfId="1852" priority="235" stopIfTrue="1" operator="equal">
      <formula>"E7A"</formula>
    </cfRule>
  </conditionalFormatting>
  <conditionalFormatting sqref="F95">
    <cfRule type="cellIs" dxfId="1851" priority="232" stopIfTrue="1" operator="equal">
      <formula>"E7"</formula>
    </cfRule>
    <cfRule type="cellIs" dxfId="1850" priority="233" stopIfTrue="1" operator="equal">
      <formula>"E7A"</formula>
    </cfRule>
  </conditionalFormatting>
  <conditionalFormatting sqref="F96">
    <cfRule type="cellIs" dxfId="1849" priority="230" stopIfTrue="1" operator="equal">
      <formula>"E7"</formula>
    </cfRule>
    <cfRule type="cellIs" dxfId="1848" priority="231" stopIfTrue="1" operator="equal">
      <formula>"E7A"</formula>
    </cfRule>
  </conditionalFormatting>
  <conditionalFormatting sqref="F97">
    <cfRule type="cellIs" dxfId="1847" priority="228" stopIfTrue="1" operator="equal">
      <formula>"E7"</formula>
    </cfRule>
    <cfRule type="cellIs" dxfId="1846" priority="229" stopIfTrue="1" operator="equal">
      <formula>"E7A"</formula>
    </cfRule>
  </conditionalFormatting>
  <conditionalFormatting sqref="B92:B97">
    <cfRule type="expression" dxfId="1845" priority="227">
      <formula>$B92="A"</formula>
    </cfRule>
  </conditionalFormatting>
  <conditionalFormatting sqref="F92">
    <cfRule type="cellIs" dxfId="1844" priority="225" stopIfTrue="1" operator="equal">
      <formula>"E7"</formula>
    </cfRule>
    <cfRule type="cellIs" dxfId="1843" priority="226" stopIfTrue="1" operator="equal">
      <formula>"E7A"</formula>
    </cfRule>
  </conditionalFormatting>
  <conditionalFormatting sqref="F93">
    <cfRule type="cellIs" dxfId="1842" priority="223" stopIfTrue="1" operator="equal">
      <formula>"E7"</formula>
    </cfRule>
    <cfRule type="cellIs" dxfId="1841" priority="224" stopIfTrue="1" operator="equal">
      <formula>"E7A"</formula>
    </cfRule>
  </conditionalFormatting>
  <conditionalFormatting sqref="F94">
    <cfRule type="cellIs" dxfId="1840" priority="221" stopIfTrue="1" operator="equal">
      <formula>"E7"</formula>
    </cfRule>
    <cfRule type="cellIs" dxfId="1839" priority="222" stopIfTrue="1" operator="equal">
      <formula>"E7A"</formula>
    </cfRule>
  </conditionalFormatting>
  <conditionalFormatting sqref="B84">
    <cfRule type="expression" dxfId="1838" priority="220">
      <formula>$B84="A"</formula>
    </cfRule>
  </conditionalFormatting>
  <conditionalFormatting sqref="F84">
    <cfRule type="cellIs" dxfId="1837" priority="218" stopIfTrue="1" operator="equal">
      <formula>"E7"</formula>
    </cfRule>
    <cfRule type="cellIs" dxfId="1836" priority="219" stopIfTrue="1" operator="equal">
      <formula>"E7A"</formula>
    </cfRule>
  </conditionalFormatting>
  <conditionalFormatting sqref="F88">
    <cfRule type="cellIs" dxfId="1835" priority="216" stopIfTrue="1" operator="equal">
      <formula>"E7"</formula>
    </cfRule>
    <cfRule type="cellIs" dxfId="1834" priority="217" stopIfTrue="1" operator="equal">
      <formula>"E7A"</formula>
    </cfRule>
  </conditionalFormatting>
  <conditionalFormatting sqref="F89">
    <cfRule type="cellIs" dxfId="1833" priority="214" stopIfTrue="1" operator="equal">
      <formula>"E7"</formula>
    </cfRule>
    <cfRule type="cellIs" dxfId="1832" priority="215" stopIfTrue="1" operator="equal">
      <formula>"E7A"</formula>
    </cfRule>
  </conditionalFormatting>
  <conditionalFormatting sqref="F90">
    <cfRule type="cellIs" dxfId="1831" priority="212" stopIfTrue="1" operator="equal">
      <formula>"E7"</formula>
    </cfRule>
    <cfRule type="cellIs" dxfId="1830" priority="213" stopIfTrue="1" operator="equal">
      <formula>"E7A"</formula>
    </cfRule>
  </conditionalFormatting>
  <conditionalFormatting sqref="B85:B90">
    <cfRule type="expression" dxfId="1829" priority="211">
      <formula>$B85="A"</formula>
    </cfRule>
  </conditionalFormatting>
  <conditionalFormatting sqref="F85">
    <cfRule type="cellIs" dxfId="1828" priority="209" stopIfTrue="1" operator="equal">
      <formula>"E7"</formula>
    </cfRule>
    <cfRule type="cellIs" dxfId="1827" priority="210" stopIfTrue="1" operator="equal">
      <formula>"E7A"</formula>
    </cfRule>
  </conditionalFormatting>
  <conditionalFormatting sqref="F86">
    <cfRule type="cellIs" dxfId="1826" priority="207" stopIfTrue="1" operator="equal">
      <formula>"E7"</formula>
    </cfRule>
    <cfRule type="cellIs" dxfId="1825" priority="208" stopIfTrue="1" operator="equal">
      <formula>"E7A"</formula>
    </cfRule>
  </conditionalFormatting>
  <conditionalFormatting sqref="F87">
    <cfRule type="cellIs" dxfId="1824" priority="205" stopIfTrue="1" operator="equal">
      <formula>"E7"</formula>
    </cfRule>
    <cfRule type="cellIs" dxfId="1823" priority="206" stopIfTrue="1" operator="equal">
      <formula>"E7A"</formula>
    </cfRule>
  </conditionalFormatting>
  <conditionalFormatting sqref="I6:L6">
    <cfRule type="expression" dxfId="1822" priority="203">
      <formula>I293=0</formula>
    </cfRule>
  </conditionalFormatting>
  <conditionalFormatting sqref="I1:K1">
    <cfRule type="duplicateValues" dxfId="1821" priority="202"/>
  </conditionalFormatting>
  <conditionalFormatting sqref="AX1">
    <cfRule type="duplicateValues" dxfId="1820" priority="201"/>
  </conditionalFormatting>
  <conditionalFormatting sqref="F72">
    <cfRule type="cellIs" dxfId="1819" priority="199" stopIfTrue="1" operator="equal">
      <formula>"E7"</formula>
    </cfRule>
    <cfRule type="cellIs" dxfId="1818" priority="200" stopIfTrue="1" operator="equal">
      <formula>"E7A"</formula>
    </cfRule>
  </conditionalFormatting>
  <conditionalFormatting sqref="F71">
    <cfRule type="cellIs" dxfId="1817" priority="197" stopIfTrue="1" operator="equal">
      <formula>"E7"</formula>
    </cfRule>
    <cfRule type="cellIs" dxfId="1816" priority="198" stopIfTrue="1" operator="equal">
      <formula>"E7A"</formula>
    </cfRule>
  </conditionalFormatting>
  <conditionalFormatting sqref="F70">
    <cfRule type="cellIs" dxfId="1815" priority="195" stopIfTrue="1" operator="equal">
      <formula>"E7"</formula>
    </cfRule>
    <cfRule type="cellIs" dxfId="1814" priority="196" stopIfTrue="1" operator="equal">
      <formula>"E7A"</formula>
    </cfRule>
  </conditionalFormatting>
  <conditionalFormatting sqref="F73">
    <cfRule type="cellIs" dxfId="1813" priority="193" stopIfTrue="1" operator="equal">
      <formula>"E7"</formula>
    </cfRule>
    <cfRule type="cellIs" dxfId="1812" priority="194" stopIfTrue="1" operator="equal">
      <formula>"E7A"</formula>
    </cfRule>
  </conditionalFormatting>
  <conditionalFormatting sqref="B70:B73">
    <cfRule type="expression" dxfId="1811" priority="192">
      <formula>$B70="A"</formula>
    </cfRule>
  </conditionalFormatting>
  <conditionalFormatting sqref="B74">
    <cfRule type="expression" dxfId="1810" priority="191">
      <formula>$B74="A"</formula>
    </cfRule>
  </conditionalFormatting>
  <conditionalFormatting sqref="F74">
    <cfRule type="cellIs" dxfId="1809" priority="189" stopIfTrue="1" operator="equal">
      <formula>"E7"</formula>
    </cfRule>
    <cfRule type="cellIs" dxfId="1808" priority="190" stopIfTrue="1" operator="equal">
      <formula>"E7A"</formula>
    </cfRule>
  </conditionalFormatting>
  <conditionalFormatting sqref="F78">
    <cfRule type="cellIs" dxfId="1807" priority="187" stopIfTrue="1" operator="equal">
      <formula>"E7"</formula>
    </cfRule>
    <cfRule type="cellIs" dxfId="1806" priority="188" stopIfTrue="1" operator="equal">
      <formula>"E7A"</formula>
    </cfRule>
  </conditionalFormatting>
  <conditionalFormatting sqref="F79">
    <cfRule type="cellIs" dxfId="1805" priority="185" stopIfTrue="1" operator="equal">
      <formula>"E7"</formula>
    </cfRule>
    <cfRule type="cellIs" dxfId="1804" priority="186" stopIfTrue="1" operator="equal">
      <formula>"E7A"</formula>
    </cfRule>
  </conditionalFormatting>
  <conditionalFormatting sqref="B75:B79">
    <cfRule type="expression" dxfId="1803" priority="184">
      <formula>$B75="A"</formula>
    </cfRule>
  </conditionalFormatting>
  <conditionalFormatting sqref="F75">
    <cfRule type="cellIs" dxfId="1802" priority="182" stopIfTrue="1" operator="equal">
      <formula>"E7"</formula>
    </cfRule>
    <cfRule type="cellIs" dxfId="1801" priority="183" stopIfTrue="1" operator="equal">
      <formula>"E7A"</formula>
    </cfRule>
  </conditionalFormatting>
  <conditionalFormatting sqref="F76">
    <cfRule type="cellIs" dxfId="1800" priority="180" stopIfTrue="1" operator="equal">
      <formula>"E7"</formula>
    </cfRule>
    <cfRule type="cellIs" dxfId="1799" priority="181" stopIfTrue="1" operator="equal">
      <formula>"E7A"</formula>
    </cfRule>
  </conditionalFormatting>
  <conditionalFormatting sqref="F77">
    <cfRule type="cellIs" dxfId="1798" priority="178" stopIfTrue="1" operator="equal">
      <formula>"E7"</formula>
    </cfRule>
    <cfRule type="cellIs" dxfId="1797" priority="179" stopIfTrue="1" operator="equal">
      <formula>"E7A"</formula>
    </cfRule>
  </conditionalFormatting>
  <conditionalFormatting sqref="H4">
    <cfRule type="duplicateValues" dxfId="1796" priority="177"/>
  </conditionalFormatting>
  <conditionalFormatting sqref="AK6:AU6">
    <cfRule type="expression" dxfId="1795" priority="176">
      <formula>AK293=0</formula>
    </cfRule>
  </conditionalFormatting>
  <conditionalFormatting sqref="AK1:AU1">
    <cfRule type="duplicateValues" dxfId="1794" priority="175"/>
  </conditionalFormatting>
  <conditionalFormatting sqref="AM1">
    <cfRule type="duplicateValues" dxfId="1793" priority="174"/>
  </conditionalFormatting>
  <conditionalFormatting sqref="AK4:AU4">
    <cfRule type="duplicateValues" dxfId="1792" priority="173"/>
  </conditionalFormatting>
  <conditionalFormatting sqref="Y6">
    <cfRule type="expression" dxfId="1791" priority="172">
      <formula>Y293=0</formula>
    </cfRule>
  </conditionalFormatting>
  <conditionalFormatting sqref="Y1 AA1:AJ1">
    <cfRule type="duplicateValues" dxfId="1790" priority="171"/>
  </conditionalFormatting>
  <conditionalFormatting sqref="AB1">
    <cfRule type="duplicateValues" dxfId="1789" priority="170"/>
  </conditionalFormatting>
  <conditionalFormatting sqref="Y4 AA4:AJ4">
    <cfRule type="duplicateValues" dxfId="1788" priority="169"/>
  </conditionalFormatting>
  <conditionalFormatting sqref="M6:N6">
    <cfRule type="expression" dxfId="1787" priority="168">
      <formula>M293=0</formula>
    </cfRule>
  </conditionalFormatting>
  <conditionalFormatting sqref="M1:N1 P1:X1">
    <cfRule type="duplicateValues" dxfId="1786" priority="167"/>
  </conditionalFormatting>
  <conditionalFormatting sqref="P1">
    <cfRule type="duplicateValues" dxfId="1785" priority="166"/>
  </conditionalFormatting>
  <conditionalFormatting sqref="M4:N4 P4:X4">
    <cfRule type="duplicateValues" dxfId="1784" priority="165"/>
  </conditionalFormatting>
  <conditionalFormatting sqref="F62">
    <cfRule type="cellIs" dxfId="1783" priority="163" stopIfTrue="1" operator="equal">
      <formula>"E7"</formula>
    </cfRule>
    <cfRule type="cellIs" dxfId="1782" priority="164" stopIfTrue="1" operator="equal">
      <formula>"E7A"</formula>
    </cfRule>
  </conditionalFormatting>
  <conditionalFormatting sqref="F49">
    <cfRule type="cellIs" dxfId="1781" priority="159" stopIfTrue="1" operator="equal">
      <formula>"E7"</formula>
    </cfRule>
    <cfRule type="cellIs" dxfId="1780" priority="160" stopIfTrue="1" operator="equal">
      <formula>"E7A"</formula>
    </cfRule>
  </conditionalFormatting>
  <conditionalFormatting sqref="F61">
    <cfRule type="cellIs" dxfId="1779" priority="161" stopIfTrue="1" operator="equal">
      <formula>"E7"</formula>
    </cfRule>
    <cfRule type="cellIs" dxfId="1778" priority="162" stopIfTrue="1" operator="equal">
      <formula>"E7A"</formula>
    </cfRule>
  </conditionalFormatting>
  <conditionalFormatting sqref="F60">
    <cfRule type="cellIs" dxfId="1777" priority="157" stopIfTrue="1" operator="equal">
      <formula>"E7"</formula>
    </cfRule>
    <cfRule type="cellIs" dxfId="1776" priority="158" stopIfTrue="1" operator="equal">
      <formula>"E7A"</formula>
    </cfRule>
  </conditionalFormatting>
  <conditionalFormatting sqref="F63">
    <cfRule type="cellIs" dxfId="1775" priority="155" stopIfTrue="1" operator="equal">
      <formula>"E7"</formula>
    </cfRule>
    <cfRule type="cellIs" dxfId="1774" priority="156" stopIfTrue="1" operator="equal">
      <formula>"E7A"</formula>
    </cfRule>
  </conditionalFormatting>
  <conditionalFormatting sqref="B60:B63 B49">
    <cfRule type="expression" dxfId="1773" priority="154">
      <formula>$B49="A"</formula>
    </cfRule>
  </conditionalFormatting>
  <conditionalFormatting sqref="B64">
    <cfRule type="expression" dxfId="1772" priority="153">
      <formula>$B64="A"</formula>
    </cfRule>
  </conditionalFormatting>
  <conditionalFormatting sqref="F64">
    <cfRule type="cellIs" dxfId="1771" priority="151" stopIfTrue="1" operator="equal">
      <formula>"E7"</formula>
    </cfRule>
    <cfRule type="cellIs" dxfId="1770" priority="152" stopIfTrue="1" operator="equal">
      <formula>"E7A"</formula>
    </cfRule>
  </conditionalFormatting>
  <conditionalFormatting sqref="F68">
    <cfRule type="cellIs" dxfId="1769" priority="149" stopIfTrue="1" operator="equal">
      <formula>"E7"</formula>
    </cfRule>
    <cfRule type="cellIs" dxfId="1768" priority="150" stopIfTrue="1" operator="equal">
      <formula>"E7A"</formula>
    </cfRule>
  </conditionalFormatting>
  <conditionalFormatting sqref="B65:B68">
    <cfRule type="expression" dxfId="1767" priority="148">
      <formula>$B65="A"</formula>
    </cfRule>
  </conditionalFormatting>
  <conditionalFormatting sqref="F65">
    <cfRule type="cellIs" dxfId="1766" priority="146" stopIfTrue="1" operator="equal">
      <formula>"E7"</formula>
    </cfRule>
    <cfRule type="cellIs" dxfId="1765" priority="147" stopIfTrue="1" operator="equal">
      <formula>"E7A"</formula>
    </cfRule>
  </conditionalFormatting>
  <conditionalFormatting sqref="F66">
    <cfRule type="cellIs" dxfId="1764" priority="144" stopIfTrue="1" operator="equal">
      <formula>"E7"</formula>
    </cfRule>
    <cfRule type="cellIs" dxfId="1763" priority="145" stopIfTrue="1" operator="equal">
      <formula>"E7A"</formula>
    </cfRule>
  </conditionalFormatting>
  <conditionalFormatting sqref="F67">
    <cfRule type="cellIs" dxfId="1762" priority="142" stopIfTrue="1" operator="equal">
      <formula>"E7"</formula>
    </cfRule>
    <cfRule type="cellIs" dxfId="1761" priority="143" stopIfTrue="1" operator="equal">
      <formula>"E7A"</formula>
    </cfRule>
  </conditionalFormatting>
  <conditionalFormatting sqref="F52">
    <cfRule type="cellIs" dxfId="1760" priority="140" stopIfTrue="1" operator="equal">
      <formula>"E7"</formula>
    </cfRule>
    <cfRule type="cellIs" dxfId="1759" priority="141" stopIfTrue="1" operator="equal">
      <formula>"E7A"</formula>
    </cfRule>
  </conditionalFormatting>
  <conditionalFormatting sqref="F51">
    <cfRule type="cellIs" dxfId="1758" priority="138" stopIfTrue="1" operator="equal">
      <formula>"E7"</formula>
    </cfRule>
    <cfRule type="cellIs" dxfId="1757" priority="139" stopIfTrue="1" operator="equal">
      <formula>"E7A"</formula>
    </cfRule>
  </conditionalFormatting>
  <conditionalFormatting sqref="F50">
    <cfRule type="cellIs" dxfId="1756" priority="136" stopIfTrue="1" operator="equal">
      <formula>"E7"</formula>
    </cfRule>
    <cfRule type="cellIs" dxfId="1755" priority="137" stopIfTrue="1" operator="equal">
      <formula>"E7A"</formula>
    </cfRule>
  </conditionalFormatting>
  <conditionalFormatting sqref="F53">
    <cfRule type="cellIs" dxfId="1754" priority="134" stopIfTrue="1" operator="equal">
      <formula>"E7"</formula>
    </cfRule>
    <cfRule type="cellIs" dxfId="1753" priority="135" stopIfTrue="1" operator="equal">
      <formula>"E7A"</formula>
    </cfRule>
  </conditionalFormatting>
  <conditionalFormatting sqref="B50:B53">
    <cfRule type="expression" dxfId="1752" priority="133">
      <formula>$B50="A"</formula>
    </cfRule>
  </conditionalFormatting>
  <conditionalFormatting sqref="B54">
    <cfRule type="expression" dxfId="1751" priority="132">
      <formula>$B54="A"</formula>
    </cfRule>
  </conditionalFormatting>
  <conditionalFormatting sqref="F54">
    <cfRule type="cellIs" dxfId="1750" priority="130" stopIfTrue="1" operator="equal">
      <formula>"E7"</formula>
    </cfRule>
    <cfRule type="cellIs" dxfId="1749" priority="131" stopIfTrue="1" operator="equal">
      <formula>"E7A"</formula>
    </cfRule>
  </conditionalFormatting>
  <conditionalFormatting sqref="F58">
    <cfRule type="cellIs" dxfId="1748" priority="128" stopIfTrue="1" operator="equal">
      <formula>"E7"</formula>
    </cfRule>
    <cfRule type="cellIs" dxfId="1747" priority="129" stopIfTrue="1" operator="equal">
      <formula>"E7A"</formula>
    </cfRule>
  </conditionalFormatting>
  <conditionalFormatting sqref="F59">
    <cfRule type="cellIs" dxfId="1746" priority="126" stopIfTrue="1" operator="equal">
      <formula>"E7"</formula>
    </cfRule>
    <cfRule type="cellIs" dxfId="1745" priority="127" stopIfTrue="1" operator="equal">
      <formula>"E7A"</formula>
    </cfRule>
  </conditionalFormatting>
  <conditionalFormatting sqref="B55:B59">
    <cfRule type="expression" dxfId="1744" priority="125">
      <formula>$B55="A"</formula>
    </cfRule>
  </conditionalFormatting>
  <conditionalFormatting sqref="F55">
    <cfRule type="cellIs" dxfId="1743" priority="123" stopIfTrue="1" operator="equal">
      <formula>"E7"</formula>
    </cfRule>
    <cfRule type="cellIs" dxfId="1742" priority="124" stopIfTrue="1" operator="equal">
      <formula>"E7A"</formula>
    </cfRule>
  </conditionalFormatting>
  <conditionalFormatting sqref="F56">
    <cfRule type="cellIs" dxfId="1741" priority="121" stopIfTrue="1" operator="equal">
      <formula>"E7"</formula>
    </cfRule>
    <cfRule type="cellIs" dxfId="1740" priority="122" stopIfTrue="1" operator="equal">
      <formula>"E7A"</formula>
    </cfRule>
  </conditionalFormatting>
  <conditionalFormatting sqref="F57">
    <cfRule type="cellIs" dxfId="1739" priority="119" stopIfTrue="1" operator="equal">
      <formula>"E7"</formula>
    </cfRule>
    <cfRule type="cellIs" dxfId="1738" priority="120" stopIfTrue="1" operator="equal">
      <formula>"E7A"</formula>
    </cfRule>
  </conditionalFormatting>
  <conditionalFormatting sqref="F42">
    <cfRule type="cellIs" dxfId="1737" priority="117" stopIfTrue="1" operator="equal">
      <formula>"E7"</formula>
    </cfRule>
    <cfRule type="cellIs" dxfId="1736" priority="118" stopIfTrue="1" operator="equal">
      <formula>"E7A"</formula>
    </cfRule>
  </conditionalFormatting>
  <conditionalFormatting sqref="F29">
    <cfRule type="cellIs" dxfId="1735" priority="113" stopIfTrue="1" operator="equal">
      <formula>"E7"</formula>
    </cfRule>
    <cfRule type="cellIs" dxfId="1734" priority="114" stopIfTrue="1" operator="equal">
      <formula>"E7A"</formula>
    </cfRule>
  </conditionalFormatting>
  <conditionalFormatting sqref="F41">
    <cfRule type="cellIs" dxfId="1733" priority="115" stopIfTrue="1" operator="equal">
      <formula>"E7"</formula>
    </cfRule>
    <cfRule type="cellIs" dxfId="1732" priority="116" stopIfTrue="1" operator="equal">
      <formula>"E7A"</formula>
    </cfRule>
  </conditionalFormatting>
  <conditionalFormatting sqref="F40">
    <cfRule type="cellIs" dxfId="1731" priority="111" stopIfTrue="1" operator="equal">
      <formula>"E7"</formula>
    </cfRule>
    <cfRule type="cellIs" dxfId="1730" priority="112" stopIfTrue="1" operator="equal">
      <formula>"E7A"</formula>
    </cfRule>
  </conditionalFormatting>
  <conditionalFormatting sqref="F43">
    <cfRule type="cellIs" dxfId="1729" priority="109" stopIfTrue="1" operator="equal">
      <formula>"E7"</formula>
    </cfRule>
    <cfRule type="cellIs" dxfId="1728" priority="110" stopIfTrue="1" operator="equal">
      <formula>"E7A"</formula>
    </cfRule>
  </conditionalFormatting>
  <conditionalFormatting sqref="B40:B43 B29">
    <cfRule type="expression" dxfId="1727" priority="108">
      <formula>$B29="A"</formula>
    </cfRule>
  </conditionalFormatting>
  <conditionalFormatting sqref="B44">
    <cfRule type="expression" dxfId="1726" priority="107">
      <formula>$B44="A"</formula>
    </cfRule>
  </conditionalFormatting>
  <conditionalFormatting sqref="F44">
    <cfRule type="cellIs" dxfId="1725" priority="105" stopIfTrue="1" operator="equal">
      <formula>"E7"</formula>
    </cfRule>
    <cfRule type="cellIs" dxfId="1724" priority="106" stopIfTrue="1" operator="equal">
      <formula>"E7A"</formula>
    </cfRule>
  </conditionalFormatting>
  <conditionalFormatting sqref="F48">
    <cfRule type="cellIs" dxfId="1723" priority="103" stopIfTrue="1" operator="equal">
      <formula>"E7"</formula>
    </cfRule>
    <cfRule type="cellIs" dxfId="1722" priority="104" stopIfTrue="1" operator="equal">
      <formula>"E7A"</formula>
    </cfRule>
  </conditionalFormatting>
  <conditionalFormatting sqref="B45:B48">
    <cfRule type="expression" dxfId="1721" priority="102">
      <formula>$B45="A"</formula>
    </cfRule>
  </conditionalFormatting>
  <conditionalFormatting sqref="F45">
    <cfRule type="cellIs" dxfId="1720" priority="100" stopIfTrue="1" operator="equal">
      <formula>"E7"</formula>
    </cfRule>
    <cfRule type="cellIs" dxfId="1719" priority="101" stopIfTrue="1" operator="equal">
      <formula>"E7A"</formula>
    </cfRule>
  </conditionalFormatting>
  <conditionalFormatting sqref="F46">
    <cfRule type="cellIs" dxfId="1718" priority="98" stopIfTrue="1" operator="equal">
      <formula>"E7"</formula>
    </cfRule>
    <cfRule type="cellIs" dxfId="1717" priority="99" stopIfTrue="1" operator="equal">
      <formula>"E7A"</formula>
    </cfRule>
  </conditionalFormatting>
  <conditionalFormatting sqref="F47">
    <cfRule type="cellIs" dxfId="1716" priority="96" stopIfTrue="1" operator="equal">
      <formula>"E7"</formula>
    </cfRule>
    <cfRule type="cellIs" dxfId="1715" priority="97" stopIfTrue="1" operator="equal">
      <formula>"E7A"</formula>
    </cfRule>
  </conditionalFormatting>
  <conditionalFormatting sqref="F32">
    <cfRule type="cellIs" dxfId="1714" priority="94" stopIfTrue="1" operator="equal">
      <formula>"E7"</formula>
    </cfRule>
    <cfRule type="cellIs" dxfId="1713" priority="95" stopIfTrue="1" operator="equal">
      <formula>"E7A"</formula>
    </cfRule>
  </conditionalFormatting>
  <conditionalFormatting sqref="F31">
    <cfRule type="cellIs" dxfId="1712" priority="92" stopIfTrue="1" operator="equal">
      <formula>"E7"</formula>
    </cfRule>
    <cfRule type="cellIs" dxfId="1711" priority="93" stopIfTrue="1" operator="equal">
      <formula>"E7A"</formula>
    </cfRule>
  </conditionalFormatting>
  <conditionalFormatting sqref="F30">
    <cfRule type="cellIs" dxfId="1710" priority="90" stopIfTrue="1" operator="equal">
      <formula>"E7"</formula>
    </cfRule>
    <cfRule type="cellIs" dxfId="1709" priority="91" stopIfTrue="1" operator="equal">
      <formula>"E7A"</formula>
    </cfRule>
  </conditionalFormatting>
  <conditionalFormatting sqref="F33">
    <cfRule type="cellIs" dxfId="1708" priority="88" stopIfTrue="1" operator="equal">
      <formula>"E7"</formula>
    </cfRule>
    <cfRule type="cellIs" dxfId="1707" priority="89" stopIfTrue="1" operator="equal">
      <formula>"E7A"</formula>
    </cfRule>
  </conditionalFormatting>
  <conditionalFormatting sqref="B30:B33">
    <cfRule type="expression" dxfId="1706" priority="87">
      <formula>$B30="A"</formula>
    </cfRule>
  </conditionalFormatting>
  <conditionalFormatting sqref="B34">
    <cfRule type="expression" dxfId="1705" priority="86">
      <formula>$B34="A"</formula>
    </cfRule>
  </conditionalFormatting>
  <conditionalFormatting sqref="F34">
    <cfRule type="cellIs" dxfId="1704" priority="84" stopIfTrue="1" operator="equal">
      <formula>"E7"</formula>
    </cfRule>
    <cfRule type="cellIs" dxfId="1703" priority="85" stopIfTrue="1" operator="equal">
      <formula>"E7A"</formula>
    </cfRule>
  </conditionalFormatting>
  <conditionalFormatting sqref="F38">
    <cfRule type="cellIs" dxfId="1702" priority="82" stopIfTrue="1" operator="equal">
      <formula>"E7"</formula>
    </cfRule>
    <cfRule type="cellIs" dxfId="1701" priority="83" stopIfTrue="1" operator="equal">
      <formula>"E7A"</formula>
    </cfRule>
  </conditionalFormatting>
  <conditionalFormatting sqref="F39">
    <cfRule type="cellIs" dxfId="1700" priority="80" stopIfTrue="1" operator="equal">
      <formula>"E7"</formula>
    </cfRule>
    <cfRule type="cellIs" dxfId="1699" priority="81" stopIfTrue="1" operator="equal">
      <formula>"E7A"</formula>
    </cfRule>
  </conditionalFormatting>
  <conditionalFormatting sqref="B35:B39">
    <cfRule type="expression" dxfId="1698" priority="79">
      <formula>$B35="A"</formula>
    </cfRule>
  </conditionalFormatting>
  <conditionalFormatting sqref="F35">
    <cfRule type="cellIs" dxfId="1697" priority="77" stopIfTrue="1" operator="equal">
      <formula>"E7"</formula>
    </cfRule>
    <cfRule type="cellIs" dxfId="1696" priority="78" stopIfTrue="1" operator="equal">
      <formula>"E7A"</formula>
    </cfRule>
  </conditionalFormatting>
  <conditionalFormatting sqref="F36">
    <cfRule type="cellIs" dxfId="1695" priority="75" stopIfTrue="1" operator="equal">
      <formula>"E7"</formula>
    </cfRule>
    <cfRule type="cellIs" dxfId="1694" priority="76" stopIfTrue="1" operator="equal">
      <formula>"E7A"</formula>
    </cfRule>
  </conditionalFormatting>
  <conditionalFormatting sqref="F37">
    <cfRule type="cellIs" dxfId="1693" priority="73" stopIfTrue="1" operator="equal">
      <formula>"E7"</formula>
    </cfRule>
    <cfRule type="cellIs" dxfId="1692" priority="74" stopIfTrue="1" operator="equal">
      <formula>"E7A"</formula>
    </cfRule>
  </conditionalFormatting>
  <conditionalFormatting sqref="F22">
    <cfRule type="cellIs" dxfId="1691" priority="71" stopIfTrue="1" operator="equal">
      <formula>"E7"</formula>
    </cfRule>
    <cfRule type="cellIs" dxfId="1690" priority="72" stopIfTrue="1" operator="equal">
      <formula>"E7A"</formula>
    </cfRule>
  </conditionalFormatting>
  <conditionalFormatting sqref="F9">
    <cfRule type="cellIs" dxfId="1689" priority="67" stopIfTrue="1" operator="equal">
      <formula>"E7"</formula>
    </cfRule>
    <cfRule type="cellIs" dxfId="1688" priority="68" stopIfTrue="1" operator="equal">
      <formula>"E7A"</formula>
    </cfRule>
  </conditionalFormatting>
  <conditionalFormatting sqref="F21">
    <cfRule type="cellIs" dxfId="1687" priority="69" stopIfTrue="1" operator="equal">
      <formula>"E7"</formula>
    </cfRule>
    <cfRule type="cellIs" dxfId="1686" priority="70" stopIfTrue="1" operator="equal">
      <formula>"E7A"</formula>
    </cfRule>
  </conditionalFormatting>
  <conditionalFormatting sqref="F20">
    <cfRule type="cellIs" dxfId="1685" priority="65" stopIfTrue="1" operator="equal">
      <formula>"E7"</formula>
    </cfRule>
    <cfRule type="cellIs" dxfId="1684" priority="66" stopIfTrue="1" operator="equal">
      <formula>"E7A"</formula>
    </cfRule>
  </conditionalFormatting>
  <conditionalFormatting sqref="F23">
    <cfRule type="cellIs" dxfId="1683" priority="63" stopIfTrue="1" operator="equal">
      <formula>"E7"</formula>
    </cfRule>
    <cfRule type="cellIs" dxfId="1682" priority="64" stopIfTrue="1" operator="equal">
      <formula>"E7A"</formula>
    </cfRule>
  </conditionalFormatting>
  <conditionalFormatting sqref="B20:B23 B9">
    <cfRule type="expression" dxfId="1681" priority="62">
      <formula>$B9="A"</formula>
    </cfRule>
  </conditionalFormatting>
  <conditionalFormatting sqref="B24">
    <cfRule type="expression" dxfId="1680" priority="61">
      <formula>$B24="A"</formula>
    </cfRule>
  </conditionalFormatting>
  <conditionalFormatting sqref="F24">
    <cfRule type="cellIs" dxfId="1679" priority="59" stopIfTrue="1" operator="equal">
      <formula>"E7"</formula>
    </cfRule>
    <cfRule type="cellIs" dxfId="1678" priority="60" stopIfTrue="1" operator="equal">
      <formula>"E7A"</formula>
    </cfRule>
  </conditionalFormatting>
  <conditionalFormatting sqref="F28">
    <cfRule type="cellIs" dxfId="1677" priority="57" stopIfTrue="1" operator="equal">
      <formula>"E7"</formula>
    </cfRule>
    <cfRule type="cellIs" dxfId="1676" priority="58" stopIfTrue="1" operator="equal">
      <formula>"E7A"</formula>
    </cfRule>
  </conditionalFormatting>
  <conditionalFormatting sqref="B25:B28">
    <cfRule type="expression" dxfId="1675" priority="56">
      <formula>$B25="A"</formula>
    </cfRule>
  </conditionalFormatting>
  <conditionalFormatting sqref="F25">
    <cfRule type="cellIs" dxfId="1674" priority="54" stopIfTrue="1" operator="equal">
      <formula>"E7"</formula>
    </cfRule>
    <cfRule type="cellIs" dxfId="1673" priority="55" stopIfTrue="1" operator="equal">
      <formula>"E7A"</formula>
    </cfRule>
  </conditionalFormatting>
  <conditionalFormatting sqref="F26">
    <cfRule type="cellIs" dxfId="1672" priority="52" stopIfTrue="1" operator="equal">
      <formula>"E7"</formula>
    </cfRule>
    <cfRule type="cellIs" dxfId="1671" priority="53" stopIfTrue="1" operator="equal">
      <formula>"E7A"</formula>
    </cfRule>
  </conditionalFormatting>
  <conditionalFormatting sqref="F27">
    <cfRule type="cellIs" dxfId="1670" priority="50" stopIfTrue="1" operator="equal">
      <formula>"E7"</formula>
    </cfRule>
    <cfRule type="cellIs" dxfId="1669" priority="51" stopIfTrue="1" operator="equal">
      <formula>"E7A"</formula>
    </cfRule>
  </conditionalFormatting>
  <conditionalFormatting sqref="F12">
    <cfRule type="cellIs" dxfId="1668" priority="48" stopIfTrue="1" operator="equal">
      <formula>"E7"</formula>
    </cfRule>
    <cfRule type="cellIs" dxfId="1667" priority="49" stopIfTrue="1" operator="equal">
      <formula>"E7A"</formula>
    </cfRule>
  </conditionalFormatting>
  <conditionalFormatting sqref="F11">
    <cfRule type="cellIs" dxfId="1666" priority="46" stopIfTrue="1" operator="equal">
      <formula>"E7"</formula>
    </cfRule>
    <cfRule type="cellIs" dxfId="1665" priority="47" stopIfTrue="1" operator="equal">
      <formula>"E7A"</formula>
    </cfRule>
  </conditionalFormatting>
  <conditionalFormatting sqref="F10">
    <cfRule type="cellIs" dxfId="1664" priority="44" stopIfTrue="1" operator="equal">
      <formula>"E7"</formula>
    </cfRule>
    <cfRule type="cellIs" dxfId="1663" priority="45" stopIfTrue="1" operator="equal">
      <formula>"E7A"</formula>
    </cfRule>
  </conditionalFormatting>
  <conditionalFormatting sqref="F13">
    <cfRule type="cellIs" dxfId="1662" priority="42" stopIfTrue="1" operator="equal">
      <formula>"E7"</formula>
    </cfRule>
    <cfRule type="cellIs" dxfId="1661" priority="43" stopIfTrue="1" operator="equal">
      <formula>"E7A"</formula>
    </cfRule>
  </conditionalFormatting>
  <conditionalFormatting sqref="B10:B13">
    <cfRule type="expression" dxfId="1660" priority="41">
      <formula>$B10="A"</formula>
    </cfRule>
  </conditionalFormatting>
  <conditionalFormatting sqref="B14">
    <cfRule type="expression" dxfId="1659" priority="40">
      <formula>$B14="A"</formula>
    </cfRule>
  </conditionalFormatting>
  <conditionalFormatting sqref="F14">
    <cfRule type="cellIs" dxfId="1658" priority="38" stopIfTrue="1" operator="equal">
      <formula>"E7"</formula>
    </cfRule>
    <cfRule type="cellIs" dxfId="1657" priority="39" stopIfTrue="1" operator="equal">
      <formula>"E7A"</formula>
    </cfRule>
  </conditionalFormatting>
  <conditionalFormatting sqref="F18">
    <cfRule type="cellIs" dxfId="1656" priority="36" stopIfTrue="1" operator="equal">
      <formula>"E7"</formula>
    </cfRule>
    <cfRule type="cellIs" dxfId="1655" priority="37" stopIfTrue="1" operator="equal">
      <formula>"E7A"</formula>
    </cfRule>
  </conditionalFormatting>
  <conditionalFormatting sqref="F19">
    <cfRule type="cellIs" dxfId="1654" priority="34" stopIfTrue="1" operator="equal">
      <formula>"E7"</formula>
    </cfRule>
    <cfRule type="cellIs" dxfId="1653" priority="35" stopIfTrue="1" operator="equal">
      <formula>"E7A"</formula>
    </cfRule>
  </conditionalFormatting>
  <conditionalFormatting sqref="B15:B19">
    <cfRule type="expression" dxfId="1652" priority="33">
      <formula>$B15="A"</formula>
    </cfRule>
  </conditionalFormatting>
  <conditionalFormatting sqref="F15">
    <cfRule type="cellIs" dxfId="1651" priority="31" stopIfTrue="1" operator="equal">
      <formula>"E7"</formula>
    </cfRule>
    <cfRule type="cellIs" dxfId="1650" priority="32" stopIfTrue="1" operator="equal">
      <formula>"E7A"</formula>
    </cfRule>
  </conditionalFormatting>
  <conditionalFormatting sqref="F16">
    <cfRule type="cellIs" dxfId="1649" priority="29" stopIfTrue="1" operator="equal">
      <formula>"E7"</formula>
    </cfRule>
    <cfRule type="cellIs" dxfId="1648" priority="30" stopIfTrue="1" operator="equal">
      <formula>"E7A"</formula>
    </cfRule>
  </conditionalFormatting>
  <conditionalFormatting sqref="F17">
    <cfRule type="cellIs" dxfId="1647" priority="27" stopIfTrue="1" operator="equal">
      <formula>"E7"</formula>
    </cfRule>
    <cfRule type="cellIs" dxfId="1646" priority="28" stopIfTrue="1" operator="equal">
      <formula>"E7A"</formula>
    </cfRule>
  </conditionalFormatting>
  <conditionalFormatting sqref="H1:L1 AV1:FF1">
    <cfRule type="duplicateValues" dxfId="1645" priority="270"/>
  </conditionalFormatting>
  <conditionalFormatting sqref="I4:L4 AV4:FF4">
    <cfRule type="duplicateValues" dxfId="1644" priority="271"/>
  </conditionalFormatting>
  <conditionalFormatting sqref="H6">
    <cfRule type="expression" dxfId="1643" priority="272">
      <formula>H$294&gt;0</formula>
    </cfRule>
    <cfRule type="duplicateValues" dxfId="1642" priority="273"/>
  </conditionalFormatting>
  <conditionalFormatting sqref="AK6:AU6">
    <cfRule type="expression" dxfId="1641" priority="274">
      <formula>AK$294&gt;0</formula>
    </cfRule>
    <cfRule type="duplicateValues" dxfId="1640" priority="275"/>
  </conditionalFormatting>
  <conditionalFormatting sqref="Y6 AA6:AJ6">
    <cfRule type="expression" dxfId="1639" priority="276">
      <formula>Y$294&gt;0</formula>
    </cfRule>
    <cfRule type="duplicateValues" dxfId="1638" priority="277"/>
  </conditionalFormatting>
  <conditionalFormatting sqref="M6:N6 P6:X6">
    <cfRule type="expression" dxfId="1637" priority="278">
      <formula>M$294&gt;0</formula>
    </cfRule>
    <cfRule type="duplicateValues" dxfId="1636" priority="279"/>
  </conditionalFormatting>
  <conditionalFormatting sqref="I6:L6 AV6:FF6">
    <cfRule type="expression" dxfId="1635" priority="280">
      <formula>I$294&gt;0</formula>
    </cfRule>
    <cfRule type="duplicateValues" dxfId="1634" priority="281"/>
  </conditionalFormatting>
  <conditionalFormatting sqref="O6">
    <cfRule type="expression" dxfId="1633" priority="24">
      <formula>O293=0</formula>
    </cfRule>
  </conditionalFormatting>
  <conditionalFormatting sqref="O1">
    <cfRule type="duplicateValues" dxfId="1632" priority="23"/>
  </conditionalFormatting>
  <conditionalFormatting sqref="O1">
    <cfRule type="duplicateValues" dxfId="1631" priority="22"/>
  </conditionalFormatting>
  <conditionalFormatting sqref="O4">
    <cfRule type="duplicateValues" dxfId="1630" priority="21"/>
  </conditionalFormatting>
  <conditionalFormatting sqref="O6">
    <cfRule type="expression" dxfId="1629" priority="25">
      <formula>O$294&gt;0</formula>
    </cfRule>
    <cfRule type="duplicateValues" dxfId="1628" priority="26"/>
  </conditionalFormatting>
  <conditionalFormatting sqref="Z6">
    <cfRule type="expression" dxfId="1627" priority="18">
      <formula>Z293=0</formula>
    </cfRule>
  </conditionalFormatting>
  <conditionalFormatting sqref="Z1">
    <cfRule type="duplicateValues" dxfId="1626" priority="17"/>
  </conditionalFormatting>
  <conditionalFormatting sqref="Z4">
    <cfRule type="duplicateValues" dxfId="1625" priority="16"/>
  </conditionalFormatting>
  <conditionalFormatting sqref="Z6">
    <cfRule type="expression" dxfId="1624" priority="19">
      <formula>Z$294&gt;0</formula>
    </cfRule>
    <cfRule type="duplicateValues" dxfId="1623" priority="20"/>
  </conditionalFormatting>
  <conditionalFormatting sqref="F107">
    <cfRule type="cellIs" dxfId="1622" priority="14" stopIfTrue="1" operator="equal">
      <formula>"E7"</formula>
    </cfRule>
    <cfRule type="cellIs" dxfId="1621" priority="15" stopIfTrue="1" operator="equal">
      <formula>"E7A"</formula>
    </cfRule>
  </conditionalFormatting>
  <conditionalFormatting sqref="F106">
    <cfRule type="cellIs" dxfId="1620" priority="12" stopIfTrue="1" operator="equal">
      <formula>"E7"</formula>
    </cfRule>
    <cfRule type="cellIs" dxfId="1619" priority="13" stopIfTrue="1" operator="equal">
      <formula>"E7A"</formula>
    </cfRule>
  </conditionalFormatting>
  <conditionalFormatting sqref="B106:B107">
    <cfRule type="expression" dxfId="1618" priority="11">
      <formula>$B106="A"</formula>
    </cfRule>
  </conditionalFormatting>
  <conditionalFormatting sqref="B108:B109">
    <cfRule type="expression" dxfId="1617" priority="6">
      <formula>$B108="A"</formula>
    </cfRule>
  </conditionalFormatting>
  <conditionalFormatting sqref="F109">
    <cfRule type="cellIs" dxfId="1616" priority="9" stopIfTrue="1" operator="equal">
      <formula>"E7"</formula>
    </cfRule>
    <cfRule type="cellIs" dxfId="1615" priority="10" stopIfTrue="1" operator="equal">
      <formula>"E7A"</formula>
    </cfRule>
  </conditionalFormatting>
  <conditionalFormatting sqref="F108">
    <cfRule type="cellIs" dxfId="1614" priority="7" stopIfTrue="1" operator="equal">
      <formula>"E7"</formula>
    </cfRule>
    <cfRule type="cellIs" dxfId="1613" priority="8" stopIfTrue="1" operator="equal">
      <formula>"E7A"</formula>
    </cfRule>
  </conditionalFormatting>
  <conditionalFormatting sqref="F111">
    <cfRule type="cellIs" dxfId="1612" priority="4" stopIfTrue="1" operator="equal">
      <formula>"E7"</formula>
    </cfRule>
    <cfRule type="cellIs" dxfId="1611" priority="5" stopIfTrue="1" operator="equal">
      <formula>"E7A"</formula>
    </cfRule>
  </conditionalFormatting>
  <conditionalFormatting sqref="F112">
    <cfRule type="cellIs" dxfId="1610" priority="2" stopIfTrue="1" operator="equal">
      <formula>"E7"</formula>
    </cfRule>
    <cfRule type="cellIs" dxfId="1609" priority="3" stopIfTrue="1" operator="equal">
      <formula>"E7A"</formula>
    </cfRule>
  </conditionalFormatting>
  <conditionalFormatting sqref="B111:B112">
    <cfRule type="expression" dxfId="1608" priority="1">
      <formula>$B111="A"</formula>
    </cfRule>
  </conditionalFormatting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FM118"/>
  <sheetViews>
    <sheetView workbookViewId="0">
      <pane xSplit="7" ySplit="6" topLeftCell="Z97" activePane="bottomRight" state="frozen"/>
      <selection pane="topRight" activeCell="H1" sqref="H1"/>
      <selection pane="bottomLeft" activeCell="A7" sqref="A7"/>
      <selection pane="bottomRight" activeCell="AC124" sqref="AC124"/>
    </sheetView>
  </sheetViews>
  <sheetFormatPr defaultRowHeight="10.199999999999999"/>
  <cols>
    <col min="1" max="4" width="8.88671875" style="273"/>
    <col min="5" max="5" width="13.44140625" style="273" bestFit="1" customWidth="1"/>
    <col min="6" max="16384" width="8.88671875" style="273"/>
  </cols>
  <sheetData>
    <row r="1" spans="1:169" ht="11.4">
      <c r="A1" s="220"/>
      <c r="B1" s="221"/>
      <c r="C1" s="221"/>
      <c r="D1" s="222"/>
      <c r="E1" s="223"/>
      <c r="F1" s="223"/>
      <c r="G1" s="229" t="s">
        <v>875</v>
      </c>
      <c r="H1" s="223"/>
      <c r="I1" s="223"/>
      <c r="J1" s="223"/>
      <c r="K1" s="223"/>
      <c r="L1" s="223"/>
      <c r="M1" s="223"/>
      <c r="N1" s="223"/>
      <c r="O1" s="223"/>
      <c r="P1" s="223"/>
      <c r="Q1" s="223"/>
      <c r="R1" s="223"/>
      <c r="S1" s="223"/>
      <c r="T1" s="223"/>
      <c r="U1" s="223"/>
      <c r="V1" s="223"/>
      <c r="W1" s="223"/>
      <c r="X1" s="223"/>
      <c r="Y1" s="223"/>
      <c r="Z1" s="223"/>
      <c r="AA1" s="223"/>
      <c r="AB1" s="223"/>
      <c r="AC1" s="223"/>
      <c r="AD1" s="223"/>
      <c r="AE1" s="223"/>
      <c r="AF1" s="223"/>
      <c r="AG1" s="223"/>
      <c r="AH1" s="223"/>
      <c r="AI1" s="223"/>
      <c r="AJ1" s="223"/>
      <c r="AK1" s="223"/>
      <c r="AL1" s="223"/>
      <c r="AM1" s="223"/>
      <c r="AN1" s="223"/>
      <c r="AO1" s="223"/>
      <c r="AP1" s="223"/>
      <c r="AQ1" s="223"/>
      <c r="AR1" s="223"/>
      <c r="AS1" s="223"/>
      <c r="AT1" s="223"/>
      <c r="AU1" s="223"/>
      <c r="AV1" s="223"/>
      <c r="AW1" s="223"/>
      <c r="AX1" s="223"/>
      <c r="AY1" s="223"/>
      <c r="AZ1" s="223"/>
      <c r="BA1" s="223"/>
      <c r="BB1" s="223"/>
      <c r="BC1" s="223"/>
      <c r="BD1" s="223"/>
      <c r="BE1" s="223"/>
      <c r="BF1" s="223"/>
      <c r="BG1" s="223"/>
      <c r="BH1" s="223"/>
      <c r="BI1" s="223"/>
      <c r="BJ1" s="223"/>
      <c r="BK1" s="223"/>
      <c r="BL1" s="223"/>
      <c r="BM1" s="223"/>
      <c r="BN1" s="223"/>
      <c r="BO1" s="223"/>
      <c r="BP1" s="223"/>
      <c r="BQ1" s="223"/>
      <c r="BR1" s="223"/>
      <c r="BS1" s="223"/>
      <c r="BT1" s="223"/>
      <c r="BU1" s="223"/>
      <c r="BV1" s="223"/>
      <c r="BW1" s="223"/>
      <c r="BX1" s="223"/>
      <c r="BY1" s="223"/>
      <c r="BZ1" s="223"/>
      <c r="CA1" s="223"/>
      <c r="CB1" s="223"/>
      <c r="CC1" s="223"/>
      <c r="CD1" s="223"/>
      <c r="CE1" s="223"/>
      <c r="CF1" s="223"/>
      <c r="CG1" s="223"/>
      <c r="CH1" s="223"/>
      <c r="CI1" s="223"/>
      <c r="CJ1" s="223"/>
      <c r="CK1" s="223"/>
      <c r="CL1" s="223"/>
      <c r="CM1" s="223"/>
      <c r="CN1" s="223"/>
      <c r="CO1" s="223"/>
      <c r="CP1" s="223"/>
      <c r="CQ1" s="223"/>
      <c r="CR1" s="223"/>
      <c r="CS1" s="223"/>
      <c r="CT1" s="223"/>
      <c r="CU1" s="223"/>
      <c r="CV1" s="223"/>
      <c r="CW1" s="223"/>
      <c r="CX1" s="223"/>
      <c r="CY1" s="223"/>
      <c r="CZ1" s="223"/>
      <c r="DA1" s="223"/>
      <c r="DB1" s="223"/>
      <c r="DC1" s="223"/>
      <c r="DD1" s="223"/>
      <c r="DE1" s="223"/>
      <c r="DF1" s="223"/>
      <c r="DG1" s="223"/>
      <c r="DH1" s="223"/>
      <c r="DI1" s="223"/>
      <c r="DJ1" s="223"/>
      <c r="DK1" s="223"/>
      <c r="DL1" s="223"/>
      <c r="DM1" s="223"/>
      <c r="DN1" s="223"/>
      <c r="DO1" s="223"/>
      <c r="DP1" s="223"/>
      <c r="DQ1" s="223"/>
      <c r="DR1" s="223"/>
      <c r="DS1" s="223"/>
      <c r="DT1" s="223"/>
      <c r="DU1" s="223"/>
      <c r="DV1" s="223"/>
      <c r="DW1" s="223"/>
      <c r="DX1" s="223"/>
      <c r="DY1" s="223"/>
      <c r="DZ1" s="223"/>
      <c r="EA1" s="223"/>
      <c r="EB1" s="223"/>
      <c r="EC1" s="223"/>
      <c r="ED1" s="223"/>
      <c r="EE1" s="223"/>
      <c r="EF1" s="223"/>
      <c r="EG1" s="223"/>
      <c r="EH1" s="223"/>
      <c r="EI1" s="223"/>
      <c r="EJ1" s="223"/>
      <c r="EK1" s="223"/>
      <c r="EL1" s="223"/>
      <c r="EM1" s="223"/>
      <c r="EN1" s="223"/>
      <c r="EO1" s="223"/>
      <c r="EP1" s="223"/>
      <c r="EQ1" s="223"/>
      <c r="ER1" s="223"/>
      <c r="ES1" s="223"/>
      <c r="ET1" s="223"/>
      <c r="EU1" s="223"/>
      <c r="EV1" s="223"/>
      <c r="EW1" s="223"/>
      <c r="EX1" s="223"/>
      <c r="EY1" s="223"/>
      <c r="EZ1" s="223"/>
      <c r="FA1" s="223"/>
      <c r="FB1" s="223"/>
      <c r="FC1" s="223"/>
      <c r="FD1" s="223"/>
      <c r="FE1" s="223"/>
      <c r="FF1" s="223"/>
      <c r="FG1" s="275"/>
      <c r="FH1" s="297"/>
      <c r="FI1" s="226"/>
      <c r="FJ1" s="221"/>
      <c r="FK1" s="221"/>
      <c r="FL1" s="221"/>
      <c r="FM1" s="221"/>
    </row>
    <row r="2" spans="1:169" ht="11.4">
      <c r="A2" s="227"/>
      <c r="B2" s="228"/>
      <c r="C2" s="228"/>
      <c r="D2" s="228"/>
      <c r="E2" s="229"/>
      <c r="F2" s="229"/>
      <c r="G2" s="229" t="s">
        <v>876</v>
      </c>
      <c r="H2" s="230" t="s">
        <v>1</v>
      </c>
      <c r="I2" s="230" t="s">
        <v>291</v>
      </c>
      <c r="J2" s="230" t="s">
        <v>293</v>
      </c>
      <c r="K2" s="230" t="s">
        <v>291</v>
      </c>
      <c r="L2" s="230" t="s">
        <v>1</v>
      </c>
      <c r="M2" s="230" t="s">
        <v>1</v>
      </c>
      <c r="N2" s="230" t="s">
        <v>291</v>
      </c>
      <c r="O2" s="230" t="s">
        <v>1</v>
      </c>
      <c r="P2" s="230" t="s">
        <v>1</v>
      </c>
      <c r="Q2" s="230" t="s">
        <v>291</v>
      </c>
      <c r="R2" s="230" t="s">
        <v>291</v>
      </c>
      <c r="S2" s="230" t="s">
        <v>1</v>
      </c>
      <c r="T2" s="230" t="s">
        <v>291</v>
      </c>
      <c r="U2" s="230" t="s">
        <v>1</v>
      </c>
      <c r="V2" s="230" t="s">
        <v>1</v>
      </c>
      <c r="W2" s="230" t="s">
        <v>1</v>
      </c>
      <c r="X2" s="230" t="s">
        <v>1</v>
      </c>
      <c r="Y2" s="230" t="s">
        <v>1</v>
      </c>
      <c r="Z2" s="230" t="s">
        <v>1</v>
      </c>
      <c r="AA2" s="230" t="s">
        <v>1</v>
      </c>
      <c r="AB2" s="230" t="s">
        <v>1</v>
      </c>
      <c r="AC2" s="230" t="s">
        <v>1</v>
      </c>
      <c r="AD2" s="230" t="s">
        <v>1</v>
      </c>
      <c r="AE2" s="231" t="s">
        <v>773</v>
      </c>
      <c r="AF2" s="230" t="s">
        <v>1</v>
      </c>
      <c r="AG2" s="230" t="s">
        <v>291</v>
      </c>
      <c r="AH2" s="231" t="s">
        <v>772</v>
      </c>
      <c r="AI2" s="231" t="s">
        <v>777</v>
      </c>
      <c r="AJ2" s="230" t="s">
        <v>1</v>
      </c>
      <c r="AK2" s="230" t="s">
        <v>1</v>
      </c>
      <c r="AL2" s="230" t="s">
        <v>1</v>
      </c>
      <c r="AM2" s="231" t="s">
        <v>773</v>
      </c>
      <c r="AN2" s="230" t="s">
        <v>1</v>
      </c>
      <c r="AO2" s="231" t="s">
        <v>772</v>
      </c>
      <c r="AP2" s="230" t="s">
        <v>291</v>
      </c>
      <c r="AQ2" s="230" t="s">
        <v>291</v>
      </c>
      <c r="AR2" s="230" t="s">
        <v>1</v>
      </c>
      <c r="AS2" s="231" t="s">
        <v>774</v>
      </c>
      <c r="AT2" s="231" t="s">
        <v>776</v>
      </c>
      <c r="AU2" s="230" t="s">
        <v>1</v>
      </c>
      <c r="AV2" s="230" t="s">
        <v>1</v>
      </c>
      <c r="AW2" s="231" t="s">
        <v>776</v>
      </c>
      <c r="AX2" s="230" t="s">
        <v>291</v>
      </c>
      <c r="AY2" s="230" t="s">
        <v>291</v>
      </c>
      <c r="AZ2" s="231" t="s">
        <v>773</v>
      </c>
      <c r="BA2" s="230" t="s">
        <v>1</v>
      </c>
      <c r="BB2" s="230" t="s">
        <v>1</v>
      </c>
      <c r="BC2" s="230" t="s">
        <v>1</v>
      </c>
      <c r="BD2" s="231" t="s">
        <v>775</v>
      </c>
      <c r="BE2" s="230" t="s">
        <v>1</v>
      </c>
      <c r="BF2" s="230" t="s">
        <v>1</v>
      </c>
      <c r="BG2" s="230" t="s">
        <v>1</v>
      </c>
      <c r="BH2" s="230" t="s">
        <v>1</v>
      </c>
      <c r="BI2" s="230" t="s">
        <v>1</v>
      </c>
      <c r="BJ2" s="230" t="s">
        <v>1</v>
      </c>
      <c r="BK2" s="230" t="s">
        <v>1</v>
      </c>
      <c r="BL2" s="230" t="s">
        <v>1</v>
      </c>
      <c r="BM2" s="230" t="s">
        <v>1</v>
      </c>
      <c r="BN2" s="230" t="s">
        <v>1</v>
      </c>
      <c r="BO2" s="230" t="s">
        <v>1</v>
      </c>
      <c r="BP2" s="231" t="s">
        <v>776</v>
      </c>
      <c r="BQ2" s="230" t="s">
        <v>1</v>
      </c>
      <c r="BR2" s="230" t="s">
        <v>1</v>
      </c>
      <c r="BS2" s="230" t="s">
        <v>1</v>
      </c>
      <c r="BT2" s="231" t="s">
        <v>776</v>
      </c>
      <c r="BU2" s="230" t="s">
        <v>1</v>
      </c>
      <c r="BV2" s="230" t="s">
        <v>1</v>
      </c>
      <c r="BW2" s="230" t="s">
        <v>1</v>
      </c>
      <c r="BX2" s="230" t="s">
        <v>1</v>
      </c>
      <c r="BY2" s="230" t="s">
        <v>1</v>
      </c>
      <c r="BZ2" s="230" t="s">
        <v>1</v>
      </c>
      <c r="CA2" s="230" t="s">
        <v>1</v>
      </c>
      <c r="CB2" s="230" t="s">
        <v>1</v>
      </c>
      <c r="CC2" s="230" t="s">
        <v>1</v>
      </c>
      <c r="CD2" s="230" t="s">
        <v>1</v>
      </c>
      <c r="CE2" s="230" t="s">
        <v>1</v>
      </c>
      <c r="CF2" s="231" t="s">
        <v>776</v>
      </c>
      <c r="CG2" s="231" t="s">
        <v>776</v>
      </c>
      <c r="CH2" s="230" t="s">
        <v>1</v>
      </c>
      <c r="CI2" s="230" t="s">
        <v>1</v>
      </c>
      <c r="CJ2" s="230" t="s">
        <v>1</v>
      </c>
      <c r="CK2" s="230" t="s">
        <v>1</v>
      </c>
      <c r="CL2" s="230" t="s">
        <v>1</v>
      </c>
      <c r="CM2" s="230" t="s">
        <v>1</v>
      </c>
      <c r="CN2" s="231" t="s">
        <v>777</v>
      </c>
      <c r="CO2" s="230" t="s">
        <v>1</v>
      </c>
      <c r="CP2" s="230" t="s">
        <v>1</v>
      </c>
      <c r="CQ2" s="230" t="s">
        <v>1</v>
      </c>
      <c r="CR2" s="230" t="s">
        <v>1</v>
      </c>
      <c r="CS2" s="230" t="s">
        <v>1</v>
      </c>
      <c r="CT2" s="230" t="s">
        <v>1</v>
      </c>
      <c r="CU2" s="230" t="s">
        <v>1</v>
      </c>
      <c r="CV2" s="230" t="s">
        <v>1</v>
      </c>
      <c r="CW2" s="230" t="s">
        <v>1</v>
      </c>
      <c r="CX2" s="230" t="s">
        <v>1</v>
      </c>
      <c r="CY2" s="230" t="s">
        <v>1</v>
      </c>
      <c r="CZ2" s="230" t="s">
        <v>1</v>
      </c>
      <c r="DA2" s="230" t="s">
        <v>1</v>
      </c>
      <c r="DB2" s="230" t="s">
        <v>1</v>
      </c>
      <c r="DC2" s="230" t="s">
        <v>1</v>
      </c>
      <c r="DD2" s="230" t="s">
        <v>1</v>
      </c>
      <c r="DE2" s="230" t="s">
        <v>1</v>
      </c>
      <c r="DF2" s="231" t="s">
        <v>777</v>
      </c>
      <c r="DG2" s="231" t="s">
        <v>777</v>
      </c>
      <c r="DH2" s="231" t="s">
        <v>777</v>
      </c>
      <c r="DI2" s="231" t="s">
        <v>777</v>
      </c>
      <c r="DJ2" s="231" t="s">
        <v>777</v>
      </c>
      <c r="DK2" s="230" t="s">
        <v>1</v>
      </c>
      <c r="DL2" s="230" t="s">
        <v>1</v>
      </c>
      <c r="DM2" s="230" t="s">
        <v>1</v>
      </c>
      <c r="DN2" s="230" t="s">
        <v>1</v>
      </c>
      <c r="DO2" s="230" t="s">
        <v>1</v>
      </c>
      <c r="DP2" s="230" t="s">
        <v>291</v>
      </c>
      <c r="DQ2" s="231" t="s">
        <v>772</v>
      </c>
      <c r="DR2" s="231" t="s">
        <v>775</v>
      </c>
      <c r="DS2" s="230" t="s">
        <v>1</v>
      </c>
      <c r="DT2" s="230" t="s">
        <v>291</v>
      </c>
      <c r="DU2" s="230" t="s">
        <v>291</v>
      </c>
      <c r="DV2" s="230" t="s">
        <v>291</v>
      </c>
      <c r="DW2" s="230" t="s">
        <v>1</v>
      </c>
      <c r="DX2" s="230" t="s">
        <v>1</v>
      </c>
      <c r="DY2" s="230" t="s">
        <v>1</v>
      </c>
      <c r="DZ2" s="230" t="s">
        <v>1</v>
      </c>
      <c r="EA2" s="230" t="s">
        <v>1</v>
      </c>
      <c r="EB2" s="230" t="s">
        <v>1</v>
      </c>
      <c r="EC2" s="230" t="s">
        <v>1</v>
      </c>
      <c r="ED2" s="230" t="s">
        <v>1</v>
      </c>
      <c r="EE2" s="230" t="s">
        <v>1</v>
      </c>
      <c r="EF2" s="230" t="s">
        <v>1</v>
      </c>
      <c r="EG2" s="230" t="s">
        <v>1</v>
      </c>
      <c r="EH2" s="230" t="s">
        <v>1</v>
      </c>
      <c r="EI2" s="230" t="s">
        <v>1</v>
      </c>
      <c r="EJ2" s="230" t="s">
        <v>1</v>
      </c>
      <c r="EK2" s="230" t="s">
        <v>1</v>
      </c>
      <c r="EL2" s="230" t="s">
        <v>1</v>
      </c>
      <c r="EM2" s="230" t="s">
        <v>1</v>
      </c>
      <c r="EN2" s="230" t="s">
        <v>293</v>
      </c>
      <c r="EO2" s="230" t="s">
        <v>1</v>
      </c>
      <c r="EP2" s="230" t="s">
        <v>1</v>
      </c>
      <c r="EQ2" s="230" t="s">
        <v>1</v>
      </c>
      <c r="ER2" s="230" t="s">
        <v>293</v>
      </c>
      <c r="ES2" s="230" t="s">
        <v>1</v>
      </c>
      <c r="ET2" s="230" t="s">
        <v>1</v>
      </c>
      <c r="EU2" s="230" t="s">
        <v>1</v>
      </c>
      <c r="EV2" s="230" t="s">
        <v>293</v>
      </c>
      <c r="EW2" s="230" t="s">
        <v>1</v>
      </c>
      <c r="EX2" s="230" t="s">
        <v>1</v>
      </c>
      <c r="EY2" s="230" t="s">
        <v>1</v>
      </c>
      <c r="EZ2" s="230" t="s">
        <v>293</v>
      </c>
      <c r="FA2" s="230" t="s">
        <v>1</v>
      </c>
      <c r="FB2" s="230" t="s">
        <v>291</v>
      </c>
      <c r="FC2" s="230" t="s">
        <v>1</v>
      </c>
      <c r="FD2" s="230" t="s">
        <v>1</v>
      </c>
      <c r="FE2" s="230" t="s">
        <v>1</v>
      </c>
      <c r="FF2" s="230" t="s">
        <v>1</v>
      </c>
      <c r="FG2" s="275"/>
      <c r="FH2" s="298"/>
      <c r="FI2" s="233"/>
      <c r="FJ2" s="228"/>
      <c r="FK2" s="228"/>
      <c r="FL2" s="228"/>
      <c r="FM2" s="228"/>
    </row>
    <row r="3" spans="1:169">
      <c r="A3" s="227"/>
      <c r="B3" s="228"/>
      <c r="C3" s="228"/>
      <c r="D3" s="228"/>
      <c r="E3" s="229"/>
      <c r="F3" s="229"/>
      <c r="G3" s="229" t="s">
        <v>296</v>
      </c>
      <c r="H3" s="230">
        <v>20</v>
      </c>
      <c r="I3" s="230">
        <v>20</v>
      </c>
      <c r="J3" s="230">
        <v>20</v>
      </c>
      <c r="K3" s="230">
        <v>20</v>
      </c>
      <c r="L3" s="230">
        <v>20</v>
      </c>
      <c r="M3" s="230">
        <v>20</v>
      </c>
      <c r="N3" s="230">
        <v>20</v>
      </c>
      <c r="O3" s="230">
        <v>20</v>
      </c>
      <c r="P3" s="230">
        <v>20</v>
      </c>
      <c r="Q3" s="230">
        <v>20</v>
      </c>
      <c r="R3" s="230">
        <v>10</v>
      </c>
      <c r="S3" s="230">
        <v>20</v>
      </c>
      <c r="T3" s="230">
        <v>20</v>
      </c>
      <c r="U3" s="230">
        <v>20</v>
      </c>
      <c r="V3" s="230">
        <v>20</v>
      </c>
      <c r="W3" s="230">
        <v>10</v>
      </c>
      <c r="X3" s="230">
        <v>10</v>
      </c>
      <c r="Y3" s="230">
        <v>20</v>
      </c>
      <c r="Z3" s="230">
        <v>20</v>
      </c>
      <c r="AA3" s="230">
        <v>10</v>
      </c>
      <c r="AB3" s="230">
        <v>20</v>
      </c>
      <c r="AC3" s="230">
        <v>20</v>
      </c>
      <c r="AD3" s="230">
        <v>20</v>
      </c>
      <c r="AE3" s="230">
        <v>20</v>
      </c>
      <c r="AF3" s="230">
        <v>20</v>
      </c>
      <c r="AG3" s="230">
        <v>20</v>
      </c>
      <c r="AH3" s="230">
        <v>10</v>
      </c>
      <c r="AI3" s="230">
        <v>10</v>
      </c>
      <c r="AJ3" s="230">
        <v>10</v>
      </c>
      <c r="AK3" s="230">
        <v>10</v>
      </c>
      <c r="AL3" s="230">
        <v>20</v>
      </c>
      <c r="AM3" s="230">
        <v>10</v>
      </c>
      <c r="AN3" s="230">
        <v>10</v>
      </c>
      <c r="AO3" s="230">
        <v>10</v>
      </c>
      <c r="AP3" s="230">
        <v>10</v>
      </c>
      <c r="AQ3" s="230">
        <v>10</v>
      </c>
      <c r="AR3" s="230">
        <v>20</v>
      </c>
      <c r="AS3" s="230">
        <v>20</v>
      </c>
      <c r="AT3" s="230">
        <v>10</v>
      </c>
      <c r="AU3" s="230">
        <v>10</v>
      </c>
      <c r="AV3" s="230">
        <v>20</v>
      </c>
      <c r="AW3" s="230">
        <v>20</v>
      </c>
      <c r="AX3" s="230">
        <v>10</v>
      </c>
      <c r="AY3" s="230">
        <v>10</v>
      </c>
      <c r="AZ3" s="230">
        <v>10</v>
      </c>
      <c r="BA3" s="230">
        <v>10</v>
      </c>
      <c r="BB3" s="230">
        <v>20</v>
      </c>
      <c r="BC3" s="230">
        <v>20</v>
      </c>
      <c r="BD3" s="230">
        <v>10</v>
      </c>
      <c r="BE3" s="230">
        <v>10</v>
      </c>
      <c r="BF3" s="230">
        <v>10</v>
      </c>
      <c r="BG3" s="230">
        <v>10</v>
      </c>
      <c r="BH3" s="230">
        <v>10</v>
      </c>
      <c r="BI3" s="230">
        <v>5</v>
      </c>
      <c r="BJ3" s="230">
        <v>10</v>
      </c>
      <c r="BK3" s="230">
        <v>10</v>
      </c>
      <c r="BL3" s="230">
        <v>10</v>
      </c>
      <c r="BM3" s="230">
        <v>10</v>
      </c>
      <c r="BN3" s="230">
        <v>10</v>
      </c>
      <c r="BO3" s="230">
        <v>10</v>
      </c>
      <c r="BP3" s="230">
        <v>10</v>
      </c>
      <c r="BQ3" s="230">
        <v>10</v>
      </c>
      <c r="BR3" s="230">
        <v>10</v>
      </c>
      <c r="BS3" s="230">
        <v>10</v>
      </c>
      <c r="BT3" s="230">
        <v>10</v>
      </c>
      <c r="BU3" s="230">
        <v>10</v>
      </c>
      <c r="BV3" s="230">
        <v>5</v>
      </c>
      <c r="BW3" s="230">
        <v>10</v>
      </c>
      <c r="BX3" s="230">
        <v>10</v>
      </c>
      <c r="BY3" s="230">
        <v>10</v>
      </c>
      <c r="BZ3" s="230">
        <v>10</v>
      </c>
      <c r="CA3" s="230">
        <v>10</v>
      </c>
      <c r="CB3" s="230">
        <v>10</v>
      </c>
      <c r="CC3" s="230">
        <v>5</v>
      </c>
      <c r="CD3" s="230">
        <v>10</v>
      </c>
      <c r="CE3" s="230">
        <v>10</v>
      </c>
      <c r="CF3" s="230">
        <v>10</v>
      </c>
      <c r="CG3" s="230">
        <v>10</v>
      </c>
      <c r="CH3" s="230">
        <v>5</v>
      </c>
      <c r="CI3" s="230">
        <v>4</v>
      </c>
      <c r="CJ3" s="230">
        <v>5</v>
      </c>
      <c r="CK3" s="230">
        <v>5</v>
      </c>
      <c r="CL3" s="230">
        <v>10</v>
      </c>
      <c r="CM3" s="230">
        <v>10</v>
      </c>
      <c r="CN3" s="230">
        <v>10</v>
      </c>
      <c r="CO3" s="230">
        <v>10</v>
      </c>
      <c r="CP3" s="230">
        <v>1</v>
      </c>
      <c r="CQ3" s="230">
        <v>1</v>
      </c>
      <c r="CR3" s="230">
        <v>1</v>
      </c>
      <c r="CS3" s="230">
        <v>1</v>
      </c>
      <c r="CT3" s="230">
        <v>1</v>
      </c>
      <c r="CU3" s="230">
        <v>1</v>
      </c>
      <c r="CV3" s="230">
        <v>1</v>
      </c>
      <c r="CW3" s="230">
        <v>10</v>
      </c>
      <c r="CX3" s="230">
        <v>10</v>
      </c>
      <c r="CY3" s="230">
        <v>5</v>
      </c>
      <c r="CZ3" s="230">
        <v>4</v>
      </c>
      <c r="DA3" s="230">
        <v>5</v>
      </c>
      <c r="DB3" s="230">
        <v>5</v>
      </c>
      <c r="DC3" s="230">
        <v>10</v>
      </c>
      <c r="DD3" s="230">
        <v>10</v>
      </c>
      <c r="DE3" s="230">
        <v>10</v>
      </c>
      <c r="DF3" s="230">
        <v>1</v>
      </c>
      <c r="DG3" s="230">
        <v>1</v>
      </c>
      <c r="DH3" s="230">
        <v>1</v>
      </c>
      <c r="DI3" s="230">
        <v>1</v>
      </c>
      <c r="DJ3" s="230">
        <v>1</v>
      </c>
      <c r="DK3" s="230">
        <v>10</v>
      </c>
      <c r="DL3" s="230">
        <v>5</v>
      </c>
      <c r="DM3" s="230">
        <v>10</v>
      </c>
      <c r="DN3" s="230" t="s">
        <v>206</v>
      </c>
      <c r="DO3" s="230" t="s">
        <v>206</v>
      </c>
      <c r="DP3" s="230">
        <v>30</v>
      </c>
      <c r="DQ3" s="230">
        <v>20</v>
      </c>
      <c r="DR3" s="230">
        <v>30</v>
      </c>
      <c r="DS3" s="230">
        <v>30</v>
      </c>
      <c r="DT3" s="230">
        <v>30</v>
      </c>
      <c r="DU3" s="230">
        <v>20</v>
      </c>
      <c r="DV3" s="230">
        <v>30</v>
      </c>
      <c r="DW3" s="230">
        <v>10</v>
      </c>
      <c r="DX3" s="230">
        <v>10</v>
      </c>
      <c r="DY3" s="230">
        <v>10</v>
      </c>
      <c r="DZ3" s="230">
        <v>10</v>
      </c>
      <c r="EA3" s="230">
        <v>10</v>
      </c>
      <c r="EB3" s="230">
        <v>10</v>
      </c>
      <c r="EC3" s="230">
        <v>10</v>
      </c>
      <c r="ED3" s="230">
        <v>10</v>
      </c>
      <c r="EE3" s="230">
        <v>10</v>
      </c>
      <c r="EF3" s="230">
        <v>10</v>
      </c>
      <c r="EG3" s="230">
        <v>10</v>
      </c>
      <c r="EH3" s="230">
        <v>5</v>
      </c>
      <c r="EI3" s="230">
        <v>10</v>
      </c>
      <c r="EJ3" s="230">
        <v>10</v>
      </c>
      <c r="EK3" s="230">
        <v>10</v>
      </c>
      <c r="EL3" s="230">
        <v>10</v>
      </c>
      <c r="EM3" s="230">
        <v>10</v>
      </c>
      <c r="EN3" s="230">
        <v>10</v>
      </c>
      <c r="EO3" s="230">
        <v>10</v>
      </c>
      <c r="EP3" s="230">
        <v>10</v>
      </c>
      <c r="EQ3" s="230">
        <v>5</v>
      </c>
      <c r="ER3" s="230">
        <v>10</v>
      </c>
      <c r="ES3" s="230">
        <v>10</v>
      </c>
      <c r="ET3" s="230">
        <v>5</v>
      </c>
      <c r="EU3" s="230">
        <v>5</v>
      </c>
      <c r="EV3" s="230">
        <v>10</v>
      </c>
      <c r="EW3" s="230">
        <v>10</v>
      </c>
      <c r="EX3" s="230">
        <v>5</v>
      </c>
      <c r="EY3" s="230" t="s">
        <v>206</v>
      </c>
      <c r="EZ3" s="230">
        <v>10</v>
      </c>
      <c r="FA3" s="230">
        <v>10</v>
      </c>
      <c r="FB3" s="230">
        <v>20</v>
      </c>
      <c r="FC3" s="230">
        <v>10</v>
      </c>
      <c r="FD3" s="230">
        <v>10</v>
      </c>
      <c r="FE3" s="230">
        <v>10</v>
      </c>
      <c r="FF3" s="230">
        <v>10</v>
      </c>
      <c r="FG3" s="277"/>
      <c r="FH3" s="227"/>
      <c r="FI3" s="228"/>
      <c r="FJ3" s="298"/>
      <c r="FK3" s="233"/>
      <c r="FL3" s="228"/>
      <c r="FM3" s="228"/>
    </row>
    <row r="4" spans="1:169" ht="40.799999999999997">
      <c r="A4" s="234"/>
      <c r="B4" s="235"/>
      <c r="C4" s="235"/>
      <c r="D4" s="235"/>
      <c r="E4" s="234"/>
      <c r="F4" s="234"/>
      <c r="G4" s="234" t="s">
        <v>778</v>
      </c>
      <c r="H4" s="236" t="s">
        <v>453</v>
      </c>
      <c r="I4" s="236" t="s">
        <v>454</v>
      </c>
      <c r="J4" s="236" t="s">
        <v>455</v>
      </c>
      <c r="K4" s="236" t="s">
        <v>456</v>
      </c>
      <c r="L4" s="236" t="s">
        <v>297</v>
      </c>
      <c r="M4" s="236" t="s">
        <v>457</v>
      </c>
      <c r="N4" s="236" t="s">
        <v>298</v>
      </c>
      <c r="O4" s="236" t="s">
        <v>458</v>
      </c>
      <c r="P4" s="236" t="s">
        <v>459</v>
      </c>
      <c r="Q4" s="236" t="s">
        <v>460</v>
      </c>
      <c r="R4" s="236" t="s">
        <v>461</v>
      </c>
      <c r="S4" s="236" t="s">
        <v>462</v>
      </c>
      <c r="T4" s="236" t="s">
        <v>463</v>
      </c>
      <c r="U4" s="236" t="s">
        <v>464</v>
      </c>
      <c r="V4" s="236" t="s">
        <v>465</v>
      </c>
      <c r="W4" s="236" t="s">
        <v>466</v>
      </c>
      <c r="X4" s="236" t="s">
        <v>467</v>
      </c>
      <c r="Y4" s="236" t="s">
        <v>468</v>
      </c>
      <c r="Z4" s="236" t="s">
        <v>469</v>
      </c>
      <c r="AA4" s="236" t="s">
        <v>470</v>
      </c>
      <c r="AB4" s="236" t="s">
        <v>299</v>
      </c>
      <c r="AC4" s="236" t="s">
        <v>471</v>
      </c>
      <c r="AD4" s="236" t="s">
        <v>300</v>
      </c>
      <c r="AE4" s="236" t="s">
        <v>472</v>
      </c>
      <c r="AF4" s="236" t="s">
        <v>473</v>
      </c>
      <c r="AG4" s="236" t="s">
        <v>474</v>
      </c>
      <c r="AH4" s="236" t="s">
        <v>301</v>
      </c>
      <c r="AI4" s="236" t="s">
        <v>475</v>
      </c>
      <c r="AJ4" s="236" t="s">
        <v>476</v>
      </c>
      <c r="AK4" s="236" t="s">
        <v>477</v>
      </c>
      <c r="AL4" s="236" t="s">
        <v>478</v>
      </c>
      <c r="AM4" s="236" t="s">
        <v>479</v>
      </c>
      <c r="AN4" s="236" t="s">
        <v>480</v>
      </c>
      <c r="AO4" s="236" t="s">
        <v>302</v>
      </c>
      <c r="AP4" s="236" t="s">
        <v>482</v>
      </c>
      <c r="AQ4" s="236" t="s">
        <v>483</v>
      </c>
      <c r="AR4" s="236" t="s">
        <v>484</v>
      </c>
      <c r="AS4" s="236" t="s">
        <v>303</v>
      </c>
      <c r="AT4" s="236" t="s">
        <v>995</v>
      </c>
      <c r="AU4" s="236" t="s">
        <v>486</v>
      </c>
      <c r="AV4" s="236" t="s">
        <v>487</v>
      </c>
      <c r="AW4" s="236" t="s">
        <v>488</v>
      </c>
      <c r="AX4" s="236" t="s">
        <v>489</v>
      </c>
      <c r="AY4" s="236" t="s">
        <v>490</v>
      </c>
      <c r="AZ4" s="236" t="s">
        <v>305</v>
      </c>
      <c r="BA4" s="236" t="s">
        <v>491</v>
      </c>
      <c r="BB4" s="236" t="s">
        <v>492</v>
      </c>
      <c r="BC4" s="236" t="s">
        <v>493</v>
      </c>
      <c r="BD4" s="236" t="s">
        <v>306</v>
      </c>
      <c r="BE4" s="236" t="s">
        <v>494</v>
      </c>
      <c r="BF4" s="236" t="s">
        <v>495</v>
      </c>
      <c r="BG4" s="236" t="s">
        <v>497</v>
      </c>
      <c r="BH4" s="236" t="s">
        <v>498</v>
      </c>
      <c r="BI4" s="236" t="s">
        <v>781</v>
      </c>
      <c r="BJ4" s="236" t="s">
        <v>782</v>
      </c>
      <c r="BK4" s="236" t="s">
        <v>783</v>
      </c>
      <c r="BL4" s="236" t="s">
        <v>307</v>
      </c>
      <c r="BM4" s="236" t="s">
        <v>784</v>
      </c>
      <c r="BN4" s="236" t="s">
        <v>786</v>
      </c>
      <c r="BO4" s="236" t="s">
        <v>787</v>
      </c>
      <c r="BP4" s="236" t="s">
        <v>285</v>
      </c>
      <c r="BQ4" s="236" t="s">
        <v>272</v>
      </c>
      <c r="BR4" s="236" t="s">
        <v>997</v>
      </c>
      <c r="BS4" s="236" t="s">
        <v>998</v>
      </c>
      <c r="BT4" s="236" t="s">
        <v>273</v>
      </c>
      <c r="BU4" s="236" t="s">
        <v>500</v>
      </c>
      <c r="BV4" s="236" t="s">
        <v>20</v>
      </c>
      <c r="BW4" s="236" t="s">
        <v>11</v>
      </c>
      <c r="BX4" s="236" t="s">
        <v>12</v>
      </c>
      <c r="BY4" s="236" t="s">
        <v>13</v>
      </c>
      <c r="BZ4" s="236" t="s">
        <v>70</v>
      </c>
      <c r="CA4" s="236" t="s">
        <v>501</v>
      </c>
      <c r="CB4" s="236" t="s">
        <v>231</v>
      </c>
      <c r="CC4" s="236" t="s">
        <v>17</v>
      </c>
      <c r="CD4" s="236" t="s">
        <v>14</v>
      </c>
      <c r="CE4" s="236" t="s">
        <v>6</v>
      </c>
      <c r="CF4" s="236" t="s">
        <v>176</v>
      </c>
      <c r="CG4" s="236" t="s">
        <v>18</v>
      </c>
      <c r="CH4" s="236" t="s">
        <v>8</v>
      </c>
      <c r="CI4" s="236" t="s">
        <v>87</v>
      </c>
      <c r="CJ4" s="236" t="s">
        <v>71</v>
      </c>
      <c r="CK4" s="236" t="s">
        <v>16</v>
      </c>
      <c r="CL4" s="236" t="s">
        <v>72</v>
      </c>
      <c r="CM4" s="236" t="s">
        <v>2</v>
      </c>
      <c r="CN4" s="236" t="s">
        <v>94</v>
      </c>
      <c r="CO4" s="236" t="s">
        <v>502</v>
      </c>
      <c r="CP4" s="236" t="s">
        <v>115</v>
      </c>
      <c r="CQ4" s="236" t="s">
        <v>115</v>
      </c>
      <c r="CR4" s="236" t="s">
        <v>115</v>
      </c>
      <c r="CS4" s="236" t="s">
        <v>115</v>
      </c>
      <c r="CT4" s="236" t="s">
        <v>115</v>
      </c>
      <c r="CU4" s="236" t="s">
        <v>115</v>
      </c>
      <c r="CV4" s="236" t="s">
        <v>115</v>
      </c>
      <c r="CW4" s="236" t="s">
        <v>308</v>
      </c>
      <c r="CX4" s="236" t="s">
        <v>9</v>
      </c>
      <c r="CY4" s="236" t="s">
        <v>15</v>
      </c>
      <c r="CZ4" s="236" t="s">
        <v>167</v>
      </c>
      <c r="DA4" s="236" t="s">
        <v>240</v>
      </c>
      <c r="DB4" s="236" t="s">
        <v>101</v>
      </c>
      <c r="DC4" s="236" t="s">
        <v>207</v>
      </c>
      <c r="DD4" s="236" t="s">
        <v>4</v>
      </c>
      <c r="DE4" s="236" t="s">
        <v>5</v>
      </c>
      <c r="DF4" s="236" t="s">
        <v>227</v>
      </c>
      <c r="DG4" s="236" t="s">
        <v>227</v>
      </c>
      <c r="DH4" s="236" t="s">
        <v>227</v>
      </c>
      <c r="DI4" s="236" t="s">
        <v>227</v>
      </c>
      <c r="DJ4" s="236" t="s">
        <v>227</v>
      </c>
      <c r="DK4" s="236" t="s">
        <v>10</v>
      </c>
      <c r="DL4" s="236" t="s">
        <v>10</v>
      </c>
      <c r="DM4" s="236" t="s">
        <v>19</v>
      </c>
      <c r="DN4" s="236" t="s">
        <v>986</v>
      </c>
      <c r="DO4" s="236" t="s">
        <v>987</v>
      </c>
      <c r="DP4" s="236" t="s">
        <v>512</v>
      </c>
      <c r="DQ4" s="236" t="s">
        <v>513</v>
      </c>
      <c r="DR4" s="236" t="s">
        <v>309</v>
      </c>
      <c r="DS4" s="236" t="s">
        <v>514</v>
      </c>
      <c r="DT4" s="236" t="s">
        <v>310</v>
      </c>
      <c r="DU4" s="236" t="s">
        <v>515</v>
      </c>
      <c r="DV4" s="236" t="s">
        <v>516</v>
      </c>
      <c r="DW4" s="236" t="s">
        <v>517</v>
      </c>
      <c r="DX4" s="236" t="s">
        <v>311</v>
      </c>
      <c r="DY4" s="236" t="s">
        <v>518</v>
      </c>
      <c r="DZ4" s="236" t="s">
        <v>519</v>
      </c>
      <c r="EA4" s="236" t="s">
        <v>312</v>
      </c>
      <c r="EB4" s="236" t="s">
        <v>520</v>
      </c>
      <c r="EC4" s="236" t="s">
        <v>521</v>
      </c>
      <c r="ED4" s="236" t="s">
        <v>522</v>
      </c>
      <c r="EE4" s="236" t="s">
        <v>523</v>
      </c>
      <c r="EF4" s="236" t="s">
        <v>524</v>
      </c>
      <c r="EG4" s="236" t="s">
        <v>313</v>
      </c>
      <c r="EH4" s="236" t="s">
        <v>525</v>
      </c>
      <c r="EI4" s="236" t="s">
        <v>526</v>
      </c>
      <c r="EJ4" s="236" t="s">
        <v>527</v>
      </c>
      <c r="EK4" s="236" t="s">
        <v>528</v>
      </c>
      <c r="EL4" s="236" t="s">
        <v>529</v>
      </c>
      <c r="EM4" s="236" t="s">
        <v>530</v>
      </c>
      <c r="EN4" s="236" t="s">
        <v>531</v>
      </c>
      <c r="EO4" s="236" t="s">
        <v>287</v>
      </c>
      <c r="EP4" s="236" t="s">
        <v>314</v>
      </c>
      <c r="EQ4" s="236" t="s">
        <v>261</v>
      </c>
      <c r="ER4" s="236" t="s">
        <v>532</v>
      </c>
      <c r="ES4" s="236" t="s">
        <v>208</v>
      </c>
      <c r="ET4" s="236" t="s">
        <v>228</v>
      </c>
      <c r="EU4" s="236" t="s">
        <v>209</v>
      </c>
      <c r="EV4" s="236" t="s">
        <v>533</v>
      </c>
      <c r="EW4" s="236" t="s">
        <v>229</v>
      </c>
      <c r="EX4" s="236" t="s">
        <v>279</v>
      </c>
      <c r="EY4" s="236" t="s">
        <v>534</v>
      </c>
      <c r="EZ4" s="236" t="s">
        <v>535</v>
      </c>
      <c r="FA4" s="236" t="s">
        <v>230</v>
      </c>
      <c r="FB4" s="236" t="s">
        <v>883</v>
      </c>
      <c r="FC4" s="236" t="s">
        <v>536</v>
      </c>
      <c r="FD4" s="236" t="s">
        <v>315</v>
      </c>
      <c r="FE4" s="236" t="s">
        <v>538</v>
      </c>
      <c r="FF4" s="236" t="s">
        <v>539</v>
      </c>
      <c r="FG4" s="278"/>
      <c r="FH4" s="234"/>
      <c r="FI4" s="235"/>
      <c r="FJ4" s="299"/>
      <c r="FK4" s="235"/>
      <c r="FL4" s="235"/>
      <c r="FM4" s="235"/>
    </row>
    <row r="5" spans="1:169" ht="20.399999999999999">
      <c r="A5" s="241"/>
      <c r="B5" s="221"/>
      <c r="C5" s="221"/>
      <c r="D5" s="222"/>
      <c r="E5" s="223" t="s">
        <v>316</v>
      </c>
      <c r="F5" s="242" t="s">
        <v>870</v>
      </c>
      <c r="G5" s="223" t="s">
        <v>317</v>
      </c>
      <c r="H5" s="243" t="s">
        <v>540</v>
      </c>
      <c r="I5" s="243" t="s">
        <v>541</v>
      </c>
      <c r="J5" s="243" t="s">
        <v>542</v>
      </c>
      <c r="K5" s="243" t="s">
        <v>543</v>
      </c>
      <c r="L5" s="243" t="s">
        <v>318</v>
      </c>
      <c r="M5" s="243" t="s">
        <v>544</v>
      </c>
      <c r="N5" s="243" t="s">
        <v>319</v>
      </c>
      <c r="O5" s="243" t="s">
        <v>545</v>
      </c>
      <c r="P5" s="243" t="s">
        <v>546</v>
      </c>
      <c r="Q5" s="243" t="s">
        <v>547</v>
      </c>
      <c r="R5" s="243" t="s">
        <v>548</v>
      </c>
      <c r="S5" s="243" t="s">
        <v>549</v>
      </c>
      <c r="T5" s="243" t="s">
        <v>550</v>
      </c>
      <c r="U5" s="243" t="s">
        <v>551</v>
      </c>
      <c r="V5" s="243" t="s">
        <v>552</v>
      </c>
      <c r="W5" s="243" t="s">
        <v>553</v>
      </c>
      <c r="X5" s="243" t="s">
        <v>554</v>
      </c>
      <c r="Y5" s="243" t="s">
        <v>555</v>
      </c>
      <c r="Z5" s="243" t="s">
        <v>556</v>
      </c>
      <c r="AA5" s="243" t="s">
        <v>557</v>
      </c>
      <c r="AB5" s="243" t="s">
        <v>886</v>
      </c>
      <c r="AC5" s="243" t="s">
        <v>558</v>
      </c>
      <c r="AD5" s="243" t="s">
        <v>321</v>
      </c>
      <c r="AE5" s="243" t="s">
        <v>790</v>
      </c>
      <c r="AF5" s="243" t="s">
        <v>560</v>
      </c>
      <c r="AG5" s="243" t="s">
        <v>561</v>
      </c>
      <c r="AH5" s="243" t="s">
        <v>322</v>
      </c>
      <c r="AI5" s="243" t="s">
        <v>562</v>
      </c>
      <c r="AJ5" s="243" t="s">
        <v>563</v>
      </c>
      <c r="AK5" s="243" t="s">
        <v>564</v>
      </c>
      <c r="AL5" s="243" t="s">
        <v>565</v>
      </c>
      <c r="AM5" s="243" t="s">
        <v>566</v>
      </c>
      <c r="AN5" s="243" t="s">
        <v>567</v>
      </c>
      <c r="AO5" s="243" t="s">
        <v>323</v>
      </c>
      <c r="AP5" s="243" t="s">
        <v>569</v>
      </c>
      <c r="AQ5" s="243" t="s">
        <v>570</v>
      </c>
      <c r="AR5" s="243" t="s">
        <v>571</v>
      </c>
      <c r="AS5" s="243" t="s">
        <v>324</v>
      </c>
      <c r="AT5" s="243" t="s">
        <v>325</v>
      </c>
      <c r="AU5" s="243" t="s">
        <v>574</v>
      </c>
      <c r="AV5" s="243" t="s">
        <v>575</v>
      </c>
      <c r="AW5" s="243" t="s">
        <v>576</v>
      </c>
      <c r="AX5" s="243" t="s">
        <v>577</v>
      </c>
      <c r="AY5" s="243" t="s">
        <v>578</v>
      </c>
      <c r="AZ5" s="243" t="s">
        <v>326</v>
      </c>
      <c r="BA5" s="243" t="s">
        <v>579</v>
      </c>
      <c r="BB5" s="243" t="s">
        <v>580</v>
      </c>
      <c r="BC5" s="243" t="s">
        <v>581</v>
      </c>
      <c r="BD5" s="243" t="s">
        <v>327</v>
      </c>
      <c r="BE5" s="243" t="s">
        <v>582</v>
      </c>
      <c r="BF5" s="243" t="s">
        <v>583</v>
      </c>
      <c r="BG5" s="243" t="s">
        <v>988</v>
      </c>
      <c r="BH5" s="243" t="s">
        <v>586</v>
      </c>
      <c r="BI5" s="243" t="s">
        <v>793</v>
      </c>
      <c r="BJ5" s="243" t="s">
        <v>794</v>
      </c>
      <c r="BK5" s="243" t="s">
        <v>795</v>
      </c>
      <c r="BL5" s="243" t="s">
        <v>797</v>
      </c>
      <c r="BM5" s="243" t="s">
        <v>798</v>
      </c>
      <c r="BN5" s="243" t="s">
        <v>800</v>
      </c>
      <c r="BO5" s="243" t="s">
        <v>801</v>
      </c>
      <c r="BP5" s="243" t="s">
        <v>286</v>
      </c>
      <c r="BQ5" s="243" t="s">
        <v>274</v>
      </c>
      <c r="BR5" s="243" t="s">
        <v>259</v>
      </c>
      <c r="BS5" s="243" t="s">
        <v>260</v>
      </c>
      <c r="BT5" s="243" t="s">
        <v>275</v>
      </c>
      <c r="BU5" s="243" t="s">
        <v>588</v>
      </c>
      <c r="BV5" s="243" t="s">
        <v>40</v>
      </c>
      <c r="BW5" s="243" t="s">
        <v>30</v>
      </c>
      <c r="BX5" s="243" t="s">
        <v>31</v>
      </c>
      <c r="BY5" s="243" t="s">
        <v>32</v>
      </c>
      <c r="BZ5" s="243" t="s">
        <v>249</v>
      </c>
      <c r="CA5" s="243" t="s">
        <v>589</v>
      </c>
      <c r="CB5" s="243" t="s">
        <v>232</v>
      </c>
      <c r="CC5" s="243" t="s">
        <v>37</v>
      </c>
      <c r="CD5" s="243" t="s">
        <v>33</v>
      </c>
      <c r="CE5" s="243" t="s">
        <v>25</v>
      </c>
      <c r="CF5" s="243" t="s">
        <v>26</v>
      </c>
      <c r="CG5" s="243" t="s">
        <v>38</v>
      </c>
      <c r="CH5" s="243" t="s">
        <v>233</v>
      </c>
      <c r="CI5" s="243" t="s">
        <v>88</v>
      </c>
      <c r="CJ5" s="243" t="s">
        <v>74</v>
      </c>
      <c r="CK5" s="243" t="s">
        <v>35</v>
      </c>
      <c r="CL5" s="243" t="s">
        <v>75</v>
      </c>
      <c r="CM5" s="243" t="s">
        <v>21</v>
      </c>
      <c r="CN5" s="243" t="s">
        <v>22</v>
      </c>
      <c r="CO5" s="243" t="s">
        <v>590</v>
      </c>
      <c r="CP5" s="243" t="s">
        <v>188</v>
      </c>
      <c r="CQ5" s="243" t="s">
        <v>591</v>
      </c>
      <c r="CR5" s="243" t="s">
        <v>592</v>
      </c>
      <c r="CS5" s="243" t="s">
        <v>593</v>
      </c>
      <c r="CT5" s="243" t="s">
        <v>594</v>
      </c>
      <c r="CU5" s="243" t="s">
        <v>595</v>
      </c>
      <c r="CV5" s="243" t="s">
        <v>596</v>
      </c>
      <c r="CW5" s="243" t="s">
        <v>329</v>
      </c>
      <c r="CX5" s="243" t="s">
        <v>28</v>
      </c>
      <c r="CY5" s="243" t="s">
        <v>116</v>
      </c>
      <c r="CZ5" s="243" t="s">
        <v>168</v>
      </c>
      <c r="DA5" s="243" t="s">
        <v>169</v>
      </c>
      <c r="DB5" s="243" t="s">
        <v>102</v>
      </c>
      <c r="DC5" s="243" t="s">
        <v>189</v>
      </c>
      <c r="DD5" s="243" t="s">
        <v>23</v>
      </c>
      <c r="DE5" s="243" t="s">
        <v>24</v>
      </c>
      <c r="DF5" s="243" t="s">
        <v>170</v>
      </c>
      <c r="DG5" s="243" t="s">
        <v>606</v>
      </c>
      <c r="DH5" s="243" t="s">
        <v>607</v>
      </c>
      <c r="DI5" s="243" t="s">
        <v>608</v>
      </c>
      <c r="DJ5" s="243" t="s">
        <v>609</v>
      </c>
      <c r="DK5" s="243" t="s">
        <v>29</v>
      </c>
      <c r="DL5" s="243" t="s">
        <v>610</v>
      </c>
      <c r="DM5" s="243" t="s">
        <v>39</v>
      </c>
      <c r="DN5" s="243" t="s">
        <v>989</v>
      </c>
      <c r="DO5" s="243" t="s">
        <v>990</v>
      </c>
      <c r="DP5" s="243" t="s">
        <v>611</v>
      </c>
      <c r="DQ5" s="243" t="s">
        <v>612</v>
      </c>
      <c r="DR5" s="243" t="s">
        <v>330</v>
      </c>
      <c r="DS5" s="243" t="s">
        <v>613</v>
      </c>
      <c r="DT5" s="243" t="s">
        <v>331</v>
      </c>
      <c r="DU5" s="243" t="s">
        <v>614</v>
      </c>
      <c r="DV5" s="243" t="s">
        <v>615</v>
      </c>
      <c r="DW5" s="243" t="s">
        <v>616</v>
      </c>
      <c r="DX5" s="243" t="s">
        <v>332</v>
      </c>
      <c r="DY5" s="243" t="s">
        <v>617</v>
      </c>
      <c r="DZ5" s="243" t="s">
        <v>618</v>
      </c>
      <c r="EA5" s="243" t="s">
        <v>333</v>
      </c>
      <c r="EB5" s="243" t="s">
        <v>619</v>
      </c>
      <c r="EC5" s="243" t="s">
        <v>620</v>
      </c>
      <c r="ED5" s="243" t="s">
        <v>621</v>
      </c>
      <c r="EE5" s="243" t="s">
        <v>622</v>
      </c>
      <c r="EF5" s="243" t="s">
        <v>623</v>
      </c>
      <c r="EG5" s="243" t="s">
        <v>335</v>
      </c>
      <c r="EH5" s="243" t="s">
        <v>624</v>
      </c>
      <c r="EI5" s="243" t="s">
        <v>625</v>
      </c>
      <c r="EJ5" s="243" t="s">
        <v>626</v>
      </c>
      <c r="EK5" s="243" t="s">
        <v>627</v>
      </c>
      <c r="EL5" s="243" t="s">
        <v>628</v>
      </c>
      <c r="EM5" s="243" t="s">
        <v>629</v>
      </c>
      <c r="EN5" s="243" t="s">
        <v>630</v>
      </c>
      <c r="EO5" s="243" t="s">
        <v>288</v>
      </c>
      <c r="EP5" s="243" t="s">
        <v>280</v>
      </c>
      <c r="EQ5" s="243" t="s">
        <v>210</v>
      </c>
      <c r="ER5" s="243" t="s">
        <v>631</v>
      </c>
      <c r="ES5" s="243" t="s">
        <v>197</v>
      </c>
      <c r="ET5" s="243" t="s">
        <v>211</v>
      </c>
      <c r="EU5" s="243" t="s">
        <v>212</v>
      </c>
      <c r="EV5" s="243" t="s">
        <v>632</v>
      </c>
      <c r="EW5" s="243" t="s">
        <v>213</v>
      </c>
      <c r="EX5" s="243" t="s">
        <v>281</v>
      </c>
      <c r="EY5" s="243" t="s">
        <v>633</v>
      </c>
      <c r="EZ5" s="243" t="s">
        <v>198</v>
      </c>
      <c r="FA5" s="243" t="s">
        <v>214</v>
      </c>
      <c r="FB5" s="243" t="s">
        <v>889</v>
      </c>
      <c r="FC5" s="243" t="s">
        <v>634</v>
      </c>
      <c r="FD5" s="243" t="s">
        <v>336</v>
      </c>
      <c r="FE5" s="243" t="s">
        <v>636</v>
      </c>
      <c r="FF5" s="243" t="s">
        <v>637</v>
      </c>
      <c r="FG5" s="300"/>
      <c r="FH5" s="297"/>
      <c r="FI5" s="226"/>
      <c r="FJ5" s="221"/>
      <c r="FK5" s="221"/>
      <c r="FL5" s="221"/>
      <c r="FM5" s="221"/>
    </row>
    <row r="6" spans="1:169" ht="11.4">
      <c r="A6" s="245" t="s">
        <v>877</v>
      </c>
      <c r="B6" s="222" t="s">
        <v>878</v>
      </c>
      <c r="C6" s="222" t="s">
        <v>879</v>
      </c>
      <c r="D6" s="222" t="s">
        <v>880</v>
      </c>
      <c r="E6" s="246" t="s">
        <v>804</v>
      </c>
      <c r="F6" s="246"/>
      <c r="G6" s="247" t="s">
        <v>805</v>
      </c>
      <c r="H6" s="248" t="s">
        <v>638</v>
      </c>
      <c r="I6" s="248" t="s">
        <v>639</v>
      </c>
      <c r="J6" s="248" t="s">
        <v>640</v>
      </c>
      <c r="K6" s="248" t="s">
        <v>641</v>
      </c>
      <c r="L6" s="248" t="s">
        <v>339</v>
      </c>
      <c r="M6" s="248" t="s">
        <v>642</v>
      </c>
      <c r="N6" s="248" t="s">
        <v>340</v>
      </c>
      <c r="O6" s="248" t="s">
        <v>643</v>
      </c>
      <c r="P6" s="248" t="s">
        <v>644</v>
      </c>
      <c r="Q6" s="248" t="s">
        <v>645</v>
      </c>
      <c r="R6" s="248" t="s">
        <v>646</v>
      </c>
      <c r="S6" s="248" t="s">
        <v>647</v>
      </c>
      <c r="T6" s="248" t="s">
        <v>648</v>
      </c>
      <c r="U6" s="248" t="s">
        <v>649</v>
      </c>
      <c r="V6" s="248" t="s">
        <v>650</v>
      </c>
      <c r="W6" s="248" t="s">
        <v>651</v>
      </c>
      <c r="X6" s="248" t="s">
        <v>652</v>
      </c>
      <c r="Y6" s="248" t="s">
        <v>653</v>
      </c>
      <c r="Z6" s="248" t="s">
        <v>654</v>
      </c>
      <c r="AA6" s="248" t="s">
        <v>655</v>
      </c>
      <c r="AB6" s="248" t="s">
        <v>341</v>
      </c>
      <c r="AC6" s="248" t="s">
        <v>656</v>
      </c>
      <c r="AD6" s="248" t="s">
        <v>342</v>
      </c>
      <c r="AE6" s="248" t="s">
        <v>657</v>
      </c>
      <c r="AF6" s="248" t="s">
        <v>658</v>
      </c>
      <c r="AG6" s="248" t="s">
        <v>659</v>
      </c>
      <c r="AH6" s="248" t="s">
        <v>343</v>
      </c>
      <c r="AI6" s="248" t="s">
        <v>660</v>
      </c>
      <c r="AJ6" s="248" t="s">
        <v>661</v>
      </c>
      <c r="AK6" s="248" t="s">
        <v>662</v>
      </c>
      <c r="AL6" s="248" t="s">
        <v>663</v>
      </c>
      <c r="AM6" s="248" t="s">
        <v>664</v>
      </c>
      <c r="AN6" s="248" t="s">
        <v>665</v>
      </c>
      <c r="AO6" s="248" t="s">
        <v>344</v>
      </c>
      <c r="AP6" s="248" t="s">
        <v>667</v>
      </c>
      <c r="AQ6" s="248" t="s">
        <v>668</v>
      </c>
      <c r="AR6" s="248" t="s">
        <v>669</v>
      </c>
      <c r="AS6" s="248" t="s">
        <v>345</v>
      </c>
      <c r="AT6" s="248" t="s">
        <v>346</v>
      </c>
      <c r="AU6" s="248" t="s">
        <v>672</v>
      </c>
      <c r="AV6" s="248" t="s">
        <v>673</v>
      </c>
      <c r="AW6" s="248" t="s">
        <v>674</v>
      </c>
      <c r="AX6" s="248" t="s">
        <v>675</v>
      </c>
      <c r="AY6" s="248" t="s">
        <v>676</v>
      </c>
      <c r="AZ6" s="248" t="s">
        <v>347</v>
      </c>
      <c r="BA6" s="248" t="s">
        <v>677</v>
      </c>
      <c r="BB6" s="248" t="s">
        <v>678</v>
      </c>
      <c r="BC6" s="248" t="s">
        <v>679</v>
      </c>
      <c r="BD6" s="248" t="s">
        <v>348</v>
      </c>
      <c r="BE6" s="248" t="s">
        <v>680</v>
      </c>
      <c r="BF6" s="248" t="s">
        <v>681</v>
      </c>
      <c r="BG6" s="248" t="s">
        <v>683</v>
      </c>
      <c r="BH6" s="248" t="s">
        <v>684</v>
      </c>
      <c r="BI6" s="248" t="s">
        <v>808</v>
      </c>
      <c r="BJ6" s="248" t="s">
        <v>809</v>
      </c>
      <c r="BK6" s="248" t="s">
        <v>810</v>
      </c>
      <c r="BL6" s="248" t="s">
        <v>349</v>
      </c>
      <c r="BM6" s="248" t="s">
        <v>811</v>
      </c>
      <c r="BN6" s="248" t="s">
        <v>813</v>
      </c>
      <c r="BO6" s="248" t="s">
        <v>814</v>
      </c>
      <c r="BP6" s="248" t="s">
        <v>350</v>
      </c>
      <c r="BQ6" s="248" t="s">
        <v>686</v>
      </c>
      <c r="BR6" s="248" t="s">
        <v>351</v>
      </c>
      <c r="BS6" s="248" t="s">
        <v>352</v>
      </c>
      <c r="BT6" s="248" t="s">
        <v>687</v>
      </c>
      <c r="BU6" s="248" t="s">
        <v>688</v>
      </c>
      <c r="BV6" s="248" t="s">
        <v>353</v>
      </c>
      <c r="BW6" s="248" t="s">
        <v>354</v>
      </c>
      <c r="BX6" s="248" t="s">
        <v>355</v>
      </c>
      <c r="BY6" s="248" t="s">
        <v>689</v>
      </c>
      <c r="BZ6" s="248" t="s">
        <v>356</v>
      </c>
      <c r="CA6" s="248" t="s">
        <v>690</v>
      </c>
      <c r="CB6" s="248" t="s">
        <v>691</v>
      </c>
      <c r="CC6" s="248" t="s">
        <v>357</v>
      </c>
      <c r="CD6" s="248" t="s">
        <v>358</v>
      </c>
      <c r="CE6" s="248" t="s">
        <v>692</v>
      </c>
      <c r="CF6" s="248" t="s">
        <v>359</v>
      </c>
      <c r="CG6" s="248" t="s">
        <v>360</v>
      </c>
      <c r="CH6" s="248" t="s">
        <v>693</v>
      </c>
      <c r="CI6" s="248" t="s">
        <v>694</v>
      </c>
      <c r="CJ6" s="248" t="s">
        <v>695</v>
      </c>
      <c r="CK6" s="248" t="s">
        <v>696</v>
      </c>
      <c r="CL6" s="248" t="s">
        <v>361</v>
      </c>
      <c r="CM6" s="248" t="s">
        <v>362</v>
      </c>
      <c r="CN6" s="248" t="s">
        <v>363</v>
      </c>
      <c r="CO6" s="248" t="s">
        <v>697</v>
      </c>
      <c r="CP6" s="248" t="s">
        <v>698</v>
      </c>
      <c r="CQ6" s="248" t="s">
        <v>699</v>
      </c>
      <c r="CR6" s="248" t="s">
        <v>700</v>
      </c>
      <c r="CS6" s="248" t="s">
        <v>701</v>
      </c>
      <c r="CT6" s="248" t="s">
        <v>702</v>
      </c>
      <c r="CU6" s="248" t="s">
        <v>703</v>
      </c>
      <c r="CV6" s="248" t="s">
        <v>704</v>
      </c>
      <c r="CW6" s="248" t="s">
        <v>364</v>
      </c>
      <c r="CX6" s="248" t="s">
        <v>365</v>
      </c>
      <c r="CY6" s="248" t="s">
        <v>366</v>
      </c>
      <c r="CZ6" s="248" t="s">
        <v>714</v>
      </c>
      <c r="DA6" s="248" t="s">
        <v>715</v>
      </c>
      <c r="DB6" s="248" t="s">
        <v>716</v>
      </c>
      <c r="DC6" s="248" t="s">
        <v>367</v>
      </c>
      <c r="DD6" s="248" t="s">
        <v>717</v>
      </c>
      <c r="DE6" s="248" t="s">
        <v>368</v>
      </c>
      <c r="DF6" s="248" t="s">
        <v>369</v>
      </c>
      <c r="DG6" s="248" t="s">
        <v>718</v>
      </c>
      <c r="DH6" s="248" t="s">
        <v>719</v>
      </c>
      <c r="DI6" s="248" t="s">
        <v>720</v>
      </c>
      <c r="DJ6" s="248" t="s">
        <v>721</v>
      </c>
      <c r="DK6" s="248" t="s">
        <v>722</v>
      </c>
      <c r="DL6" s="248" t="s">
        <v>723</v>
      </c>
      <c r="DM6" s="248" t="s">
        <v>370</v>
      </c>
      <c r="DN6" s="248" t="s">
        <v>991</v>
      </c>
      <c r="DO6" s="248" t="s">
        <v>992</v>
      </c>
      <c r="DP6" s="248" t="s">
        <v>724</v>
      </c>
      <c r="DQ6" s="248" t="s">
        <v>725</v>
      </c>
      <c r="DR6" s="248" t="s">
        <v>371</v>
      </c>
      <c r="DS6" s="248" t="s">
        <v>726</v>
      </c>
      <c r="DT6" s="248" t="s">
        <v>372</v>
      </c>
      <c r="DU6" s="248" t="s">
        <v>727</v>
      </c>
      <c r="DV6" s="248" t="s">
        <v>728</v>
      </c>
      <c r="DW6" s="248" t="s">
        <v>729</v>
      </c>
      <c r="DX6" s="248" t="s">
        <v>373</v>
      </c>
      <c r="DY6" s="248" t="s">
        <v>730</v>
      </c>
      <c r="DZ6" s="248" t="s">
        <v>731</v>
      </c>
      <c r="EA6" s="248" t="s">
        <v>374</v>
      </c>
      <c r="EB6" s="248" t="s">
        <v>732</v>
      </c>
      <c r="EC6" s="248" t="s">
        <v>733</v>
      </c>
      <c r="ED6" s="248" t="s">
        <v>734</v>
      </c>
      <c r="EE6" s="248" t="s">
        <v>735</v>
      </c>
      <c r="EF6" s="248" t="s">
        <v>736</v>
      </c>
      <c r="EG6" s="248" t="s">
        <v>375</v>
      </c>
      <c r="EH6" s="248" t="s">
        <v>737</v>
      </c>
      <c r="EI6" s="248" t="s">
        <v>738</v>
      </c>
      <c r="EJ6" s="248" t="s">
        <v>739</v>
      </c>
      <c r="EK6" s="248" t="s">
        <v>740</v>
      </c>
      <c r="EL6" s="248" t="s">
        <v>741</v>
      </c>
      <c r="EM6" s="248" t="s">
        <v>742</v>
      </c>
      <c r="EN6" s="248" t="s">
        <v>743</v>
      </c>
      <c r="EO6" s="248" t="s">
        <v>376</v>
      </c>
      <c r="EP6" s="248" t="s">
        <v>377</v>
      </c>
      <c r="EQ6" s="248" t="s">
        <v>744</v>
      </c>
      <c r="ER6" s="248" t="s">
        <v>745</v>
      </c>
      <c r="ES6" s="248" t="s">
        <v>378</v>
      </c>
      <c r="ET6" s="248" t="s">
        <v>746</v>
      </c>
      <c r="EU6" s="248" t="s">
        <v>747</v>
      </c>
      <c r="EV6" s="248" t="s">
        <v>748</v>
      </c>
      <c r="EW6" s="248" t="s">
        <v>379</v>
      </c>
      <c r="EX6" s="248" t="s">
        <v>749</v>
      </c>
      <c r="EY6" s="248" t="s">
        <v>750</v>
      </c>
      <c r="EZ6" s="248" t="s">
        <v>751</v>
      </c>
      <c r="FA6" s="248" t="s">
        <v>380</v>
      </c>
      <c r="FB6" s="248" t="s">
        <v>891</v>
      </c>
      <c r="FC6" s="248" t="s">
        <v>752</v>
      </c>
      <c r="FD6" s="248" t="s">
        <v>381</v>
      </c>
      <c r="FE6" s="248" t="s">
        <v>754</v>
      </c>
      <c r="FF6" s="248" t="s">
        <v>755</v>
      </c>
      <c r="FG6" s="250" t="s">
        <v>872</v>
      </c>
      <c r="FH6" s="250" t="s">
        <v>382</v>
      </c>
      <c r="FI6" s="250" t="s">
        <v>383</v>
      </c>
      <c r="FJ6" s="250" t="s">
        <v>873</v>
      </c>
      <c r="FK6" s="250" t="s">
        <v>874</v>
      </c>
      <c r="FL6" s="228"/>
      <c r="FM6" s="227" t="s">
        <v>881</v>
      </c>
    </row>
    <row r="7" spans="1:169">
      <c r="A7" s="251" t="s">
        <v>385</v>
      </c>
      <c r="B7" s="251" t="s">
        <v>385</v>
      </c>
      <c r="C7" s="251" t="s">
        <v>386</v>
      </c>
      <c r="D7" s="251" t="s">
        <v>291</v>
      </c>
      <c r="E7" s="252" t="s">
        <v>387</v>
      </c>
      <c r="F7" s="251" t="s">
        <v>388</v>
      </c>
      <c r="G7" s="251"/>
      <c r="H7" s="253"/>
      <c r="I7" s="253"/>
      <c r="J7" s="253"/>
      <c r="K7" s="253"/>
      <c r="L7" s="253"/>
      <c r="M7" s="253"/>
      <c r="N7" s="253"/>
      <c r="O7" s="253"/>
      <c r="P7" s="253"/>
      <c r="Q7" s="253"/>
      <c r="R7" s="253"/>
      <c r="S7" s="253"/>
      <c r="T7" s="253"/>
      <c r="U7" s="253"/>
      <c r="V7" s="253"/>
      <c r="W7" s="253"/>
      <c r="X7" s="253"/>
      <c r="Y7" s="253"/>
      <c r="Z7" s="253"/>
      <c r="AA7" s="253"/>
      <c r="AB7" s="253"/>
      <c r="AC7" s="253"/>
      <c r="AD7" s="253"/>
      <c r="AE7" s="255">
        <f>10000-10000+320-180</f>
        <v>140</v>
      </c>
      <c r="AF7" s="253"/>
      <c r="AG7" s="255">
        <f>3000-3000</f>
        <v>0</v>
      </c>
      <c r="AH7" s="255">
        <f>5000-5000</f>
        <v>0</v>
      </c>
      <c r="AI7" s="253"/>
      <c r="AJ7" s="253"/>
      <c r="AK7" s="253"/>
      <c r="AL7" s="253"/>
      <c r="AM7" s="255">
        <f>3000-3000+1420-690</f>
        <v>730</v>
      </c>
      <c r="AN7" s="253"/>
      <c r="AO7" s="253"/>
      <c r="AP7" s="255">
        <f>300-300</f>
        <v>0</v>
      </c>
      <c r="AQ7" s="255">
        <f>5000-5000</f>
        <v>0</v>
      </c>
      <c r="AR7" s="253"/>
      <c r="AS7" s="253"/>
      <c r="AT7" s="253"/>
      <c r="AU7" s="253"/>
      <c r="AV7" s="253"/>
      <c r="AW7" s="253"/>
      <c r="AX7" s="255">
        <f>100-100</f>
        <v>0</v>
      </c>
      <c r="AY7" s="255">
        <f>60-60</f>
        <v>0</v>
      </c>
      <c r="AZ7" s="253"/>
      <c r="BA7" s="253"/>
      <c r="BB7" s="253"/>
      <c r="BC7" s="253"/>
      <c r="BD7" s="253"/>
      <c r="BE7" s="253"/>
      <c r="BF7" s="253"/>
      <c r="BG7" s="253"/>
      <c r="BH7" s="253"/>
      <c r="BI7" s="253"/>
      <c r="BJ7" s="253"/>
      <c r="BK7" s="253"/>
      <c r="BL7" s="253"/>
      <c r="BM7" s="253"/>
      <c r="BN7" s="253"/>
      <c r="BO7" s="253"/>
      <c r="BP7" s="253"/>
      <c r="BQ7" s="253"/>
      <c r="BR7" s="253"/>
      <c r="BS7" s="253"/>
      <c r="BT7" s="253"/>
      <c r="BU7" s="253"/>
      <c r="BV7" s="253"/>
      <c r="BW7" s="253"/>
      <c r="BX7" s="253"/>
      <c r="BY7" s="253"/>
      <c r="BZ7" s="253"/>
      <c r="CA7" s="253"/>
      <c r="CB7" s="253"/>
      <c r="CC7" s="253"/>
      <c r="CD7" s="253"/>
      <c r="CE7" s="253"/>
      <c r="CF7" s="253"/>
      <c r="CG7" s="253"/>
      <c r="CH7" s="253"/>
      <c r="CI7" s="253"/>
      <c r="CJ7" s="253"/>
      <c r="CK7" s="253"/>
      <c r="CL7" s="253"/>
      <c r="CM7" s="253"/>
      <c r="CN7" s="253"/>
      <c r="CO7" s="253"/>
      <c r="CP7" s="253"/>
      <c r="CQ7" s="253"/>
      <c r="CR7" s="253"/>
      <c r="CS7" s="253"/>
      <c r="CT7" s="253"/>
      <c r="CU7" s="253"/>
      <c r="CV7" s="253"/>
      <c r="CW7" s="253"/>
      <c r="CX7" s="253"/>
      <c r="CY7" s="253"/>
      <c r="CZ7" s="253"/>
      <c r="DA7" s="253"/>
      <c r="DB7" s="253"/>
      <c r="DC7" s="253"/>
      <c r="DD7" s="253"/>
      <c r="DE7" s="253"/>
      <c r="DF7" s="253"/>
      <c r="DG7" s="253"/>
      <c r="DH7" s="253"/>
      <c r="DI7" s="253"/>
      <c r="DJ7" s="253"/>
      <c r="DK7" s="253"/>
      <c r="DL7" s="253"/>
      <c r="DM7" s="253"/>
      <c r="DN7" s="253"/>
      <c r="DO7" s="253"/>
      <c r="DP7" s="253"/>
      <c r="DQ7" s="253"/>
      <c r="DR7" s="253"/>
      <c r="DS7" s="253"/>
      <c r="DT7" s="253"/>
      <c r="DU7" s="253"/>
      <c r="DV7" s="253"/>
      <c r="DW7" s="253"/>
      <c r="DX7" s="253"/>
      <c r="DY7" s="253"/>
      <c r="DZ7" s="253"/>
      <c r="EA7" s="253"/>
      <c r="EB7" s="253"/>
      <c r="EC7" s="253"/>
      <c r="ED7" s="253"/>
      <c r="EE7" s="253"/>
      <c r="EF7" s="253"/>
      <c r="EG7" s="253"/>
      <c r="EH7" s="253"/>
      <c r="EI7" s="253"/>
      <c r="EJ7" s="253"/>
      <c r="EK7" s="253"/>
      <c r="EL7" s="253"/>
      <c r="EM7" s="253"/>
      <c r="EN7" s="253"/>
      <c r="EO7" s="253"/>
      <c r="EP7" s="253"/>
      <c r="EQ7" s="253"/>
      <c r="ER7" s="253"/>
      <c r="ES7" s="253"/>
      <c r="ET7" s="253"/>
      <c r="EU7" s="253"/>
      <c r="EV7" s="253"/>
      <c r="EW7" s="253"/>
      <c r="EX7" s="253"/>
      <c r="EY7" s="253"/>
      <c r="EZ7" s="253"/>
      <c r="FA7" s="253"/>
      <c r="FB7" s="253"/>
      <c r="FC7" s="253"/>
      <c r="FD7" s="253"/>
      <c r="FE7" s="253"/>
      <c r="FF7" s="253"/>
      <c r="FG7" s="256"/>
      <c r="FH7" s="257" t="s">
        <v>993</v>
      </c>
      <c r="FI7" s="258" t="s">
        <v>389</v>
      </c>
      <c r="FJ7" s="258"/>
      <c r="FK7" s="258" t="s">
        <v>390</v>
      </c>
      <c r="FL7" s="259">
        <f t="shared" ref="FL7:FL38" si="0">SUM(H7:FF7)</f>
        <v>870</v>
      </c>
      <c r="FM7" s="260" t="s">
        <v>410</v>
      </c>
    </row>
    <row r="8" spans="1:169">
      <c r="A8" s="251" t="s">
        <v>385</v>
      </c>
      <c r="B8" s="251" t="s">
        <v>385</v>
      </c>
      <c r="C8" s="251" t="s">
        <v>386</v>
      </c>
      <c r="D8" s="251" t="s">
        <v>1</v>
      </c>
      <c r="E8" s="252" t="s">
        <v>387</v>
      </c>
      <c r="F8" s="251" t="s">
        <v>388</v>
      </c>
      <c r="G8" s="251"/>
      <c r="H8" s="255">
        <f>100-100</f>
        <v>0</v>
      </c>
      <c r="I8" s="253"/>
      <c r="J8" s="253"/>
      <c r="K8" s="253"/>
      <c r="L8" s="253"/>
      <c r="M8" s="253"/>
      <c r="N8" s="253"/>
      <c r="O8" s="253"/>
      <c r="P8" s="253"/>
      <c r="Q8" s="253"/>
      <c r="R8" s="253"/>
      <c r="S8" s="255">
        <f>500-500</f>
        <v>0</v>
      </c>
      <c r="T8" s="253"/>
      <c r="U8" s="255">
        <f>1000-1000</f>
        <v>0</v>
      </c>
      <c r="V8" s="255">
        <f>200-200</f>
        <v>0</v>
      </c>
      <c r="W8" s="253"/>
      <c r="X8" s="255">
        <f>1000-1000</f>
        <v>0</v>
      </c>
      <c r="Y8" s="253"/>
      <c r="Z8" s="255">
        <f>300-300</f>
        <v>0</v>
      </c>
      <c r="AA8" s="255">
        <f>1000-1000</f>
        <v>0</v>
      </c>
      <c r="AB8" s="255">
        <f>10000-10000</f>
        <v>0</v>
      </c>
      <c r="AC8" s="255">
        <f>1500-1500+420-225</f>
        <v>195</v>
      </c>
      <c r="AD8" s="255">
        <f>500-500</f>
        <v>0</v>
      </c>
      <c r="AE8" s="253"/>
      <c r="AF8" s="253"/>
      <c r="AG8" s="253"/>
      <c r="AH8" s="253"/>
      <c r="AI8" s="255">
        <f>500-500</f>
        <v>0</v>
      </c>
      <c r="AJ8" s="255">
        <f>300-300</f>
        <v>0</v>
      </c>
      <c r="AK8" s="255">
        <f>500-500</f>
        <v>0</v>
      </c>
      <c r="AL8" s="255">
        <f>300-300</f>
        <v>0</v>
      </c>
      <c r="AM8" s="253"/>
      <c r="AN8" s="255">
        <f>200-200</f>
        <v>0</v>
      </c>
      <c r="AO8" s="255">
        <f>1000-1000+700-280</f>
        <v>420</v>
      </c>
      <c r="AP8" s="253"/>
      <c r="AQ8" s="253"/>
      <c r="AR8" s="255">
        <f>500-500</f>
        <v>0</v>
      </c>
      <c r="AS8" s="255">
        <f>300-300</f>
        <v>0</v>
      </c>
      <c r="AT8" s="255">
        <f>15000-15000+8900-5040</f>
        <v>3860</v>
      </c>
      <c r="AU8" s="253"/>
      <c r="AV8" s="253"/>
      <c r="AW8" s="253"/>
      <c r="AX8" s="253"/>
      <c r="AY8" s="253"/>
      <c r="AZ8" s="255">
        <f>1500-1500</f>
        <v>0</v>
      </c>
      <c r="BA8" s="255">
        <f>500-500</f>
        <v>0</v>
      </c>
      <c r="BB8" s="255">
        <f>200-200</f>
        <v>0</v>
      </c>
      <c r="BC8" s="255">
        <f>100-100</f>
        <v>0</v>
      </c>
      <c r="BD8" s="255">
        <f>10000-10000+5200-2200</f>
        <v>3000</v>
      </c>
      <c r="BE8" s="255">
        <f>200-200</f>
        <v>0</v>
      </c>
      <c r="BF8" s="255">
        <f>500-500</f>
        <v>0</v>
      </c>
      <c r="BG8" s="253"/>
      <c r="BH8" s="253"/>
      <c r="BI8" s="255">
        <f>9-9</f>
        <v>0</v>
      </c>
      <c r="BJ8" s="255">
        <f>4-4</f>
        <v>0</v>
      </c>
      <c r="BK8" s="255">
        <f>2-2</f>
        <v>0</v>
      </c>
      <c r="BL8" s="255">
        <f>100-100</f>
        <v>0</v>
      </c>
      <c r="BM8" s="255">
        <f>13-13</f>
        <v>0</v>
      </c>
      <c r="BN8" s="255">
        <f>21-21</f>
        <v>0</v>
      </c>
      <c r="BO8" s="255">
        <f>3-3</f>
        <v>0</v>
      </c>
      <c r="BP8" s="255">
        <f>2000-2000+880-480</f>
        <v>400</v>
      </c>
      <c r="BQ8" s="255">
        <f>800-800</f>
        <v>0</v>
      </c>
      <c r="BR8" s="255">
        <f>3000-3000+380-240</f>
        <v>140</v>
      </c>
      <c r="BS8" s="255">
        <f>8000-8000+4000-1800</f>
        <v>2200</v>
      </c>
      <c r="BT8" s="255">
        <f>4000-4000+810-710</f>
        <v>100</v>
      </c>
      <c r="BU8" s="301">
        <f>0+40-40</f>
        <v>0</v>
      </c>
      <c r="BV8" s="301">
        <f>2000-2000+80-20</f>
        <v>60</v>
      </c>
      <c r="BW8" s="301">
        <f>500-500</f>
        <v>0</v>
      </c>
      <c r="BX8" s="301">
        <f>5000-5000</f>
        <v>0</v>
      </c>
      <c r="BY8" s="301">
        <f>4000-4000</f>
        <v>0</v>
      </c>
      <c r="BZ8" s="301">
        <f>4000-4000</f>
        <v>0</v>
      </c>
      <c r="CA8" s="301">
        <f>500-500</f>
        <v>0</v>
      </c>
      <c r="CB8" s="301">
        <f>2000-2000+1-1</f>
        <v>0</v>
      </c>
      <c r="CC8" s="255">
        <f>2000-2000+1600-715</f>
        <v>885</v>
      </c>
      <c r="CD8" s="255">
        <f>1000-1000</f>
        <v>0</v>
      </c>
      <c r="CE8" s="255">
        <f>3000-3000</f>
        <v>0</v>
      </c>
      <c r="CF8" s="255">
        <f>6000-6000+1630-730</f>
        <v>900</v>
      </c>
      <c r="CG8" s="255">
        <f>4000-4000+130-60</f>
        <v>70</v>
      </c>
      <c r="CH8" s="255">
        <f>1500-1500</f>
        <v>0</v>
      </c>
      <c r="CI8" s="255">
        <f>400-400+72-36</f>
        <v>36</v>
      </c>
      <c r="CJ8" s="255">
        <f>400-400+75-40</f>
        <v>35</v>
      </c>
      <c r="CK8" s="255">
        <f>500-500+320-120</f>
        <v>200</v>
      </c>
      <c r="CL8" s="255">
        <f>1000-1000</f>
        <v>0</v>
      </c>
      <c r="CM8" s="255">
        <f>4000-4000</f>
        <v>0</v>
      </c>
      <c r="CN8" s="253"/>
      <c r="CO8" s="255">
        <f>1000-1000</f>
        <v>0</v>
      </c>
      <c r="CP8" s="255">
        <f>100-100</f>
        <v>0</v>
      </c>
      <c r="CQ8" s="253"/>
      <c r="CR8" s="253"/>
      <c r="CS8" s="253"/>
      <c r="CT8" s="253"/>
      <c r="CU8" s="253"/>
      <c r="CV8" s="253"/>
      <c r="CW8" s="255">
        <f>2000-2000</f>
        <v>0</v>
      </c>
      <c r="CX8" s="255">
        <f>1500-1500</f>
        <v>0</v>
      </c>
      <c r="CY8" s="255">
        <f>500-500</f>
        <v>0</v>
      </c>
      <c r="CZ8" s="255">
        <f>200-200+52-24</f>
        <v>28</v>
      </c>
      <c r="DA8" s="255">
        <f>200-200+70-30</f>
        <v>40</v>
      </c>
      <c r="DB8" s="255">
        <f>300-300+300-110</f>
        <v>190</v>
      </c>
      <c r="DC8" s="255">
        <f>500-500</f>
        <v>0</v>
      </c>
      <c r="DD8" s="255">
        <f>1000-1000</f>
        <v>0</v>
      </c>
      <c r="DE8" s="255">
        <f>1000-1000+5-5</f>
        <v>0</v>
      </c>
      <c r="DF8" s="253"/>
      <c r="DG8" s="253"/>
      <c r="DH8" s="253"/>
      <c r="DI8" s="253"/>
      <c r="DJ8" s="253"/>
      <c r="DK8" s="255">
        <f>1000-1000+30</f>
        <v>30</v>
      </c>
      <c r="DL8" s="253"/>
      <c r="DM8" s="255">
        <f>500-500</f>
        <v>0</v>
      </c>
      <c r="DN8" s="253"/>
      <c r="DO8" s="253"/>
      <c r="DP8" s="253"/>
      <c r="DQ8" s="253"/>
      <c r="DR8" s="253"/>
      <c r="DS8" s="253"/>
      <c r="DT8" s="253"/>
      <c r="DU8" s="253"/>
      <c r="DV8" s="253"/>
      <c r="DW8" s="255">
        <f>100-100</f>
        <v>0</v>
      </c>
      <c r="DX8" s="255">
        <f>100-100</f>
        <v>0</v>
      </c>
      <c r="DY8" s="253"/>
      <c r="DZ8" s="253"/>
      <c r="EA8" s="253"/>
      <c r="EB8" s="253"/>
      <c r="EC8" s="253"/>
      <c r="ED8" s="253"/>
      <c r="EE8" s="253"/>
      <c r="EF8" s="255">
        <f>200-200</f>
        <v>0</v>
      </c>
      <c r="EG8" s="255">
        <f>500-500</f>
        <v>0</v>
      </c>
      <c r="EH8" s="255">
        <f>500-500</f>
        <v>0</v>
      </c>
      <c r="EI8" s="255">
        <f>300-300</f>
        <v>0</v>
      </c>
      <c r="EJ8" s="255">
        <f>3000-3000</f>
        <v>0</v>
      </c>
      <c r="EK8" s="255">
        <f>1000-1000</f>
        <v>0</v>
      </c>
      <c r="EL8" s="255">
        <f>2000-2000</f>
        <v>0</v>
      </c>
      <c r="EM8" s="301">
        <f>1000-1000+360-120</f>
        <v>240</v>
      </c>
      <c r="EN8" s="301"/>
      <c r="EO8" s="301">
        <f>2000-2000</f>
        <v>0</v>
      </c>
      <c r="EP8" s="301">
        <f>3000-3000+700-320</f>
        <v>380</v>
      </c>
      <c r="EQ8" s="301">
        <f>500-500+155-60</f>
        <v>95</v>
      </c>
      <c r="ER8" s="253"/>
      <c r="ES8" s="255">
        <f>1000-1000+2</f>
        <v>2</v>
      </c>
      <c r="ET8" s="301">
        <f>1500-1500+30-10</f>
        <v>20</v>
      </c>
      <c r="EU8" s="255">
        <f>500-500+5</f>
        <v>5</v>
      </c>
      <c r="EV8" s="253"/>
      <c r="EW8" s="255">
        <f>2000-2000</f>
        <v>0</v>
      </c>
      <c r="EX8" s="255">
        <f>300-300+2</f>
        <v>2</v>
      </c>
      <c r="EY8" s="255">
        <f>200-200</f>
        <v>0</v>
      </c>
      <c r="EZ8" s="253"/>
      <c r="FA8" s="255">
        <f>500-500</f>
        <v>0</v>
      </c>
      <c r="FB8" s="253"/>
      <c r="FC8" s="253"/>
      <c r="FD8" s="253"/>
      <c r="FE8" s="253"/>
      <c r="FF8" s="253"/>
      <c r="FG8" s="256"/>
      <c r="FH8" s="257" t="s">
        <v>993</v>
      </c>
      <c r="FI8" s="258" t="s">
        <v>389</v>
      </c>
      <c r="FJ8" s="258"/>
      <c r="FK8" s="258" t="s">
        <v>390</v>
      </c>
      <c r="FL8" s="259">
        <f t="shared" si="0"/>
        <v>13533</v>
      </c>
      <c r="FM8" s="260" t="s">
        <v>410</v>
      </c>
    </row>
    <row r="9" spans="1:169">
      <c r="A9" s="251" t="s">
        <v>385</v>
      </c>
      <c r="B9" s="251" t="s">
        <v>385</v>
      </c>
      <c r="C9" s="251" t="s">
        <v>386</v>
      </c>
      <c r="D9" s="251" t="s">
        <v>293</v>
      </c>
      <c r="E9" s="252" t="s">
        <v>387</v>
      </c>
      <c r="F9" s="251" t="s">
        <v>388</v>
      </c>
      <c r="G9" s="251"/>
      <c r="H9" s="253"/>
      <c r="I9" s="253"/>
      <c r="J9" s="253"/>
      <c r="K9" s="253"/>
      <c r="L9" s="253"/>
      <c r="M9" s="253"/>
      <c r="N9" s="253"/>
      <c r="O9" s="253"/>
      <c r="P9" s="253"/>
      <c r="Q9" s="253"/>
      <c r="R9" s="253"/>
      <c r="S9" s="253"/>
      <c r="T9" s="253"/>
      <c r="U9" s="253"/>
      <c r="V9" s="253"/>
      <c r="W9" s="253"/>
      <c r="X9" s="253"/>
      <c r="Y9" s="253"/>
      <c r="Z9" s="253"/>
      <c r="AA9" s="253"/>
      <c r="AB9" s="253"/>
      <c r="AC9" s="253"/>
      <c r="AD9" s="253"/>
      <c r="AE9" s="253"/>
      <c r="AF9" s="253"/>
      <c r="AG9" s="253"/>
      <c r="AH9" s="253"/>
      <c r="AI9" s="253"/>
      <c r="AJ9" s="253"/>
      <c r="AK9" s="253"/>
      <c r="AL9" s="253"/>
      <c r="AM9" s="253"/>
      <c r="AN9" s="253"/>
      <c r="AO9" s="253"/>
      <c r="AP9" s="253"/>
      <c r="AQ9" s="253"/>
      <c r="AR9" s="253"/>
      <c r="AS9" s="253"/>
      <c r="AT9" s="255">
        <v>400</v>
      </c>
      <c r="AU9" s="253"/>
      <c r="AV9" s="253"/>
      <c r="AW9" s="253"/>
      <c r="AX9" s="253"/>
      <c r="AY9" s="253"/>
      <c r="AZ9" s="253"/>
      <c r="BA9" s="253"/>
      <c r="BB9" s="253"/>
      <c r="BC9" s="253"/>
      <c r="BD9" s="253"/>
      <c r="BE9" s="253"/>
      <c r="BF9" s="253"/>
      <c r="BG9" s="253"/>
      <c r="BH9" s="253"/>
      <c r="BI9" s="253"/>
      <c r="BJ9" s="253"/>
      <c r="BK9" s="253"/>
      <c r="BL9" s="253"/>
      <c r="BM9" s="253"/>
      <c r="BN9" s="253"/>
      <c r="BO9" s="253"/>
      <c r="BP9" s="255">
        <v>200</v>
      </c>
      <c r="BQ9" s="253"/>
      <c r="BR9" s="253"/>
      <c r="BS9" s="253"/>
      <c r="BT9" s="255">
        <v>550</v>
      </c>
      <c r="BU9" s="253"/>
      <c r="BV9" s="253"/>
      <c r="BW9" s="253"/>
      <c r="BX9" s="253"/>
      <c r="BY9" s="253"/>
      <c r="BZ9" s="253"/>
      <c r="CA9" s="253"/>
      <c r="CB9" s="253"/>
      <c r="CC9" s="253"/>
      <c r="CD9" s="253"/>
      <c r="CE9" s="253"/>
      <c r="CF9" s="253"/>
      <c r="CG9" s="253"/>
      <c r="CH9" s="253"/>
      <c r="CI9" s="253"/>
      <c r="CJ9" s="253"/>
      <c r="CK9" s="253"/>
      <c r="CL9" s="253"/>
      <c r="CM9" s="253"/>
      <c r="CN9" s="255">
        <f>4000-4000+480-220</f>
        <v>260</v>
      </c>
      <c r="CO9" s="253"/>
      <c r="CP9" s="253"/>
      <c r="CQ9" s="253"/>
      <c r="CR9" s="253"/>
      <c r="CS9" s="253"/>
      <c r="CT9" s="253"/>
      <c r="CU9" s="253"/>
      <c r="CV9" s="253"/>
      <c r="CW9" s="253"/>
      <c r="CX9" s="253"/>
      <c r="CY9" s="253"/>
      <c r="CZ9" s="253"/>
      <c r="DA9" s="253"/>
      <c r="DB9" s="253"/>
      <c r="DC9" s="253"/>
      <c r="DD9" s="253"/>
      <c r="DE9" s="253"/>
      <c r="DF9" s="255">
        <f>50-50+70-14</f>
        <v>56</v>
      </c>
      <c r="DG9" s="253"/>
      <c r="DH9" s="253"/>
      <c r="DI9" s="253"/>
      <c r="DJ9" s="253"/>
      <c r="DK9" s="253"/>
      <c r="DL9" s="253"/>
      <c r="DM9" s="253"/>
      <c r="DN9" s="253"/>
      <c r="DO9" s="253"/>
      <c r="DP9" s="253"/>
      <c r="DQ9" s="253"/>
      <c r="DR9" s="253"/>
      <c r="DS9" s="253"/>
      <c r="DT9" s="253"/>
      <c r="DU9" s="253"/>
      <c r="DV9" s="253"/>
      <c r="DW9" s="253"/>
      <c r="DX9" s="253"/>
      <c r="DY9" s="253"/>
      <c r="DZ9" s="253"/>
      <c r="EA9" s="253"/>
      <c r="EB9" s="253"/>
      <c r="EC9" s="253"/>
      <c r="ED9" s="253"/>
      <c r="EE9" s="253"/>
      <c r="EF9" s="253"/>
      <c r="EG9" s="253"/>
      <c r="EH9" s="253"/>
      <c r="EI9" s="253"/>
      <c r="EJ9" s="253"/>
      <c r="EK9" s="253"/>
      <c r="EL9" s="253"/>
      <c r="EM9" s="253"/>
      <c r="EN9" s="255">
        <f>500-500</f>
        <v>0</v>
      </c>
      <c r="EO9" s="253"/>
      <c r="EP9" s="253"/>
      <c r="EQ9" s="253"/>
      <c r="ER9" s="255">
        <f>100-100</f>
        <v>0</v>
      </c>
      <c r="ES9" s="253"/>
      <c r="ET9" s="253"/>
      <c r="EU9" s="253"/>
      <c r="EV9" s="255">
        <f>100-100</f>
        <v>0</v>
      </c>
      <c r="EW9" s="253"/>
      <c r="EX9" s="253"/>
      <c r="EY9" s="253"/>
      <c r="EZ9" s="255">
        <f>100-100</f>
        <v>0</v>
      </c>
      <c r="FA9" s="253"/>
      <c r="FB9" s="253"/>
      <c r="FC9" s="253"/>
      <c r="FD9" s="253"/>
      <c r="FE9" s="253"/>
      <c r="FF9" s="253"/>
      <c r="FG9" s="256"/>
      <c r="FH9" s="257" t="s">
        <v>993</v>
      </c>
      <c r="FI9" s="258" t="s">
        <v>389</v>
      </c>
      <c r="FJ9" s="258"/>
      <c r="FK9" s="258" t="s">
        <v>390</v>
      </c>
      <c r="FL9" s="259">
        <f t="shared" si="0"/>
        <v>1466</v>
      </c>
      <c r="FM9" s="260" t="s">
        <v>410</v>
      </c>
    </row>
    <row r="10" spans="1:169">
      <c r="A10" s="251" t="s">
        <v>385</v>
      </c>
      <c r="B10" s="251" t="s">
        <v>392</v>
      </c>
      <c r="C10" s="251" t="s">
        <v>386</v>
      </c>
      <c r="D10" s="251" t="s">
        <v>291</v>
      </c>
      <c r="E10" s="252" t="s">
        <v>387</v>
      </c>
      <c r="F10" s="251" t="s">
        <v>388</v>
      </c>
      <c r="G10" s="251"/>
      <c r="H10" s="253"/>
      <c r="I10" s="255">
        <f>2000-2000</f>
        <v>0</v>
      </c>
      <c r="J10" s="253"/>
      <c r="K10" s="255">
        <f>2200-2200</f>
        <v>0</v>
      </c>
      <c r="L10" s="253"/>
      <c r="M10" s="253"/>
      <c r="N10" s="255">
        <f>5000-5000</f>
        <v>0</v>
      </c>
      <c r="O10" s="253"/>
      <c r="P10" s="253"/>
      <c r="Q10" s="253"/>
      <c r="R10" s="253"/>
      <c r="S10" s="253"/>
      <c r="T10" s="253"/>
      <c r="U10" s="253"/>
      <c r="V10" s="253"/>
      <c r="W10" s="253"/>
      <c r="X10" s="253"/>
      <c r="Y10" s="253"/>
      <c r="Z10" s="253"/>
      <c r="AA10" s="253"/>
      <c r="AB10" s="253"/>
      <c r="AC10" s="253"/>
      <c r="AD10" s="253"/>
      <c r="AE10" s="253"/>
      <c r="AF10" s="253"/>
      <c r="AG10" s="253"/>
      <c r="AH10" s="253"/>
      <c r="AI10" s="253"/>
      <c r="AJ10" s="253"/>
      <c r="AK10" s="253"/>
      <c r="AL10" s="253"/>
      <c r="AM10" s="253"/>
      <c r="AN10" s="253"/>
      <c r="AO10" s="253"/>
      <c r="AP10" s="253"/>
      <c r="AQ10" s="253"/>
      <c r="AR10" s="253"/>
      <c r="AS10" s="253"/>
      <c r="AT10" s="253"/>
      <c r="AU10" s="253"/>
      <c r="AV10" s="253"/>
      <c r="AW10" s="253"/>
      <c r="AX10" s="253"/>
      <c r="AY10" s="253"/>
      <c r="AZ10" s="253"/>
      <c r="BA10" s="253"/>
      <c r="BB10" s="253"/>
      <c r="BC10" s="253"/>
      <c r="BD10" s="253"/>
      <c r="BE10" s="253"/>
      <c r="BF10" s="253"/>
      <c r="BG10" s="253"/>
      <c r="BH10" s="253"/>
      <c r="BI10" s="253"/>
      <c r="BJ10" s="253"/>
      <c r="BK10" s="253"/>
      <c r="BL10" s="253"/>
      <c r="BM10" s="253"/>
      <c r="BN10" s="253"/>
      <c r="BO10" s="253"/>
      <c r="BP10" s="253"/>
      <c r="BQ10" s="253"/>
      <c r="BR10" s="253"/>
      <c r="BS10" s="253"/>
      <c r="BT10" s="253"/>
      <c r="BU10" s="253"/>
      <c r="BV10" s="253"/>
      <c r="BW10" s="253"/>
      <c r="BX10" s="253"/>
      <c r="BY10" s="253"/>
      <c r="BZ10" s="253"/>
      <c r="CA10" s="253"/>
      <c r="CB10" s="253"/>
      <c r="CC10" s="253"/>
      <c r="CD10" s="253"/>
      <c r="CE10" s="253"/>
      <c r="CF10" s="253"/>
      <c r="CG10" s="253"/>
      <c r="CH10" s="253"/>
      <c r="CI10" s="253"/>
      <c r="CJ10" s="253"/>
      <c r="CK10" s="253"/>
      <c r="CL10" s="253"/>
      <c r="CM10" s="253"/>
      <c r="CN10" s="253"/>
      <c r="CO10" s="253"/>
      <c r="CP10" s="253"/>
      <c r="CQ10" s="253"/>
      <c r="CR10" s="253"/>
      <c r="CS10" s="253"/>
      <c r="CT10" s="253"/>
      <c r="CU10" s="253"/>
      <c r="CV10" s="253"/>
      <c r="CW10" s="253"/>
      <c r="CX10" s="253"/>
      <c r="CY10" s="253"/>
      <c r="CZ10" s="253"/>
      <c r="DA10" s="253"/>
      <c r="DB10" s="253"/>
      <c r="DC10" s="253"/>
      <c r="DD10" s="253"/>
      <c r="DE10" s="253"/>
      <c r="DF10" s="253"/>
      <c r="DG10" s="253"/>
      <c r="DH10" s="253"/>
      <c r="DI10" s="253"/>
      <c r="DJ10" s="253"/>
      <c r="DK10" s="253"/>
      <c r="DL10" s="253"/>
      <c r="DM10" s="253"/>
      <c r="DN10" s="253"/>
      <c r="DO10" s="253"/>
      <c r="DP10" s="255">
        <f>2000-2000</f>
        <v>0</v>
      </c>
      <c r="DQ10" s="255">
        <f>1000-1000</f>
        <v>0</v>
      </c>
      <c r="DR10" s="253"/>
      <c r="DS10" s="253"/>
      <c r="DT10" s="255">
        <f>3000-3000</f>
        <v>0</v>
      </c>
      <c r="DU10" s="301">
        <f>1000-1000+660-300</f>
        <v>360</v>
      </c>
      <c r="DV10" s="255">
        <f>1000-1000</f>
        <v>0</v>
      </c>
      <c r="DW10" s="253"/>
      <c r="DX10" s="253"/>
      <c r="DY10" s="253"/>
      <c r="DZ10" s="253"/>
      <c r="EA10" s="253"/>
      <c r="EB10" s="253"/>
      <c r="EC10" s="253"/>
      <c r="ED10" s="253"/>
      <c r="EE10" s="253"/>
      <c r="EF10" s="253"/>
      <c r="EG10" s="253"/>
      <c r="EH10" s="253"/>
      <c r="EI10" s="253"/>
      <c r="EJ10" s="253"/>
      <c r="EK10" s="253"/>
      <c r="EL10" s="253"/>
      <c r="EM10" s="253"/>
      <c r="EN10" s="253"/>
      <c r="EO10" s="253"/>
      <c r="EP10" s="253"/>
      <c r="EQ10" s="253"/>
      <c r="ER10" s="253"/>
      <c r="ES10" s="253"/>
      <c r="ET10" s="253"/>
      <c r="EU10" s="253"/>
      <c r="EV10" s="253"/>
      <c r="EW10" s="253"/>
      <c r="EX10" s="253"/>
      <c r="EY10" s="253"/>
      <c r="EZ10" s="253"/>
      <c r="FA10" s="253"/>
      <c r="FB10" s="253"/>
      <c r="FC10" s="253"/>
      <c r="FD10" s="253"/>
      <c r="FE10" s="253"/>
      <c r="FF10" s="253"/>
      <c r="FG10" s="256"/>
      <c r="FH10" s="257" t="s">
        <v>993</v>
      </c>
      <c r="FI10" s="258" t="s">
        <v>389</v>
      </c>
      <c r="FJ10" s="258"/>
      <c r="FK10" s="258" t="s">
        <v>390</v>
      </c>
      <c r="FL10" s="259">
        <f t="shared" si="0"/>
        <v>360</v>
      </c>
      <c r="FM10" s="260" t="s">
        <v>410</v>
      </c>
    </row>
    <row r="11" spans="1:169">
      <c r="A11" s="251" t="s">
        <v>385</v>
      </c>
      <c r="B11" s="251" t="s">
        <v>392</v>
      </c>
      <c r="C11" s="251" t="s">
        <v>386</v>
      </c>
      <c r="D11" s="251" t="s">
        <v>1</v>
      </c>
      <c r="E11" s="252" t="s">
        <v>387</v>
      </c>
      <c r="F11" s="251" t="s">
        <v>388</v>
      </c>
      <c r="G11" s="251"/>
      <c r="H11" s="253"/>
      <c r="I11" s="253"/>
      <c r="J11" s="253"/>
      <c r="K11" s="253"/>
      <c r="L11" s="255">
        <f>8000-8000</f>
        <v>0</v>
      </c>
      <c r="M11" s="253"/>
      <c r="N11" s="253"/>
      <c r="O11" s="255">
        <f>5000-5000</f>
        <v>0</v>
      </c>
      <c r="P11" s="255">
        <f>5000-5000</f>
        <v>0</v>
      </c>
      <c r="Q11" s="253"/>
      <c r="R11" s="253"/>
      <c r="S11" s="253"/>
      <c r="T11" s="253"/>
      <c r="U11" s="253"/>
      <c r="V11" s="253"/>
      <c r="W11" s="253"/>
      <c r="X11" s="253"/>
      <c r="Y11" s="253"/>
      <c r="Z11" s="253"/>
      <c r="AA11" s="253"/>
      <c r="AB11" s="253"/>
      <c r="AC11" s="253"/>
      <c r="AD11" s="253"/>
      <c r="AE11" s="253"/>
      <c r="AF11" s="255">
        <f>500-500</f>
        <v>0</v>
      </c>
      <c r="AG11" s="253"/>
      <c r="AH11" s="253"/>
      <c r="AI11" s="253"/>
      <c r="AJ11" s="253"/>
      <c r="AK11" s="253"/>
      <c r="AL11" s="253"/>
      <c r="AM11" s="253"/>
      <c r="AN11" s="253"/>
      <c r="AO11" s="253"/>
      <c r="AP11" s="253"/>
      <c r="AQ11" s="253"/>
      <c r="AR11" s="253"/>
      <c r="AS11" s="253"/>
      <c r="AT11" s="253"/>
      <c r="AU11" s="253"/>
      <c r="AV11" s="253"/>
      <c r="AW11" s="253"/>
      <c r="AX11" s="253"/>
      <c r="AY11" s="253"/>
      <c r="AZ11" s="253"/>
      <c r="BA11" s="253"/>
      <c r="BB11" s="253"/>
      <c r="BC11" s="253"/>
      <c r="BD11" s="253"/>
      <c r="BE11" s="253"/>
      <c r="BF11" s="253"/>
      <c r="BG11" s="253"/>
      <c r="BH11" s="253"/>
      <c r="BI11" s="253"/>
      <c r="BJ11" s="253"/>
      <c r="BK11" s="253"/>
      <c r="BL11" s="253"/>
      <c r="BM11" s="253"/>
      <c r="BN11" s="253"/>
      <c r="BO11" s="253"/>
      <c r="BP11" s="253"/>
      <c r="BQ11" s="253"/>
      <c r="BR11" s="253"/>
      <c r="BS11" s="253"/>
      <c r="BT11" s="253"/>
      <c r="BU11" s="253"/>
      <c r="BV11" s="253"/>
      <c r="BW11" s="253"/>
      <c r="BX11" s="253"/>
      <c r="BY11" s="253"/>
      <c r="BZ11" s="253"/>
      <c r="CA11" s="253"/>
      <c r="CB11" s="253"/>
      <c r="CC11" s="253"/>
      <c r="CD11" s="253"/>
      <c r="CE11" s="253"/>
      <c r="CF11" s="253"/>
      <c r="CG11" s="253"/>
      <c r="CH11" s="253"/>
      <c r="CI11" s="253"/>
      <c r="CJ11" s="253"/>
      <c r="CK11" s="253"/>
      <c r="CL11" s="253"/>
      <c r="CM11" s="253"/>
      <c r="CN11" s="253"/>
      <c r="CO11" s="253"/>
      <c r="CP11" s="253"/>
      <c r="CQ11" s="253"/>
      <c r="CR11" s="253"/>
      <c r="CS11" s="253"/>
      <c r="CT11" s="253"/>
      <c r="CU11" s="253"/>
      <c r="CV11" s="253"/>
      <c r="CW11" s="253"/>
      <c r="CX11" s="253"/>
      <c r="CY11" s="253"/>
      <c r="CZ11" s="253"/>
      <c r="DA11" s="253"/>
      <c r="DB11" s="253"/>
      <c r="DC11" s="253"/>
      <c r="DD11" s="253"/>
      <c r="DE11" s="253"/>
      <c r="DF11" s="253"/>
      <c r="DG11" s="253"/>
      <c r="DH11" s="253"/>
      <c r="DI11" s="253"/>
      <c r="DJ11" s="253"/>
      <c r="DK11" s="253"/>
      <c r="DL11" s="253"/>
      <c r="DM11" s="253"/>
      <c r="DN11" s="253"/>
      <c r="DO11" s="253"/>
      <c r="DP11" s="253"/>
      <c r="DQ11" s="253"/>
      <c r="DR11" s="301">
        <f>5000-5000+2900-150</f>
        <v>2750</v>
      </c>
      <c r="DS11" s="255">
        <f>3000-3000</f>
        <v>0</v>
      </c>
      <c r="DT11" s="253"/>
      <c r="DU11" s="253"/>
      <c r="DV11" s="253"/>
      <c r="DW11" s="253"/>
      <c r="DX11" s="253"/>
      <c r="DY11" s="253"/>
      <c r="DZ11" s="253"/>
      <c r="EA11" s="255">
        <f>500-500</f>
        <v>0</v>
      </c>
      <c r="EB11" s="255">
        <f>500-500</f>
        <v>0</v>
      </c>
      <c r="EC11" s="253"/>
      <c r="ED11" s="253"/>
      <c r="EE11" s="255">
        <f>100-100</f>
        <v>0</v>
      </c>
      <c r="EF11" s="253"/>
      <c r="EG11" s="253"/>
      <c r="EH11" s="253"/>
      <c r="EI11" s="253"/>
      <c r="EJ11" s="253"/>
      <c r="EK11" s="253"/>
      <c r="EL11" s="253"/>
      <c r="EM11" s="253"/>
      <c r="EN11" s="253"/>
      <c r="EO11" s="253"/>
      <c r="EP11" s="253"/>
      <c r="EQ11" s="253"/>
      <c r="ER11" s="253"/>
      <c r="ES11" s="253"/>
      <c r="ET11" s="253"/>
      <c r="EU11" s="253"/>
      <c r="EV11" s="253"/>
      <c r="EW11" s="253"/>
      <c r="EX11" s="253"/>
      <c r="EY11" s="253"/>
      <c r="EZ11" s="253"/>
      <c r="FA11" s="253"/>
      <c r="FB11" s="253"/>
      <c r="FC11" s="301">
        <f>1000-1000+330-330</f>
        <v>0</v>
      </c>
      <c r="FD11" s="255">
        <f>2000-2000</f>
        <v>0</v>
      </c>
      <c r="FE11" s="253"/>
      <c r="FF11" s="253"/>
      <c r="FG11" s="256"/>
      <c r="FH11" s="257" t="s">
        <v>993</v>
      </c>
      <c r="FI11" s="258" t="s">
        <v>389</v>
      </c>
      <c r="FJ11" s="258"/>
      <c r="FK11" s="258" t="s">
        <v>390</v>
      </c>
      <c r="FL11" s="259">
        <f t="shared" si="0"/>
        <v>2750</v>
      </c>
      <c r="FM11" s="260" t="s">
        <v>410</v>
      </c>
    </row>
    <row r="12" spans="1:169">
      <c r="A12" s="251" t="s">
        <v>385</v>
      </c>
      <c r="B12" s="251" t="s">
        <v>392</v>
      </c>
      <c r="C12" s="251" t="s">
        <v>386</v>
      </c>
      <c r="D12" s="251" t="s">
        <v>293</v>
      </c>
      <c r="E12" s="252" t="s">
        <v>387</v>
      </c>
      <c r="F12" s="251" t="s">
        <v>388</v>
      </c>
      <c r="G12" s="251"/>
      <c r="H12" s="253"/>
      <c r="I12" s="253"/>
      <c r="J12" s="255">
        <f>2000-2000</f>
        <v>0</v>
      </c>
      <c r="K12" s="253"/>
      <c r="L12" s="253"/>
      <c r="M12" s="253"/>
      <c r="N12" s="253"/>
      <c r="O12" s="253"/>
      <c r="P12" s="253"/>
      <c r="Q12" s="253"/>
      <c r="R12" s="253"/>
      <c r="S12" s="253"/>
      <c r="T12" s="253"/>
      <c r="U12" s="253"/>
      <c r="V12" s="253"/>
      <c r="W12" s="253"/>
      <c r="X12" s="253"/>
      <c r="Y12" s="253"/>
      <c r="Z12" s="253"/>
      <c r="AA12" s="253"/>
      <c r="AB12" s="253"/>
      <c r="AC12" s="253"/>
      <c r="AD12" s="253"/>
      <c r="AE12" s="253"/>
      <c r="AF12" s="253"/>
      <c r="AG12" s="253"/>
      <c r="AH12" s="253"/>
      <c r="AI12" s="253"/>
      <c r="AJ12" s="253"/>
      <c r="AK12" s="253"/>
      <c r="AL12" s="253"/>
      <c r="AM12" s="253"/>
      <c r="AN12" s="253"/>
      <c r="AO12" s="253"/>
      <c r="AP12" s="253"/>
      <c r="AQ12" s="253"/>
      <c r="AR12" s="253"/>
      <c r="AS12" s="253"/>
      <c r="AT12" s="253"/>
      <c r="AU12" s="253"/>
      <c r="AV12" s="253"/>
      <c r="AW12" s="253"/>
      <c r="AX12" s="253"/>
      <c r="AY12" s="253"/>
      <c r="AZ12" s="253"/>
      <c r="BA12" s="253"/>
      <c r="BB12" s="253"/>
      <c r="BC12" s="253"/>
      <c r="BD12" s="253"/>
      <c r="BE12" s="253"/>
      <c r="BF12" s="253"/>
      <c r="BG12" s="253"/>
      <c r="BH12" s="253"/>
      <c r="BI12" s="253"/>
      <c r="BJ12" s="253"/>
      <c r="BK12" s="253"/>
      <c r="BL12" s="253"/>
      <c r="BM12" s="253"/>
      <c r="BN12" s="253"/>
      <c r="BO12" s="253"/>
      <c r="BP12" s="253"/>
      <c r="BQ12" s="253"/>
      <c r="BR12" s="253"/>
      <c r="BS12" s="253"/>
      <c r="BT12" s="253"/>
      <c r="BU12" s="253"/>
      <c r="BV12" s="253"/>
      <c r="BW12" s="253"/>
      <c r="BX12" s="253"/>
      <c r="BY12" s="253"/>
      <c r="BZ12" s="253"/>
      <c r="CA12" s="253"/>
      <c r="CB12" s="253"/>
      <c r="CC12" s="253"/>
      <c r="CD12" s="253"/>
      <c r="CE12" s="253"/>
      <c r="CF12" s="253"/>
      <c r="CG12" s="253"/>
      <c r="CH12" s="253"/>
      <c r="CI12" s="253"/>
      <c r="CJ12" s="253"/>
      <c r="CK12" s="253"/>
      <c r="CL12" s="253"/>
      <c r="CM12" s="253"/>
      <c r="CN12" s="253"/>
      <c r="CO12" s="253"/>
      <c r="CP12" s="253"/>
      <c r="CQ12" s="253"/>
      <c r="CR12" s="253"/>
      <c r="CS12" s="253"/>
      <c r="CT12" s="253"/>
      <c r="CU12" s="253"/>
      <c r="CV12" s="253"/>
      <c r="CW12" s="253"/>
      <c r="CX12" s="253"/>
      <c r="CY12" s="253"/>
      <c r="CZ12" s="253"/>
      <c r="DA12" s="253"/>
      <c r="DB12" s="253"/>
      <c r="DC12" s="253"/>
      <c r="DD12" s="253"/>
      <c r="DE12" s="253"/>
      <c r="DF12" s="253"/>
      <c r="DG12" s="253"/>
      <c r="DH12" s="253"/>
      <c r="DI12" s="253"/>
      <c r="DJ12" s="253"/>
      <c r="DK12" s="253"/>
      <c r="DL12" s="253"/>
      <c r="DM12" s="253"/>
      <c r="DN12" s="253"/>
      <c r="DO12" s="253"/>
      <c r="DP12" s="253"/>
      <c r="DQ12" s="253"/>
      <c r="DR12" s="253"/>
      <c r="DS12" s="253"/>
      <c r="DT12" s="253"/>
      <c r="DU12" s="253"/>
      <c r="DV12" s="253"/>
      <c r="DW12" s="253"/>
      <c r="DX12" s="253"/>
      <c r="DY12" s="253"/>
      <c r="DZ12" s="253"/>
      <c r="EA12" s="253"/>
      <c r="EB12" s="253"/>
      <c r="EC12" s="253"/>
      <c r="ED12" s="253"/>
      <c r="EE12" s="253"/>
      <c r="EF12" s="253"/>
      <c r="EG12" s="253"/>
      <c r="EH12" s="253"/>
      <c r="EI12" s="253"/>
      <c r="EJ12" s="253"/>
      <c r="EK12" s="253"/>
      <c r="EL12" s="253"/>
      <c r="EM12" s="253"/>
      <c r="EN12" s="253"/>
      <c r="EO12" s="253"/>
      <c r="EP12" s="253"/>
      <c r="EQ12" s="253"/>
      <c r="ER12" s="253"/>
      <c r="ES12" s="253"/>
      <c r="ET12" s="253"/>
      <c r="EU12" s="253"/>
      <c r="EV12" s="253"/>
      <c r="EW12" s="253"/>
      <c r="EX12" s="253"/>
      <c r="EY12" s="253"/>
      <c r="EZ12" s="253"/>
      <c r="FA12" s="253"/>
      <c r="FB12" s="253"/>
      <c r="FC12" s="253"/>
      <c r="FD12" s="253"/>
      <c r="FE12" s="253"/>
      <c r="FF12" s="253"/>
      <c r="FG12" s="256"/>
      <c r="FH12" s="257" t="s">
        <v>993</v>
      </c>
      <c r="FI12" s="258" t="s">
        <v>389</v>
      </c>
      <c r="FJ12" s="258"/>
      <c r="FK12" s="258" t="s">
        <v>390</v>
      </c>
      <c r="FL12" s="259">
        <f t="shared" si="0"/>
        <v>0</v>
      </c>
      <c r="FM12" s="260" t="s">
        <v>410</v>
      </c>
    </row>
    <row r="13" spans="1:169" s="276" customFormat="1" ht="11.4" hidden="1">
      <c r="A13" s="251" t="s">
        <v>393</v>
      </c>
      <c r="B13" s="251" t="s">
        <v>385</v>
      </c>
      <c r="C13" s="251" t="s">
        <v>394</v>
      </c>
      <c r="D13" s="251" t="s">
        <v>291</v>
      </c>
      <c r="E13" s="252" t="s">
        <v>395</v>
      </c>
      <c r="F13" s="251" t="s">
        <v>388</v>
      </c>
      <c r="G13" s="251"/>
      <c r="H13" s="253"/>
      <c r="I13" s="253"/>
      <c r="J13" s="253"/>
      <c r="K13" s="253"/>
      <c r="L13" s="253"/>
      <c r="M13" s="253"/>
      <c r="N13" s="253"/>
      <c r="O13" s="253"/>
      <c r="P13" s="253"/>
      <c r="Q13" s="253"/>
      <c r="R13" s="253"/>
      <c r="S13" s="253"/>
      <c r="T13" s="253"/>
      <c r="U13" s="253"/>
      <c r="V13" s="253"/>
      <c r="W13" s="253"/>
      <c r="X13" s="253"/>
      <c r="Y13" s="253"/>
      <c r="Z13" s="253"/>
      <c r="AA13" s="253"/>
      <c r="AB13" s="253"/>
      <c r="AC13" s="253"/>
      <c r="AD13" s="253"/>
      <c r="AE13" s="253"/>
      <c r="AF13" s="253"/>
      <c r="AG13" s="255">
        <f>500-500</f>
        <v>0</v>
      </c>
      <c r="AH13" s="253"/>
      <c r="AI13" s="253"/>
      <c r="AJ13" s="253"/>
      <c r="AK13" s="253"/>
      <c r="AL13" s="253"/>
      <c r="AM13" s="253"/>
      <c r="AN13" s="253"/>
      <c r="AO13" s="253"/>
      <c r="AP13" s="253"/>
      <c r="AQ13" s="253"/>
      <c r="AR13" s="253"/>
      <c r="AS13" s="253"/>
      <c r="AT13" s="253"/>
      <c r="AU13" s="253"/>
      <c r="AV13" s="253"/>
      <c r="AW13" s="253"/>
      <c r="AX13" s="253"/>
      <c r="AY13" s="253"/>
      <c r="AZ13" s="253"/>
      <c r="BA13" s="253"/>
      <c r="BB13" s="253"/>
      <c r="BC13" s="253"/>
      <c r="BD13" s="253"/>
      <c r="BE13" s="253"/>
      <c r="BF13" s="253"/>
      <c r="BG13" s="253"/>
      <c r="BH13" s="253"/>
      <c r="BI13" s="253"/>
      <c r="BJ13" s="253"/>
      <c r="BK13" s="253"/>
      <c r="BL13" s="253"/>
      <c r="BM13" s="253"/>
      <c r="BN13" s="253"/>
      <c r="BO13" s="253"/>
      <c r="BP13" s="253"/>
      <c r="BQ13" s="253"/>
      <c r="BR13" s="253"/>
      <c r="BS13" s="253"/>
      <c r="BT13" s="253"/>
      <c r="BU13" s="253"/>
      <c r="BV13" s="253"/>
      <c r="BW13" s="253"/>
      <c r="BX13" s="253"/>
      <c r="BY13" s="253"/>
      <c r="BZ13" s="253"/>
      <c r="CA13" s="253"/>
      <c r="CB13" s="253"/>
      <c r="CC13" s="253"/>
      <c r="CD13" s="253"/>
      <c r="CE13" s="253"/>
      <c r="CF13" s="253"/>
      <c r="CG13" s="253"/>
      <c r="CH13" s="253"/>
      <c r="CI13" s="253"/>
      <c r="CJ13" s="253"/>
      <c r="CK13" s="253"/>
      <c r="CL13" s="253"/>
      <c r="CM13" s="253"/>
      <c r="CN13" s="253"/>
      <c r="CO13" s="253"/>
      <c r="CP13" s="253"/>
      <c r="CQ13" s="253"/>
      <c r="CR13" s="253"/>
      <c r="CS13" s="253"/>
      <c r="CT13" s="253"/>
      <c r="CU13" s="253"/>
      <c r="CV13" s="253"/>
      <c r="CW13" s="253"/>
      <c r="CX13" s="253"/>
      <c r="CY13" s="253"/>
      <c r="CZ13" s="253"/>
      <c r="DA13" s="253"/>
      <c r="DB13" s="253"/>
      <c r="DC13" s="253"/>
      <c r="DD13" s="253"/>
      <c r="DE13" s="253"/>
      <c r="DF13" s="253"/>
      <c r="DG13" s="253"/>
      <c r="DH13" s="253"/>
      <c r="DI13" s="253"/>
      <c r="DJ13" s="253"/>
      <c r="DK13" s="253"/>
      <c r="DL13" s="253"/>
      <c r="DM13" s="253"/>
      <c r="DN13" s="253"/>
      <c r="DO13" s="253"/>
      <c r="DP13" s="253"/>
      <c r="DQ13" s="253"/>
      <c r="DR13" s="253"/>
      <c r="DS13" s="253"/>
      <c r="DT13" s="253"/>
      <c r="DU13" s="253"/>
      <c r="DV13" s="253"/>
      <c r="DW13" s="253"/>
      <c r="DX13" s="253"/>
      <c r="DY13" s="253"/>
      <c r="DZ13" s="253"/>
      <c r="EA13" s="253"/>
      <c r="EB13" s="253"/>
      <c r="EC13" s="253"/>
      <c r="ED13" s="253"/>
      <c r="EE13" s="253"/>
      <c r="EF13" s="253"/>
      <c r="EG13" s="253"/>
      <c r="EH13" s="253"/>
      <c r="EI13" s="253"/>
      <c r="EJ13" s="253"/>
      <c r="EK13" s="253"/>
      <c r="EL13" s="253"/>
      <c r="EM13" s="253"/>
      <c r="EN13" s="253"/>
      <c r="EO13" s="253"/>
      <c r="EP13" s="253"/>
      <c r="EQ13" s="253"/>
      <c r="ER13" s="253"/>
      <c r="ES13" s="253"/>
      <c r="ET13" s="253"/>
      <c r="EU13" s="253"/>
      <c r="EV13" s="253"/>
      <c r="EW13" s="253"/>
      <c r="EX13" s="253"/>
      <c r="EY13" s="253"/>
      <c r="EZ13" s="253"/>
      <c r="FA13" s="253"/>
      <c r="FB13" s="253"/>
      <c r="FC13" s="253"/>
      <c r="FD13" s="253"/>
      <c r="FE13" s="253"/>
      <c r="FF13" s="253"/>
      <c r="FG13" s="256"/>
      <c r="FH13" s="257" t="s">
        <v>993</v>
      </c>
      <c r="FI13" s="258" t="s">
        <v>389</v>
      </c>
      <c r="FJ13" s="258" t="s">
        <v>396</v>
      </c>
      <c r="FK13" s="258" t="s">
        <v>397</v>
      </c>
      <c r="FL13" s="259">
        <f t="shared" si="0"/>
        <v>0</v>
      </c>
      <c r="FM13" s="260" t="s">
        <v>398</v>
      </c>
    </row>
    <row r="14" spans="1:169" s="276" customFormat="1" ht="11.4" hidden="1">
      <c r="A14" s="251" t="s">
        <v>393</v>
      </c>
      <c r="B14" s="251" t="s">
        <v>385</v>
      </c>
      <c r="C14" s="251" t="s">
        <v>394</v>
      </c>
      <c r="D14" s="251" t="s">
        <v>1</v>
      </c>
      <c r="E14" s="252" t="s">
        <v>395</v>
      </c>
      <c r="F14" s="251" t="s">
        <v>388</v>
      </c>
      <c r="G14" s="251"/>
      <c r="H14" s="253"/>
      <c r="I14" s="253"/>
      <c r="J14" s="253"/>
      <c r="K14" s="253"/>
      <c r="L14" s="253"/>
      <c r="M14" s="253"/>
      <c r="N14" s="253"/>
      <c r="O14" s="253"/>
      <c r="P14" s="253"/>
      <c r="Q14" s="253"/>
      <c r="R14" s="253"/>
      <c r="S14" s="253"/>
      <c r="T14" s="253"/>
      <c r="U14" s="255">
        <f>1000-1000</f>
        <v>0</v>
      </c>
      <c r="V14" s="253"/>
      <c r="W14" s="253"/>
      <c r="X14" s="253"/>
      <c r="Y14" s="253"/>
      <c r="Z14" s="253"/>
      <c r="AA14" s="253"/>
      <c r="AB14" s="253"/>
      <c r="AC14" s="253"/>
      <c r="AD14" s="253"/>
      <c r="AE14" s="253"/>
      <c r="AF14" s="253"/>
      <c r="AG14" s="253"/>
      <c r="AH14" s="253"/>
      <c r="AI14" s="253"/>
      <c r="AJ14" s="253"/>
      <c r="AK14" s="253"/>
      <c r="AL14" s="253"/>
      <c r="AM14" s="253"/>
      <c r="AN14" s="253"/>
      <c r="AO14" s="253"/>
      <c r="AP14" s="253"/>
      <c r="AQ14" s="253"/>
      <c r="AR14" s="253"/>
      <c r="AS14" s="253"/>
      <c r="AT14" s="255">
        <f>500-500+150</f>
        <v>150</v>
      </c>
      <c r="AU14" s="253"/>
      <c r="AV14" s="253"/>
      <c r="AW14" s="253"/>
      <c r="AX14" s="253"/>
      <c r="AY14" s="253"/>
      <c r="AZ14" s="253"/>
      <c r="BA14" s="253"/>
      <c r="BB14" s="253"/>
      <c r="BC14" s="253"/>
      <c r="BD14" s="253"/>
      <c r="BE14" s="253"/>
      <c r="BF14" s="253"/>
      <c r="BG14" s="253"/>
      <c r="BH14" s="253"/>
      <c r="BI14" s="253"/>
      <c r="BJ14" s="253"/>
      <c r="BK14" s="253"/>
      <c r="BL14" s="253"/>
      <c r="BM14" s="253"/>
      <c r="BN14" s="253"/>
      <c r="BO14" s="253"/>
      <c r="BP14" s="253"/>
      <c r="BQ14" s="253"/>
      <c r="BR14" s="253"/>
      <c r="BS14" s="253"/>
      <c r="BT14" s="253"/>
      <c r="BU14" s="253"/>
      <c r="BV14" s="253"/>
      <c r="BW14" s="253"/>
      <c r="BX14" s="253"/>
      <c r="BY14" s="253"/>
      <c r="BZ14" s="253"/>
      <c r="CA14" s="253"/>
      <c r="CB14" s="253"/>
      <c r="CC14" s="253"/>
      <c r="CD14" s="253"/>
      <c r="CE14" s="253"/>
      <c r="CF14" s="253"/>
      <c r="CG14" s="253"/>
      <c r="CH14" s="253"/>
      <c r="CI14" s="253"/>
      <c r="CJ14" s="253"/>
      <c r="CK14" s="253"/>
      <c r="CL14" s="253"/>
      <c r="CM14" s="253"/>
      <c r="CN14" s="253"/>
      <c r="CO14" s="253"/>
      <c r="CP14" s="253"/>
      <c r="CQ14" s="253"/>
      <c r="CR14" s="253"/>
      <c r="CS14" s="253"/>
      <c r="CT14" s="253"/>
      <c r="CU14" s="253"/>
      <c r="CV14" s="253"/>
      <c r="CW14" s="253"/>
      <c r="CX14" s="253"/>
      <c r="CY14" s="253"/>
      <c r="CZ14" s="253"/>
      <c r="DA14" s="253"/>
      <c r="DB14" s="253"/>
      <c r="DC14" s="253"/>
      <c r="DD14" s="253"/>
      <c r="DE14" s="253"/>
      <c r="DF14" s="253"/>
      <c r="DG14" s="253"/>
      <c r="DH14" s="253"/>
      <c r="DI14" s="253"/>
      <c r="DJ14" s="253"/>
      <c r="DK14" s="253"/>
      <c r="DL14" s="253"/>
      <c r="DM14" s="253"/>
      <c r="DN14" s="253"/>
      <c r="DO14" s="253"/>
      <c r="DP14" s="253"/>
      <c r="DQ14" s="253"/>
      <c r="DR14" s="253"/>
      <c r="DS14" s="253"/>
      <c r="DT14" s="253"/>
      <c r="DU14" s="253"/>
      <c r="DV14" s="253"/>
      <c r="DW14" s="253"/>
      <c r="DX14" s="253"/>
      <c r="DY14" s="253"/>
      <c r="DZ14" s="253"/>
      <c r="EA14" s="253"/>
      <c r="EB14" s="253"/>
      <c r="EC14" s="253"/>
      <c r="ED14" s="253"/>
      <c r="EE14" s="253"/>
      <c r="EF14" s="253"/>
      <c r="EG14" s="253"/>
      <c r="EH14" s="253"/>
      <c r="EI14" s="253"/>
      <c r="EJ14" s="253"/>
      <c r="EK14" s="253"/>
      <c r="EL14" s="253"/>
      <c r="EM14" s="253"/>
      <c r="EN14" s="253"/>
      <c r="EO14" s="253"/>
      <c r="EP14" s="253"/>
      <c r="EQ14" s="255">
        <f>200-200</f>
        <v>0</v>
      </c>
      <c r="ER14" s="253"/>
      <c r="ES14" s="255">
        <f>300-300</f>
        <v>0</v>
      </c>
      <c r="ET14" s="255">
        <f>100-100</f>
        <v>0</v>
      </c>
      <c r="EU14" s="255">
        <f>100-100</f>
        <v>0</v>
      </c>
      <c r="EV14" s="253"/>
      <c r="EW14" s="255">
        <f>100-100</f>
        <v>0</v>
      </c>
      <c r="EX14" s="253"/>
      <c r="EY14" s="253"/>
      <c r="EZ14" s="253"/>
      <c r="FA14" s="255">
        <f>50-50</f>
        <v>0</v>
      </c>
      <c r="FB14" s="253"/>
      <c r="FC14" s="253"/>
      <c r="FD14" s="253"/>
      <c r="FE14" s="253"/>
      <c r="FF14" s="253"/>
      <c r="FG14" s="256"/>
      <c r="FH14" s="257" t="s">
        <v>993</v>
      </c>
      <c r="FI14" s="258" t="s">
        <v>389</v>
      </c>
      <c r="FJ14" s="258" t="s">
        <v>396</v>
      </c>
      <c r="FK14" s="258" t="s">
        <v>397</v>
      </c>
      <c r="FL14" s="259">
        <f t="shared" si="0"/>
        <v>150</v>
      </c>
      <c r="FM14" s="260" t="s">
        <v>398</v>
      </c>
    </row>
    <row r="15" spans="1:169" s="276" customFormat="1" ht="11.4" hidden="1">
      <c r="A15" s="251" t="s">
        <v>393</v>
      </c>
      <c r="B15" s="251" t="s">
        <v>385</v>
      </c>
      <c r="C15" s="251" t="s">
        <v>394</v>
      </c>
      <c r="D15" s="251" t="s">
        <v>291</v>
      </c>
      <c r="E15" s="252" t="s">
        <v>818</v>
      </c>
      <c r="F15" s="251" t="s">
        <v>388</v>
      </c>
      <c r="G15" s="251"/>
      <c r="H15" s="253"/>
      <c r="I15" s="253"/>
      <c r="J15" s="253"/>
      <c r="K15" s="253"/>
      <c r="L15" s="253"/>
      <c r="M15" s="253"/>
      <c r="N15" s="253"/>
      <c r="O15" s="253"/>
      <c r="P15" s="253"/>
      <c r="Q15" s="253"/>
      <c r="R15" s="253"/>
      <c r="S15" s="253"/>
      <c r="T15" s="253"/>
      <c r="U15" s="253"/>
      <c r="V15" s="253"/>
      <c r="W15" s="253"/>
      <c r="X15" s="253"/>
      <c r="Y15" s="253"/>
      <c r="Z15" s="253"/>
      <c r="AA15" s="253"/>
      <c r="AB15" s="253"/>
      <c r="AC15" s="253"/>
      <c r="AD15" s="253"/>
      <c r="AE15" s="255">
        <f>50-50+10</f>
        <v>10</v>
      </c>
      <c r="AF15" s="253"/>
      <c r="AG15" s="253"/>
      <c r="AH15" s="255">
        <f>50-50</f>
        <v>0</v>
      </c>
      <c r="AI15" s="253"/>
      <c r="AJ15" s="253"/>
      <c r="AK15" s="253"/>
      <c r="AL15" s="253"/>
      <c r="AM15" s="253"/>
      <c r="AN15" s="253"/>
      <c r="AO15" s="253"/>
      <c r="AP15" s="253"/>
      <c r="AQ15" s="253"/>
      <c r="AR15" s="253"/>
      <c r="AS15" s="253"/>
      <c r="AT15" s="253"/>
      <c r="AU15" s="253"/>
      <c r="AV15" s="253"/>
      <c r="AW15" s="253"/>
      <c r="AX15" s="253"/>
      <c r="AY15" s="253"/>
      <c r="AZ15" s="253"/>
      <c r="BA15" s="253"/>
      <c r="BB15" s="253"/>
      <c r="BC15" s="253"/>
      <c r="BD15" s="253"/>
      <c r="BE15" s="253"/>
      <c r="BF15" s="253"/>
      <c r="BG15" s="253"/>
      <c r="BH15" s="253"/>
      <c r="BI15" s="253"/>
      <c r="BJ15" s="253"/>
      <c r="BK15" s="253"/>
      <c r="BL15" s="253"/>
      <c r="BM15" s="253"/>
      <c r="BN15" s="253"/>
      <c r="BO15" s="253"/>
      <c r="BP15" s="253"/>
      <c r="BQ15" s="253"/>
      <c r="BR15" s="253"/>
      <c r="BS15" s="253"/>
      <c r="BT15" s="253"/>
      <c r="BU15" s="253"/>
      <c r="BV15" s="253"/>
      <c r="BW15" s="253"/>
      <c r="BX15" s="253"/>
      <c r="BY15" s="253"/>
      <c r="BZ15" s="253"/>
      <c r="CA15" s="253"/>
      <c r="CB15" s="253"/>
      <c r="CC15" s="253"/>
      <c r="CD15" s="253"/>
      <c r="CE15" s="253"/>
      <c r="CF15" s="253"/>
      <c r="CG15" s="253"/>
      <c r="CH15" s="253"/>
      <c r="CI15" s="253"/>
      <c r="CJ15" s="253"/>
      <c r="CK15" s="253"/>
      <c r="CL15" s="253"/>
      <c r="CM15" s="253"/>
      <c r="CN15" s="253"/>
      <c r="CO15" s="253"/>
      <c r="CP15" s="253"/>
      <c r="CQ15" s="253"/>
      <c r="CR15" s="253"/>
      <c r="CS15" s="253"/>
      <c r="CT15" s="253"/>
      <c r="CU15" s="253"/>
      <c r="CV15" s="253"/>
      <c r="CW15" s="253"/>
      <c r="CX15" s="253"/>
      <c r="CY15" s="253"/>
      <c r="CZ15" s="253"/>
      <c r="DA15" s="253"/>
      <c r="DB15" s="253"/>
      <c r="DC15" s="253"/>
      <c r="DD15" s="253"/>
      <c r="DE15" s="253"/>
      <c r="DF15" s="253"/>
      <c r="DG15" s="253"/>
      <c r="DH15" s="253"/>
      <c r="DI15" s="253"/>
      <c r="DJ15" s="253"/>
      <c r="DK15" s="253"/>
      <c r="DL15" s="253"/>
      <c r="DM15" s="253"/>
      <c r="DN15" s="253"/>
      <c r="DO15" s="253"/>
      <c r="DP15" s="253"/>
      <c r="DQ15" s="253"/>
      <c r="DR15" s="253"/>
      <c r="DS15" s="253"/>
      <c r="DT15" s="253"/>
      <c r="DU15" s="253"/>
      <c r="DV15" s="253"/>
      <c r="DW15" s="253"/>
      <c r="DX15" s="253"/>
      <c r="DY15" s="253"/>
      <c r="DZ15" s="253"/>
      <c r="EA15" s="253"/>
      <c r="EB15" s="253"/>
      <c r="EC15" s="253"/>
      <c r="ED15" s="253"/>
      <c r="EE15" s="253"/>
      <c r="EF15" s="253"/>
      <c r="EG15" s="253"/>
      <c r="EH15" s="253"/>
      <c r="EI15" s="253"/>
      <c r="EJ15" s="253"/>
      <c r="EK15" s="253"/>
      <c r="EL15" s="253"/>
      <c r="EM15" s="253"/>
      <c r="EN15" s="253"/>
      <c r="EO15" s="253"/>
      <c r="EP15" s="253"/>
      <c r="EQ15" s="253"/>
      <c r="ER15" s="253"/>
      <c r="ES15" s="253"/>
      <c r="ET15" s="253"/>
      <c r="EU15" s="253"/>
      <c r="EV15" s="253"/>
      <c r="EW15" s="253"/>
      <c r="EX15" s="253"/>
      <c r="EY15" s="253"/>
      <c r="EZ15" s="253"/>
      <c r="FA15" s="253"/>
      <c r="FB15" s="253"/>
      <c r="FC15" s="253"/>
      <c r="FD15" s="253"/>
      <c r="FE15" s="253"/>
      <c r="FF15" s="253"/>
      <c r="FG15" s="256"/>
      <c r="FH15" s="257" t="s">
        <v>993</v>
      </c>
      <c r="FI15" s="258" t="s">
        <v>389</v>
      </c>
      <c r="FJ15" s="258"/>
      <c r="FK15" s="258" t="s">
        <v>819</v>
      </c>
      <c r="FL15" s="259">
        <f t="shared" si="0"/>
        <v>10</v>
      </c>
      <c r="FM15" s="260" t="s">
        <v>820</v>
      </c>
    </row>
    <row r="16" spans="1:169" s="276" customFormat="1" ht="11.4" hidden="1">
      <c r="A16" s="251" t="s">
        <v>393</v>
      </c>
      <c r="B16" s="251" t="s">
        <v>385</v>
      </c>
      <c r="C16" s="251" t="s">
        <v>394</v>
      </c>
      <c r="D16" s="251" t="s">
        <v>1</v>
      </c>
      <c r="E16" s="252" t="s">
        <v>818</v>
      </c>
      <c r="F16" s="251" t="s">
        <v>388</v>
      </c>
      <c r="G16" s="251"/>
      <c r="H16" s="253"/>
      <c r="I16" s="253"/>
      <c r="J16" s="253"/>
      <c r="K16" s="253"/>
      <c r="L16" s="253"/>
      <c r="M16" s="253"/>
      <c r="N16" s="253"/>
      <c r="O16" s="253"/>
      <c r="P16" s="253"/>
      <c r="Q16" s="253"/>
      <c r="R16" s="253"/>
      <c r="S16" s="253"/>
      <c r="T16" s="253"/>
      <c r="U16" s="253"/>
      <c r="V16" s="253"/>
      <c r="W16" s="253"/>
      <c r="X16" s="253"/>
      <c r="Y16" s="253"/>
      <c r="Z16" s="253"/>
      <c r="AA16" s="253"/>
      <c r="AB16" s="255">
        <f>50-50</f>
        <v>0</v>
      </c>
      <c r="AC16" s="253"/>
      <c r="AD16" s="253"/>
      <c r="AE16" s="253"/>
      <c r="AF16" s="253"/>
      <c r="AG16" s="253"/>
      <c r="AH16" s="253"/>
      <c r="AI16" s="253"/>
      <c r="AJ16" s="253"/>
      <c r="AK16" s="253"/>
      <c r="AL16" s="253"/>
      <c r="AM16" s="253"/>
      <c r="AN16" s="253"/>
      <c r="AO16" s="253"/>
      <c r="AP16" s="253"/>
      <c r="AQ16" s="253"/>
      <c r="AR16" s="253"/>
      <c r="AS16" s="253"/>
      <c r="AT16" s="255">
        <f>50-50+50</f>
        <v>50</v>
      </c>
      <c r="AU16" s="253"/>
      <c r="AV16" s="253"/>
      <c r="AW16" s="253"/>
      <c r="AX16" s="253"/>
      <c r="AY16" s="253"/>
      <c r="AZ16" s="253"/>
      <c r="BA16" s="253"/>
      <c r="BB16" s="253"/>
      <c r="BC16" s="253"/>
      <c r="BD16" s="255">
        <f>50-50+10</f>
        <v>10</v>
      </c>
      <c r="BE16" s="253"/>
      <c r="BF16" s="255">
        <f>20-20</f>
        <v>0</v>
      </c>
      <c r="BG16" s="253"/>
      <c r="BH16" s="253"/>
      <c r="BI16" s="253"/>
      <c r="BJ16" s="253"/>
      <c r="BK16" s="253"/>
      <c r="BL16" s="253"/>
      <c r="BM16" s="253"/>
      <c r="BN16" s="253"/>
      <c r="BO16" s="253"/>
      <c r="BP16" s="253"/>
      <c r="BQ16" s="253"/>
      <c r="BR16" s="253">
        <v>10</v>
      </c>
      <c r="BS16" s="253">
        <v>60</v>
      </c>
      <c r="BT16" s="253"/>
      <c r="BU16" s="253"/>
      <c r="BV16" s="253"/>
      <c r="BW16" s="253"/>
      <c r="BX16" s="253"/>
      <c r="BY16" s="253"/>
      <c r="BZ16" s="253"/>
      <c r="CA16" s="253"/>
      <c r="CB16" s="253"/>
      <c r="CC16" s="253">
        <v>5</v>
      </c>
      <c r="CD16" s="253"/>
      <c r="CE16" s="253"/>
      <c r="CF16" s="253">
        <v>10</v>
      </c>
      <c r="CG16" s="253">
        <v>10</v>
      </c>
      <c r="CH16" s="253"/>
      <c r="CI16" s="253"/>
      <c r="CJ16" s="253"/>
      <c r="CK16" s="253"/>
      <c r="CL16" s="253"/>
      <c r="CM16" s="253"/>
      <c r="CN16" s="253"/>
      <c r="CO16" s="253"/>
      <c r="CP16" s="253"/>
      <c r="CQ16" s="253"/>
      <c r="CR16" s="253"/>
      <c r="CS16" s="253"/>
      <c r="CT16" s="253"/>
      <c r="CU16" s="253"/>
      <c r="CV16" s="253"/>
      <c r="CW16" s="253"/>
      <c r="CX16" s="253"/>
      <c r="CY16" s="253"/>
      <c r="CZ16" s="253"/>
      <c r="DA16" s="253"/>
      <c r="DB16" s="253"/>
      <c r="DC16" s="253"/>
      <c r="DD16" s="253"/>
      <c r="DE16" s="253"/>
      <c r="DF16" s="253"/>
      <c r="DG16" s="253"/>
      <c r="DH16" s="253"/>
      <c r="DI16" s="253"/>
      <c r="DJ16" s="253"/>
      <c r="DK16" s="253"/>
      <c r="DL16" s="253"/>
      <c r="DM16" s="253"/>
      <c r="DN16" s="253"/>
      <c r="DO16" s="253"/>
      <c r="DP16" s="253"/>
      <c r="DQ16" s="253"/>
      <c r="DR16" s="253"/>
      <c r="DS16" s="253"/>
      <c r="DT16" s="253"/>
      <c r="DU16" s="253"/>
      <c r="DV16" s="253"/>
      <c r="DW16" s="253"/>
      <c r="DX16" s="253"/>
      <c r="DY16" s="253"/>
      <c r="DZ16" s="253"/>
      <c r="EA16" s="253"/>
      <c r="EB16" s="253"/>
      <c r="EC16" s="253"/>
      <c r="ED16" s="253"/>
      <c r="EE16" s="253"/>
      <c r="EF16" s="253"/>
      <c r="EG16" s="253"/>
      <c r="EH16" s="253"/>
      <c r="EI16" s="253"/>
      <c r="EJ16" s="253"/>
      <c r="EK16" s="253"/>
      <c r="EL16" s="253"/>
      <c r="EM16" s="253"/>
      <c r="EN16" s="253"/>
      <c r="EO16" s="253"/>
      <c r="EP16" s="253">
        <v>10</v>
      </c>
      <c r="EQ16" s="253"/>
      <c r="ER16" s="253"/>
      <c r="ES16" s="253"/>
      <c r="ET16" s="253"/>
      <c r="EU16" s="253"/>
      <c r="EV16" s="253"/>
      <c r="EW16" s="253"/>
      <c r="EX16" s="253"/>
      <c r="EY16" s="253"/>
      <c r="EZ16" s="253"/>
      <c r="FA16" s="253"/>
      <c r="FB16" s="253"/>
      <c r="FC16" s="253"/>
      <c r="FD16" s="253"/>
      <c r="FE16" s="253"/>
      <c r="FF16" s="253"/>
      <c r="FG16" s="256"/>
      <c r="FH16" s="257" t="s">
        <v>993</v>
      </c>
      <c r="FI16" s="258" t="s">
        <v>389</v>
      </c>
      <c r="FJ16" s="258"/>
      <c r="FK16" s="258" t="s">
        <v>819</v>
      </c>
      <c r="FL16" s="259">
        <f t="shared" si="0"/>
        <v>165</v>
      </c>
      <c r="FM16" s="260" t="s">
        <v>820</v>
      </c>
    </row>
    <row r="17" spans="1:169" s="276" customFormat="1" ht="11.4" hidden="1">
      <c r="A17" s="251" t="s">
        <v>393</v>
      </c>
      <c r="B17" s="251" t="s">
        <v>385</v>
      </c>
      <c r="C17" s="251" t="s">
        <v>394</v>
      </c>
      <c r="D17" s="251" t="s">
        <v>291</v>
      </c>
      <c r="E17" s="252" t="s">
        <v>401</v>
      </c>
      <c r="F17" s="251" t="s">
        <v>388</v>
      </c>
      <c r="G17" s="251"/>
      <c r="H17" s="253"/>
      <c r="I17" s="253"/>
      <c r="J17" s="253"/>
      <c r="K17" s="253"/>
      <c r="L17" s="253"/>
      <c r="M17" s="253"/>
      <c r="N17" s="253"/>
      <c r="O17" s="253"/>
      <c r="P17" s="253"/>
      <c r="Q17" s="253"/>
      <c r="R17" s="253"/>
      <c r="S17" s="253"/>
      <c r="T17" s="253"/>
      <c r="U17" s="253"/>
      <c r="V17" s="253"/>
      <c r="W17" s="253"/>
      <c r="X17" s="253"/>
      <c r="Y17" s="253"/>
      <c r="Z17" s="253"/>
      <c r="AA17" s="253"/>
      <c r="AB17" s="253"/>
      <c r="AC17" s="253"/>
      <c r="AD17" s="253"/>
      <c r="AE17" s="255">
        <f>600-600+10</f>
        <v>10</v>
      </c>
      <c r="AF17" s="253"/>
      <c r="AG17" s="255">
        <f>600-600</f>
        <v>0</v>
      </c>
      <c r="AH17" s="255">
        <f>600-600</f>
        <v>0</v>
      </c>
      <c r="AI17" s="253"/>
      <c r="AJ17" s="253"/>
      <c r="AK17" s="253"/>
      <c r="AL17" s="253"/>
      <c r="AM17" s="255">
        <f>600-600+20</f>
        <v>20</v>
      </c>
      <c r="AN17" s="253"/>
      <c r="AO17" s="253"/>
      <c r="AP17" s="253"/>
      <c r="AQ17" s="255">
        <f>600-600</f>
        <v>0</v>
      </c>
      <c r="AR17" s="253"/>
      <c r="AS17" s="253"/>
      <c r="AT17" s="253"/>
      <c r="AU17" s="253"/>
      <c r="AV17" s="253"/>
      <c r="AW17" s="253"/>
      <c r="AX17" s="253"/>
      <c r="AY17" s="253"/>
      <c r="AZ17" s="253"/>
      <c r="BA17" s="253"/>
      <c r="BB17" s="253"/>
      <c r="BC17" s="253"/>
      <c r="BD17" s="253"/>
      <c r="BE17" s="253"/>
      <c r="BF17" s="253"/>
      <c r="BG17" s="253"/>
      <c r="BH17" s="253"/>
      <c r="BI17" s="253"/>
      <c r="BJ17" s="253"/>
      <c r="BK17" s="253"/>
      <c r="BL17" s="253"/>
      <c r="BM17" s="253"/>
      <c r="BN17" s="253"/>
      <c r="BO17" s="253"/>
      <c r="BP17" s="253"/>
      <c r="BQ17" s="253"/>
      <c r="BR17" s="253"/>
      <c r="BS17" s="253"/>
      <c r="BT17" s="253"/>
      <c r="BU17" s="253"/>
      <c r="BV17" s="253"/>
      <c r="BW17" s="253"/>
      <c r="BX17" s="253"/>
      <c r="BY17" s="253"/>
      <c r="BZ17" s="253"/>
      <c r="CA17" s="253"/>
      <c r="CB17" s="253"/>
      <c r="CC17" s="253"/>
      <c r="CD17" s="253"/>
      <c r="CE17" s="253"/>
      <c r="CF17" s="253"/>
      <c r="CG17" s="253"/>
      <c r="CH17" s="253"/>
      <c r="CI17" s="253"/>
      <c r="CJ17" s="253"/>
      <c r="CK17" s="253"/>
      <c r="CL17" s="253"/>
      <c r="CM17" s="253"/>
      <c r="CN17" s="253"/>
      <c r="CO17" s="253"/>
      <c r="CP17" s="253"/>
      <c r="CQ17" s="253"/>
      <c r="CR17" s="253"/>
      <c r="CS17" s="253"/>
      <c r="CT17" s="253"/>
      <c r="CU17" s="253"/>
      <c r="CV17" s="253"/>
      <c r="CW17" s="253"/>
      <c r="CX17" s="253"/>
      <c r="CY17" s="253"/>
      <c r="CZ17" s="253"/>
      <c r="DA17" s="253"/>
      <c r="DB17" s="253"/>
      <c r="DC17" s="253"/>
      <c r="DD17" s="253"/>
      <c r="DE17" s="253"/>
      <c r="DF17" s="253"/>
      <c r="DG17" s="253"/>
      <c r="DH17" s="253"/>
      <c r="DI17" s="253"/>
      <c r="DJ17" s="253"/>
      <c r="DK17" s="253"/>
      <c r="DL17" s="253"/>
      <c r="DM17" s="253"/>
      <c r="DN17" s="253"/>
      <c r="DO17" s="253"/>
      <c r="DP17" s="253"/>
      <c r="DQ17" s="253"/>
      <c r="DR17" s="253"/>
      <c r="DS17" s="253"/>
      <c r="DT17" s="253"/>
      <c r="DU17" s="253"/>
      <c r="DV17" s="253"/>
      <c r="DW17" s="253"/>
      <c r="DX17" s="253"/>
      <c r="DY17" s="253"/>
      <c r="DZ17" s="253"/>
      <c r="EA17" s="253"/>
      <c r="EB17" s="253"/>
      <c r="EC17" s="253"/>
      <c r="ED17" s="253"/>
      <c r="EE17" s="253"/>
      <c r="EF17" s="253"/>
      <c r="EG17" s="253"/>
      <c r="EH17" s="253"/>
      <c r="EI17" s="253"/>
      <c r="EJ17" s="253"/>
      <c r="EK17" s="253"/>
      <c r="EL17" s="253"/>
      <c r="EM17" s="253"/>
      <c r="EN17" s="253"/>
      <c r="EO17" s="253"/>
      <c r="EP17" s="253"/>
      <c r="EQ17" s="253"/>
      <c r="ER17" s="253"/>
      <c r="ES17" s="253"/>
      <c r="ET17" s="253"/>
      <c r="EU17" s="253"/>
      <c r="EV17" s="253"/>
      <c r="EW17" s="253"/>
      <c r="EX17" s="253"/>
      <c r="EY17" s="253"/>
      <c r="EZ17" s="253"/>
      <c r="FA17" s="253"/>
      <c r="FB17" s="253"/>
      <c r="FC17" s="253"/>
      <c r="FD17" s="253"/>
      <c r="FE17" s="253"/>
      <c r="FF17" s="253"/>
      <c r="FG17" s="256"/>
      <c r="FH17" s="257" t="s">
        <v>993</v>
      </c>
      <c r="FI17" s="258" t="s">
        <v>389</v>
      </c>
      <c r="FJ17" s="258"/>
      <c r="FK17" s="258" t="s">
        <v>402</v>
      </c>
      <c r="FL17" s="259">
        <f t="shared" si="0"/>
        <v>30</v>
      </c>
      <c r="FM17" s="260" t="s">
        <v>403</v>
      </c>
    </row>
    <row r="18" spans="1:169" s="276" customFormat="1" ht="11.4" hidden="1">
      <c r="A18" s="251" t="s">
        <v>393</v>
      </c>
      <c r="B18" s="251" t="s">
        <v>385</v>
      </c>
      <c r="C18" s="251" t="s">
        <v>394</v>
      </c>
      <c r="D18" s="251" t="s">
        <v>1</v>
      </c>
      <c r="E18" s="252" t="s">
        <v>401</v>
      </c>
      <c r="F18" s="251" t="s">
        <v>388</v>
      </c>
      <c r="G18" s="251"/>
      <c r="H18" s="255">
        <f>40-40</f>
        <v>0</v>
      </c>
      <c r="I18" s="253"/>
      <c r="J18" s="253"/>
      <c r="K18" s="253"/>
      <c r="L18" s="253"/>
      <c r="M18" s="253"/>
      <c r="N18" s="253"/>
      <c r="O18" s="253"/>
      <c r="P18" s="253"/>
      <c r="Q18" s="253"/>
      <c r="R18" s="253"/>
      <c r="S18" s="255">
        <f>600-600</f>
        <v>0</v>
      </c>
      <c r="T18" s="253"/>
      <c r="U18" s="255">
        <f>600-600</f>
        <v>0</v>
      </c>
      <c r="V18" s="255">
        <f>600-600</f>
        <v>0</v>
      </c>
      <c r="W18" s="253"/>
      <c r="X18" s="253"/>
      <c r="Y18" s="253"/>
      <c r="Z18" s="255">
        <f>600-600</f>
        <v>0</v>
      </c>
      <c r="AA18" s="255">
        <f>600-600</f>
        <v>0</v>
      </c>
      <c r="AB18" s="255">
        <f>600-600</f>
        <v>0</v>
      </c>
      <c r="AC18" s="255">
        <f>600-600+15</f>
        <v>15</v>
      </c>
      <c r="AD18" s="255">
        <f>600-600</f>
        <v>0</v>
      </c>
      <c r="AE18" s="253"/>
      <c r="AF18" s="255">
        <f>600-600</f>
        <v>0</v>
      </c>
      <c r="AG18" s="253"/>
      <c r="AH18" s="253"/>
      <c r="AI18" s="255">
        <f>600-600</f>
        <v>0</v>
      </c>
      <c r="AJ18" s="253"/>
      <c r="AK18" s="253"/>
      <c r="AL18" s="253"/>
      <c r="AM18" s="253"/>
      <c r="AN18" s="253"/>
      <c r="AO18" s="255">
        <f>600-600+20</f>
        <v>20</v>
      </c>
      <c r="AP18" s="253"/>
      <c r="AQ18" s="253"/>
      <c r="AR18" s="253"/>
      <c r="AS18" s="253"/>
      <c r="AT18" s="255">
        <f>600-600+150</f>
        <v>150</v>
      </c>
      <c r="AU18" s="253"/>
      <c r="AV18" s="253"/>
      <c r="AW18" s="253"/>
      <c r="AX18" s="253"/>
      <c r="AY18" s="253"/>
      <c r="AZ18" s="255">
        <f>600-600</f>
        <v>0</v>
      </c>
      <c r="BA18" s="253"/>
      <c r="BB18" s="253"/>
      <c r="BC18" s="253"/>
      <c r="BD18" s="255">
        <f>600-600+70</f>
        <v>70</v>
      </c>
      <c r="BE18" s="255">
        <f>600-600</f>
        <v>0</v>
      </c>
      <c r="BF18" s="255">
        <f>600-600</f>
        <v>0</v>
      </c>
      <c r="BG18" s="253"/>
      <c r="BH18" s="253"/>
      <c r="BI18" s="253"/>
      <c r="BJ18" s="253"/>
      <c r="BK18" s="253"/>
      <c r="BL18" s="253"/>
      <c r="BM18" s="253"/>
      <c r="BN18" s="253"/>
      <c r="BO18" s="253"/>
      <c r="BP18" s="253">
        <v>40</v>
      </c>
      <c r="BQ18" s="253"/>
      <c r="BR18" s="253">
        <v>20</v>
      </c>
      <c r="BS18" s="253">
        <v>180</v>
      </c>
      <c r="BT18" s="253">
        <v>60</v>
      </c>
      <c r="BU18" s="253">
        <v>10</v>
      </c>
      <c r="BV18" s="253"/>
      <c r="BW18" s="253"/>
      <c r="BX18" s="253"/>
      <c r="BY18" s="253"/>
      <c r="BZ18" s="253"/>
      <c r="CA18" s="253"/>
      <c r="CB18" s="253"/>
      <c r="CC18" s="253">
        <v>40</v>
      </c>
      <c r="CD18" s="253"/>
      <c r="CE18" s="253"/>
      <c r="CF18" s="253">
        <v>30</v>
      </c>
      <c r="CG18" s="253">
        <v>10</v>
      </c>
      <c r="CH18" s="253"/>
      <c r="CI18" s="253">
        <v>8</v>
      </c>
      <c r="CJ18" s="253">
        <v>5</v>
      </c>
      <c r="CK18" s="253">
        <v>10</v>
      </c>
      <c r="CL18" s="253"/>
      <c r="CM18" s="253"/>
      <c r="CN18" s="253"/>
      <c r="CO18" s="253"/>
      <c r="CP18" s="253"/>
      <c r="CQ18" s="253"/>
      <c r="CR18" s="253"/>
      <c r="CS18" s="253"/>
      <c r="CT18" s="253"/>
      <c r="CU18" s="253"/>
      <c r="CV18" s="253"/>
      <c r="CW18" s="253"/>
      <c r="CX18" s="253"/>
      <c r="CY18" s="253"/>
      <c r="CZ18" s="253">
        <v>4</v>
      </c>
      <c r="DA18" s="253">
        <v>5</v>
      </c>
      <c r="DB18" s="253">
        <v>10</v>
      </c>
      <c r="DC18" s="253"/>
      <c r="DD18" s="253"/>
      <c r="DE18" s="253"/>
      <c r="DF18" s="253"/>
      <c r="DG18" s="253"/>
      <c r="DH18" s="253"/>
      <c r="DI18" s="253"/>
      <c r="DJ18" s="253"/>
      <c r="DK18" s="253"/>
      <c r="DL18" s="253"/>
      <c r="DM18" s="253"/>
      <c r="DN18" s="253"/>
      <c r="DO18" s="253"/>
      <c r="DP18" s="253"/>
      <c r="DQ18" s="253"/>
      <c r="DR18" s="253"/>
      <c r="DS18" s="253"/>
      <c r="DT18" s="253"/>
      <c r="DU18" s="253"/>
      <c r="DV18" s="253"/>
      <c r="DW18" s="253"/>
      <c r="DX18" s="253"/>
      <c r="DY18" s="253"/>
      <c r="DZ18" s="253"/>
      <c r="EA18" s="253"/>
      <c r="EB18" s="253"/>
      <c r="EC18" s="253"/>
      <c r="ED18" s="253"/>
      <c r="EE18" s="255">
        <f t="shared" ref="EE18:EJ18" si="1">100-100</f>
        <v>0</v>
      </c>
      <c r="EF18" s="255">
        <f t="shared" si="1"/>
        <v>0</v>
      </c>
      <c r="EG18" s="255">
        <f t="shared" si="1"/>
        <v>0</v>
      </c>
      <c r="EH18" s="255">
        <f t="shared" si="1"/>
        <v>0</v>
      </c>
      <c r="EI18" s="255">
        <f t="shared" si="1"/>
        <v>0</v>
      </c>
      <c r="EJ18" s="255">
        <f t="shared" si="1"/>
        <v>0</v>
      </c>
      <c r="EK18" s="253"/>
      <c r="EL18" s="253"/>
      <c r="EM18" s="253"/>
      <c r="EN18" s="253"/>
      <c r="EO18" s="255">
        <f>50-50</f>
        <v>0</v>
      </c>
      <c r="EP18" s="255">
        <f>50-50</f>
        <v>0</v>
      </c>
      <c r="EQ18" s="255">
        <f>50-50</f>
        <v>0</v>
      </c>
      <c r="ER18" s="253"/>
      <c r="ES18" s="255">
        <f>50-50</f>
        <v>0</v>
      </c>
      <c r="ET18" s="255">
        <f>50-50</f>
        <v>0</v>
      </c>
      <c r="EU18" s="255">
        <f>50-50</f>
        <v>0</v>
      </c>
      <c r="EV18" s="253"/>
      <c r="EW18" s="255">
        <f>50-50</f>
        <v>0</v>
      </c>
      <c r="EX18" s="255">
        <f>50-50</f>
        <v>0</v>
      </c>
      <c r="EY18" s="253"/>
      <c r="EZ18" s="253"/>
      <c r="FA18" s="255">
        <f>50-50</f>
        <v>0</v>
      </c>
      <c r="FB18" s="253"/>
      <c r="FC18" s="253"/>
      <c r="FD18" s="253"/>
      <c r="FE18" s="253"/>
      <c r="FF18" s="253"/>
      <c r="FG18" s="256"/>
      <c r="FH18" s="257" t="s">
        <v>993</v>
      </c>
      <c r="FI18" s="258" t="s">
        <v>389</v>
      </c>
      <c r="FJ18" s="258"/>
      <c r="FK18" s="258" t="s">
        <v>402</v>
      </c>
      <c r="FL18" s="259">
        <f t="shared" si="0"/>
        <v>687</v>
      </c>
      <c r="FM18" s="260" t="s">
        <v>403</v>
      </c>
    </row>
    <row r="19" spans="1:169" s="276" customFormat="1" ht="11.4" hidden="1">
      <c r="A19" s="251" t="s">
        <v>393</v>
      </c>
      <c r="B19" s="251" t="s">
        <v>385</v>
      </c>
      <c r="C19" s="251" t="s">
        <v>394</v>
      </c>
      <c r="D19" s="251" t="s">
        <v>293</v>
      </c>
      <c r="E19" s="252" t="s">
        <v>401</v>
      </c>
      <c r="F19" s="251" t="s">
        <v>388</v>
      </c>
      <c r="G19" s="251"/>
      <c r="H19" s="253"/>
      <c r="I19" s="253"/>
      <c r="J19" s="253"/>
      <c r="K19" s="253"/>
      <c r="L19" s="253"/>
      <c r="M19" s="253"/>
      <c r="N19" s="253"/>
      <c r="O19" s="253"/>
      <c r="P19" s="253"/>
      <c r="Q19" s="253"/>
      <c r="R19" s="253"/>
      <c r="S19" s="253"/>
      <c r="T19" s="253"/>
      <c r="U19" s="253"/>
      <c r="V19" s="253"/>
      <c r="W19" s="253"/>
      <c r="X19" s="253"/>
      <c r="Y19" s="253"/>
      <c r="Z19" s="253"/>
      <c r="AA19" s="253"/>
      <c r="AB19" s="253"/>
      <c r="AC19" s="253"/>
      <c r="AD19" s="253"/>
      <c r="AE19" s="253"/>
      <c r="AF19" s="253"/>
      <c r="AG19" s="253"/>
      <c r="AH19" s="253"/>
      <c r="AI19" s="253"/>
      <c r="AJ19" s="253"/>
      <c r="AK19" s="253"/>
      <c r="AL19" s="253"/>
      <c r="AM19" s="253"/>
      <c r="AN19" s="253"/>
      <c r="AO19" s="253"/>
      <c r="AP19" s="253"/>
      <c r="AQ19" s="253"/>
      <c r="AR19" s="253"/>
      <c r="AS19" s="253"/>
      <c r="AT19" s="253"/>
      <c r="AU19" s="253"/>
      <c r="AV19" s="253"/>
      <c r="AW19" s="253"/>
      <c r="AX19" s="253"/>
      <c r="AY19" s="253"/>
      <c r="AZ19" s="253"/>
      <c r="BA19" s="253"/>
      <c r="BB19" s="253"/>
      <c r="BC19" s="253"/>
      <c r="BD19" s="253"/>
      <c r="BE19" s="253"/>
      <c r="BF19" s="253"/>
      <c r="BG19" s="253"/>
      <c r="BH19" s="253"/>
      <c r="BI19" s="253"/>
      <c r="BJ19" s="253"/>
      <c r="BK19" s="253"/>
      <c r="BL19" s="253"/>
      <c r="BM19" s="253"/>
      <c r="BN19" s="253"/>
      <c r="BO19" s="253"/>
      <c r="BP19" s="253"/>
      <c r="BQ19" s="253"/>
      <c r="BR19" s="253"/>
      <c r="BS19" s="253"/>
      <c r="BT19" s="253"/>
      <c r="BU19" s="253"/>
      <c r="BV19" s="253"/>
      <c r="BW19" s="253"/>
      <c r="BX19" s="253"/>
      <c r="BY19" s="253"/>
      <c r="BZ19" s="253"/>
      <c r="CA19" s="253"/>
      <c r="CB19" s="253"/>
      <c r="CC19" s="253"/>
      <c r="CD19" s="253"/>
      <c r="CE19" s="253"/>
      <c r="CF19" s="253"/>
      <c r="CG19" s="253"/>
      <c r="CH19" s="253"/>
      <c r="CI19" s="253"/>
      <c r="CJ19" s="253"/>
      <c r="CK19" s="253"/>
      <c r="CL19" s="253"/>
      <c r="CM19" s="253"/>
      <c r="CN19" s="253">
        <v>10</v>
      </c>
      <c r="CO19" s="253"/>
      <c r="CP19" s="253"/>
      <c r="CQ19" s="253"/>
      <c r="CR19" s="253"/>
      <c r="CS19" s="253"/>
      <c r="CT19" s="253"/>
      <c r="CU19" s="253"/>
      <c r="CV19" s="253"/>
      <c r="CW19" s="253"/>
      <c r="CX19" s="253"/>
      <c r="CY19" s="253"/>
      <c r="CZ19" s="253"/>
      <c r="DA19" s="253"/>
      <c r="DB19" s="253"/>
      <c r="DC19" s="253"/>
      <c r="DD19" s="253"/>
      <c r="DE19" s="253"/>
      <c r="DF19" s="253"/>
      <c r="DG19" s="253"/>
      <c r="DH19" s="253"/>
      <c r="DI19" s="253"/>
      <c r="DJ19" s="253"/>
      <c r="DK19" s="253"/>
      <c r="DL19" s="253"/>
      <c r="DM19" s="253"/>
      <c r="DN19" s="253"/>
      <c r="DO19" s="253"/>
      <c r="DP19" s="253"/>
      <c r="DQ19" s="253"/>
      <c r="DR19" s="253"/>
      <c r="DS19" s="253"/>
      <c r="DT19" s="253"/>
      <c r="DU19" s="253"/>
      <c r="DV19" s="253"/>
      <c r="DW19" s="253"/>
      <c r="DX19" s="253"/>
      <c r="DY19" s="253"/>
      <c r="DZ19" s="253"/>
      <c r="EA19" s="253"/>
      <c r="EB19" s="253"/>
      <c r="EC19" s="253"/>
      <c r="ED19" s="253"/>
      <c r="EE19" s="253"/>
      <c r="EF19" s="253"/>
      <c r="EG19" s="253"/>
      <c r="EH19" s="253"/>
      <c r="EI19" s="253"/>
      <c r="EJ19" s="253"/>
      <c r="EK19" s="253"/>
      <c r="EL19" s="253"/>
      <c r="EM19" s="253"/>
      <c r="EN19" s="253"/>
      <c r="EO19" s="253"/>
      <c r="EP19" s="253"/>
      <c r="EQ19" s="253"/>
      <c r="ER19" s="255">
        <f>50-50</f>
        <v>0</v>
      </c>
      <c r="ES19" s="253"/>
      <c r="ET19" s="253"/>
      <c r="EU19" s="253"/>
      <c r="EV19" s="255">
        <f>50-50</f>
        <v>0</v>
      </c>
      <c r="EW19" s="253"/>
      <c r="EX19" s="253"/>
      <c r="EY19" s="253"/>
      <c r="EZ19" s="255">
        <f>50-50</f>
        <v>0</v>
      </c>
      <c r="FA19" s="253"/>
      <c r="FB19" s="253"/>
      <c r="FC19" s="253"/>
      <c r="FD19" s="253"/>
      <c r="FE19" s="253"/>
      <c r="FF19" s="253"/>
      <c r="FG19" s="256"/>
      <c r="FH19" s="257" t="s">
        <v>993</v>
      </c>
      <c r="FI19" s="258" t="s">
        <v>389</v>
      </c>
      <c r="FJ19" s="258"/>
      <c r="FK19" s="258" t="s">
        <v>402</v>
      </c>
      <c r="FL19" s="259">
        <f t="shared" si="0"/>
        <v>10</v>
      </c>
      <c r="FM19" s="260" t="s">
        <v>403</v>
      </c>
    </row>
    <row r="20" spans="1:169" s="276" customFormat="1" ht="11.4" hidden="1">
      <c r="A20" s="251" t="s">
        <v>393</v>
      </c>
      <c r="B20" s="251" t="s">
        <v>385</v>
      </c>
      <c r="C20" s="251" t="s">
        <v>394</v>
      </c>
      <c r="D20" s="251" t="s">
        <v>291</v>
      </c>
      <c r="E20" s="252" t="s">
        <v>821</v>
      </c>
      <c r="F20" s="251" t="s">
        <v>388</v>
      </c>
      <c r="G20" s="251"/>
      <c r="H20" s="253"/>
      <c r="I20" s="253"/>
      <c r="J20" s="253"/>
      <c r="K20" s="253"/>
      <c r="L20" s="253"/>
      <c r="M20" s="253"/>
      <c r="N20" s="253"/>
      <c r="O20" s="253"/>
      <c r="P20" s="253"/>
      <c r="Q20" s="253"/>
      <c r="R20" s="253"/>
      <c r="S20" s="253"/>
      <c r="T20" s="253"/>
      <c r="U20" s="253"/>
      <c r="V20" s="253"/>
      <c r="W20" s="253"/>
      <c r="X20" s="253"/>
      <c r="Y20" s="253"/>
      <c r="Z20" s="253"/>
      <c r="AA20" s="253"/>
      <c r="AB20" s="253"/>
      <c r="AC20" s="253"/>
      <c r="AD20" s="253"/>
      <c r="AE20" s="255">
        <f>50-50</f>
        <v>0</v>
      </c>
      <c r="AF20" s="253"/>
      <c r="AG20" s="253"/>
      <c r="AH20" s="255">
        <f>50-50</f>
        <v>0</v>
      </c>
      <c r="AI20" s="253"/>
      <c r="AJ20" s="253"/>
      <c r="AK20" s="253"/>
      <c r="AL20" s="253"/>
      <c r="AM20" s="255">
        <f>50-50+10</f>
        <v>10</v>
      </c>
      <c r="AN20" s="253"/>
      <c r="AO20" s="253"/>
      <c r="AP20" s="253"/>
      <c r="AQ20" s="253"/>
      <c r="AR20" s="253"/>
      <c r="AS20" s="253"/>
      <c r="AT20" s="253"/>
      <c r="AU20" s="253"/>
      <c r="AV20" s="253"/>
      <c r="AW20" s="253"/>
      <c r="AX20" s="253"/>
      <c r="AY20" s="253"/>
      <c r="AZ20" s="253"/>
      <c r="BA20" s="253"/>
      <c r="BB20" s="253"/>
      <c r="BC20" s="253"/>
      <c r="BD20" s="253"/>
      <c r="BE20" s="253"/>
      <c r="BF20" s="253"/>
      <c r="BG20" s="253"/>
      <c r="BH20" s="253"/>
      <c r="BI20" s="253"/>
      <c r="BJ20" s="253"/>
      <c r="BK20" s="253"/>
      <c r="BL20" s="253"/>
      <c r="BM20" s="253"/>
      <c r="BN20" s="253"/>
      <c r="BO20" s="253"/>
      <c r="BP20" s="253"/>
      <c r="BQ20" s="253"/>
      <c r="BR20" s="253"/>
      <c r="BS20" s="253"/>
      <c r="BT20" s="253"/>
      <c r="BU20" s="253"/>
      <c r="BV20" s="253"/>
      <c r="BW20" s="253"/>
      <c r="BX20" s="253"/>
      <c r="BY20" s="253"/>
      <c r="BZ20" s="253"/>
      <c r="CA20" s="253"/>
      <c r="CB20" s="253"/>
      <c r="CC20" s="253"/>
      <c r="CD20" s="253"/>
      <c r="CE20" s="253"/>
      <c r="CF20" s="253"/>
      <c r="CG20" s="253"/>
      <c r="CH20" s="253"/>
      <c r="CI20" s="253"/>
      <c r="CJ20" s="253"/>
      <c r="CK20" s="253"/>
      <c r="CL20" s="253"/>
      <c r="CM20" s="253"/>
      <c r="CN20" s="253"/>
      <c r="CO20" s="253"/>
      <c r="CP20" s="253"/>
      <c r="CQ20" s="253"/>
      <c r="CR20" s="253"/>
      <c r="CS20" s="253"/>
      <c r="CT20" s="253"/>
      <c r="CU20" s="253"/>
      <c r="CV20" s="253"/>
      <c r="CW20" s="253"/>
      <c r="CX20" s="253"/>
      <c r="CY20" s="253"/>
      <c r="CZ20" s="253"/>
      <c r="DA20" s="253"/>
      <c r="DB20" s="253"/>
      <c r="DC20" s="253"/>
      <c r="DD20" s="253"/>
      <c r="DE20" s="253"/>
      <c r="DF20" s="253"/>
      <c r="DG20" s="253"/>
      <c r="DH20" s="253"/>
      <c r="DI20" s="253"/>
      <c r="DJ20" s="253"/>
      <c r="DK20" s="253"/>
      <c r="DL20" s="253"/>
      <c r="DM20" s="253"/>
      <c r="DN20" s="253"/>
      <c r="DO20" s="253"/>
      <c r="DP20" s="253"/>
      <c r="DQ20" s="253"/>
      <c r="DR20" s="253"/>
      <c r="DS20" s="253"/>
      <c r="DT20" s="253"/>
      <c r="DU20" s="253"/>
      <c r="DV20" s="253"/>
      <c r="DW20" s="253"/>
      <c r="DX20" s="253"/>
      <c r="DY20" s="253"/>
      <c r="DZ20" s="253"/>
      <c r="EA20" s="253"/>
      <c r="EB20" s="253"/>
      <c r="EC20" s="253"/>
      <c r="ED20" s="253"/>
      <c r="EE20" s="253"/>
      <c r="EF20" s="253"/>
      <c r="EG20" s="253"/>
      <c r="EH20" s="253"/>
      <c r="EI20" s="253"/>
      <c r="EJ20" s="253"/>
      <c r="EK20" s="253"/>
      <c r="EL20" s="253"/>
      <c r="EM20" s="253"/>
      <c r="EN20" s="253"/>
      <c r="EO20" s="253"/>
      <c r="EP20" s="253"/>
      <c r="EQ20" s="253"/>
      <c r="ER20" s="253"/>
      <c r="ES20" s="253"/>
      <c r="ET20" s="253"/>
      <c r="EU20" s="253"/>
      <c r="EV20" s="253"/>
      <c r="EW20" s="253"/>
      <c r="EX20" s="253"/>
      <c r="EY20" s="253"/>
      <c r="EZ20" s="253"/>
      <c r="FA20" s="253"/>
      <c r="FB20" s="253"/>
      <c r="FC20" s="253"/>
      <c r="FD20" s="253"/>
      <c r="FE20" s="253"/>
      <c r="FF20" s="253"/>
      <c r="FG20" s="256"/>
      <c r="FH20" s="257" t="s">
        <v>993</v>
      </c>
      <c r="FI20" s="258" t="s">
        <v>389</v>
      </c>
      <c r="FJ20" s="258"/>
      <c r="FK20" s="258" t="s">
        <v>822</v>
      </c>
      <c r="FL20" s="259">
        <f t="shared" si="0"/>
        <v>10</v>
      </c>
      <c r="FM20" s="260" t="s">
        <v>820</v>
      </c>
    </row>
    <row r="21" spans="1:169" s="276" customFormat="1" ht="11.4" hidden="1">
      <c r="A21" s="251" t="s">
        <v>393</v>
      </c>
      <c r="B21" s="251" t="s">
        <v>385</v>
      </c>
      <c r="C21" s="251" t="s">
        <v>394</v>
      </c>
      <c r="D21" s="251" t="s">
        <v>1</v>
      </c>
      <c r="E21" s="252" t="s">
        <v>821</v>
      </c>
      <c r="F21" s="251" t="s">
        <v>388</v>
      </c>
      <c r="G21" s="251"/>
      <c r="H21" s="253"/>
      <c r="I21" s="253"/>
      <c r="J21" s="253"/>
      <c r="K21" s="253"/>
      <c r="L21" s="253"/>
      <c r="M21" s="253"/>
      <c r="N21" s="253"/>
      <c r="O21" s="253"/>
      <c r="P21" s="253"/>
      <c r="Q21" s="253"/>
      <c r="R21" s="253"/>
      <c r="S21" s="253"/>
      <c r="T21" s="253"/>
      <c r="U21" s="253"/>
      <c r="V21" s="253"/>
      <c r="W21" s="253"/>
      <c r="X21" s="253"/>
      <c r="Y21" s="253"/>
      <c r="Z21" s="253"/>
      <c r="AA21" s="253"/>
      <c r="AB21" s="255">
        <f>200-200</f>
        <v>0</v>
      </c>
      <c r="AC21" s="253"/>
      <c r="AD21" s="253"/>
      <c r="AE21" s="253"/>
      <c r="AF21" s="253"/>
      <c r="AG21" s="253"/>
      <c r="AH21" s="253"/>
      <c r="AI21" s="253"/>
      <c r="AJ21" s="253"/>
      <c r="AK21" s="253"/>
      <c r="AL21" s="253"/>
      <c r="AM21" s="253"/>
      <c r="AN21" s="253"/>
      <c r="AO21" s="253"/>
      <c r="AP21" s="253"/>
      <c r="AQ21" s="253"/>
      <c r="AR21" s="253"/>
      <c r="AS21" s="253"/>
      <c r="AT21" s="255">
        <f>100-100+70</f>
        <v>70</v>
      </c>
      <c r="AU21" s="253"/>
      <c r="AV21" s="253"/>
      <c r="AW21" s="253"/>
      <c r="AX21" s="253"/>
      <c r="AY21" s="253"/>
      <c r="AZ21" s="253"/>
      <c r="BA21" s="253"/>
      <c r="BB21" s="253"/>
      <c r="BC21" s="253"/>
      <c r="BD21" s="255">
        <f>50-50+10</f>
        <v>10</v>
      </c>
      <c r="BE21" s="253"/>
      <c r="BF21" s="255">
        <f>50-50</f>
        <v>0</v>
      </c>
      <c r="BG21" s="253"/>
      <c r="BH21" s="253"/>
      <c r="BI21" s="253"/>
      <c r="BJ21" s="253"/>
      <c r="BK21" s="253"/>
      <c r="BL21" s="253"/>
      <c r="BM21" s="253"/>
      <c r="BN21" s="253"/>
      <c r="BO21" s="253"/>
      <c r="BP21" s="253"/>
      <c r="BQ21" s="253"/>
      <c r="BR21" s="253"/>
      <c r="BS21" s="253"/>
      <c r="BT21" s="253"/>
      <c r="BU21" s="253"/>
      <c r="BV21" s="253"/>
      <c r="BW21" s="253"/>
      <c r="BX21" s="253"/>
      <c r="BY21" s="253"/>
      <c r="BZ21" s="253"/>
      <c r="CA21" s="253"/>
      <c r="CB21" s="253"/>
      <c r="CC21" s="253"/>
      <c r="CD21" s="253"/>
      <c r="CE21" s="253"/>
      <c r="CF21" s="253"/>
      <c r="CG21" s="253"/>
      <c r="CH21" s="253"/>
      <c r="CI21" s="253"/>
      <c r="CJ21" s="253"/>
      <c r="CK21" s="253"/>
      <c r="CL21" s="253"/>
      <c r="CM21" s="253"/>
      <c r="CN21" s="253"/>
      <c r="CO21" s="253"/>
      <c r="CP21" s="253"/>
      <c r="CQ21" s="253"/>
      <c r="CR21" s="253"/>
      <c r="CS21" s="253"/>
      <c r="CT21" s="253"/>
      <c r="CU21" s="253"/>
      <c r="CV21" s="253"/>
      <c r="CW21" s="253"/>
      <c r="CX21" s="253"/>
      <c r="CY21" s="253"/>
      <c r="CZ21" s="253"/>
      <c r="DA21" s="253"/>
      <c r="DB21" s="253"/>
      <c r="DC21" s="253"/>
      <c r="DD21" s="253"/>
      <c r="DE21" s="253"/>
      <c r="DF21" s="253"/>
      <c r="DG21" s="253"/>
      <c r="DH21" s="253"/>
      <c r="DI21" s="253"/>
      <c r="DJ21" s="253"/>
      <c r="DK21" s="253"/>
      <c r="DL21" s="253"/>
      <c r="DM21" s="253"/>
      <c r="DN21" s="253"/>
      <c r="DO21" s="253"/>
      <c r="DP21" s="253"/>
      <c r="DQ21" s="253"/>
      <c r="DR21" s="253"/>
      <c r="DS21" s="253"/>
      <c r="DT21" s="253"/>
      <c r="DU21" s="253"/>
      <c r="DV21" s="253"/>
      <c r="DW21" s="253"/>
      <c r="DX21" s="253"/>
      <c r="DY21" s="253"/>
      <c r="DZ21" s="253"/>
      <c r="EA21" s="253"/>
      <c r="EB21" s="253"/>
      <c r="EC21" s="253"/>
      <c r="ED21" s="253"/>
      <c r="EE21" s="253"/>
      <c r="EF21" s="253"/>
      <c r="EG21" s="253"/>
      <c r="EH21" s="253"/>
      <c r="EI21" s="253"/>
      <c r="EJ21" s="253"/>
      <c r="EK21" s="253"/>
      <c r="EL21" s="253"/>
      <c r="EM21" s="253"/>
      <c r="EN21" s="253"/>
      <c r="EO21" s="253"/>
      <c r="EP21" s="253"/>
      <c r="EQ21" s="253"/>
      <c r="ER21" s="253"/>
      <c r="ES21" s="253"/>
      <c r="ET21" s="253"/>
      <c r="EU21" s="253"/>
      <c r="EV21" s="253"/>
      <c r="EW21" s="253"/>
      <c r="EX21" s="253"/>
      <c r="EY21" s="253"/>
      <c r="EZ21" s="253"/>
      <c r="FA21" s="253"/>
      <c r="FB21" s="253"/>
      <c r="FC21" s="253"/>
      <c r="FD21" s="253"/>
      <c r="FE21" s="253"/>
      <c r="FF21" s="253"/>
      <c r="FG21" s="256"/>
      <c r="FH21" s="257" t="s">
        <v>993</v>
      </c>
      <c r="FI21" s="258" t="s">
        <v>389</v>
      </c>
      <c r="FJ21" s="258"/>
      <c r="FK21" s="258" t="s">
        <v>822</v>
      </c>
      <c r="FL21" s="259">
        <f t="shared" si="0"/>
        <v>80</v>
      </c>
      <c r="FM21" s="260" t="s">
        <v>820</v>
      </c>
    </row>
    <row r="22" spans="1:169" s="276" customFormat="1" ht="11.4" hidden="1">
      <c r="A22" s="251" t="s">
        <v>393</v>
      </c>
      <c r="B22" s="251" t="s">
        <v>385</v>
      </c>
      <c r="C22" s="251" t="s">
        <v>394</v>
      </c>
      <c r="D22" s="251" t="s">
        <v>291</v>
      </c>
      <c r="E22" s="252" t="s">
        <v>823</v>
      </c>
      <c r="F22" s="251" t="s">
        <v>388</v>
      </c>
      <c r="G22" s="251"/>
      <c r="H22" s="253"/>
      <c r="I22" s="253"/>
      <c r="J22" s="253"/>
      <c r="K22" s="253"/>
      <c r="L22" s="253"/>
      <c r="M22" s="253"/>
      <c r="N22" s="253"/>
      <c r="O22" s="253"/>
      <c r="P22" s="253"/>
      <c r="Q22" s="253"/>
      <c r="R22" s="253"/>
      <c r="S22" s="253"/>
      <c r="T22" s="253"/>
      <c r="U22" s="253"/>
      <c r="V22" s="253"/>
      <c r="W22" s="253"/>
      <c r="X22" s="253"/>
      <c r="Y22" s="253"/>
      <c r="Z22" s="253"/>
      <c r="AA22" s="253"/>
      <c r="AB22" s="253"/>
      <c r="AC22" s="253"/>
      <c r="AD22" s="253"/>
      <c r="AE22" s="253"/>
      <c r="AF22" s="253"/>
      <c r="AG22" s="253"/>
      <c r="AH22" s="255">
        <f>100-100</f>
        <v>0</v>
      </c>
      <c r="AI22" s="253"/>
      <c r="AJ22" s="253"/>
      <c r="AK22" s="253"/>
      <c r="AL22" s="253"/>
      <c r="AM22" s="255">
        <f>50-50+10</f>
        <v>10</v>
      </c>
      <c r="AN22" s="253"/>
      <c r="AO22" s="253"/>
      <c r="AP22" s="253"/>
      <c r="AQ22" s="253"/>
      <c r="AR22" s="253"/>
      <c r="AS22" s="253"/>
      <c r="AT22" s="253"/>
      <c r="AU22" s="253"/>
      <c r="AV22" s="253"/>
      <c r="AW22" s="253"/>
      <c r="AX22" s="253"/>
      <c r="AY22" s="253"/>
      <c r="AZ22" s="253"/>
      <c r="BA22" s="253"/>
      <c r="BB22" s="253"/>
      <c r="BC22" s="253"/>
      <c r="BD22" s="253"/>
      <c r="BE22" s="253"/>
      <c r="BF22" s="253"/>
      <c r="BG22" s="253"/>
      <c r="BH22" s="253"/>
      <c r="BI22" s="253"/>
      <c r="BJ22" s="253"/>
      <c r="BK22" s="253"/>
      <c r="BL22" s="253"/>
      <c r="BM22" s="253"/>
      <c r="BN22" s="253"/>
      <c r="BO22" s="253"/>
      <c r="BP22" s="253"/>
      <c r="BQ22" s="253"/>
      <c r="BR22" s="253"/>
      <c r="BS22" s="253"/>
      <c r="BT22" s="253"/>
      <c r="BU22" s="253"/>
      <c r="BV22" s="253"/>
      <c r="BW22" s="253"/>
      <c r="BX22" s="253"/>
      <c r="BY22" s="253"/>
      <c r="BZ22" s="253"/>
      <c r="CA22" s="253"/>
      <c r="CB22" s="253"/>
      <c r="CC22" s="253"/>
      <c r="CD22" s="253"/>
      <c r="CE22" s="253"/>
      <c r="CF22" s="253"/>
      <c r="CG22" s="253"/>
      <c r="CH22" s="253"/>
      <c r="CI22" s="253"/>
      <c r="CJ22" s="253"/>
      <c r="CK22" s="253"/>
      <c r="CL22" s="253"/>
      <c r="CM22" s="253"/>
      <c r="CN22" s="253"/>
      <c r="CO22" s="253"/>
      <c r="CP22" s="253"/>
      <c r="CQ22" s="253"/>
      <c r="CR22" s="253"/>
      <c r="CS22" s="253"/>
      <c r="CT22" s="253"/>
      <c r="CU22" s="253"/>
      <c r="CV22" s="253"/>
      <c r="CW22" s="253"/>
      <c r="CX22" s="253"/>
      <c r="CY22" s="253"/>
      <c r="CZ22" s="253"/>
      <c r="DA22" s="253"/>
      <c r="DB22" s="253"/>
      <c r="DC22" s="253"/>
      <c r="DD22" s="253"/>
      <c r="DE22" s="253"/>
      <c r="DF22" s="253"/>
      <c r="DG22" s="253"/>
      <c r="DH22" s="253"/>
      <c r="DI22" s="253"/>
      <c r="DJ22" s="253"/>
      <c r="DK22" s="253"/>
      <c r="DL22" s="253"/>
      <c r="DM22" s="253"/>
      <c r="DN22" s="253"/>
      <c r="DO22" s="253"/>
      <c r="DP22" s="253"/>
      <c r="DQ22" s="253"/>
      <c r="DR22" s="253"/>
      <c r="DS22" s="253"/>
      <c r="DT22" s="253"/>
      <c r="DU22" s="253"/>
      <c r="DV22" s="253"/>
      <c r="DW22" s="253"/>
      <c r="DX22" s="253"/>
      <c r="DY22" s="253"/>
      <c r="DZ22" s="253"/>
      <c r="EA22" s="253"/>
      <c r="EB22" s="253"/>
      <c r="EC22" s="253"/>
      <c r="ED22" s="253"/>
      <c r="EE22" s="253"/>
      <c r="EF22" s="253"/>
      <c r="EG22" s="253"/>
      <c r="EH22" s="253"/>
      <c r="EI22" s="253"/>
      <c r="EJ22" s="253"/>
      <c r="EK22" s="253"/>
      <c r="EL22" s="253"/>
      <c r="EM22" s="253"/>
      <c r="EN22" s="253"/>
      <c r="EO22" s="253"/>
      <c r="EP22" s="253"/>
      <c r="EQ22" s="253"/>
      <c r="ER22" s="253"/>
      <c r="ES22" s="253"/>
      <c r="ET22" s="253"/>
      <c r="EU22" s="253"/>
      <c r="EV22" s="253"/>
      <c r="EW22" s="253"/>
      <c r="EX22" s="253"/>
      <c r="EY22" s="253"/>
      <c r="EZ22" s="253"/>
      <c r="FA22" s="253"/>
      <c r="FB22" s="253"/>
      <c r="FC22" s="253"/>
      <c r="FD22" s="253"/>
      <c r="FE22" s="253"/>
      <c r="FF22" s="253"/>
      <c r="FG22" s="256"/>
      <c r="FH22" s="257" t="s">
        <v>993</v>
      </c>
      <c r="FI22" s="258" t="s">
        <v>389</v>
      </c>
      <c r="FJ22" s="258"/>
      <c r="FK22" s="258" t="s">
        <v>824</v>
      </c>
      <c r="FL22" s="259">
        <f t="shared" si="0"/>
        <v>10</v>
      </c>
      <c r="FM22" s="260" t="s">
        <v>820</v>
      </c>
    </row>
    <row r="23" spans="1:169" s="276" customFormat="1" ht="11.4" hidden="1">
      <c r="A23" s="251" t="s">
        <v>393</v>
      </c>
      <c r="B23" s="251" t="s">
        <v>385</v>
      </c>
      <c r="C23" s="251" t="s">
        <v>394</v>
      </c>
      <c r="D23" s="251" t="s">
        <v>1</v>
      </c>
      <c r="E23" s="252" t="s">
        <v>823</v>
      </c>
      <c r="F23" s="251" t="s">
        <v>388</v>
      </c>
      <c r="G23" s="251"/>
      <c r="H23" s="253"/>
      <c r="I23" s="253"/>
      <c r="J23" s="253"/>
      <c r="K23" s="253"/>
      <c r="L23" s="253"/>
      <c r="M23" s="253"/>
      <c r="N23" s="253"/>
      <c r="O23" s="253"/>
      <c r="P23" s="253"/>
      <c r="Q23" s="253"/>
      <c r="R23" s="253"/>
      <c r="S23" s="253"/>
      <c r="T23" s="253"/>
      <c r="U23" s="253"/>
      <c r="V23" s="253"/>
      <c r="W23" s="253"/>
      <c r="X23" s="253"/>
      <c r="Y23" s="253"/>
      <c r="Z23" s="253"/>
      <c r="AA23" s="253"/>
      <c r="AB23" s="255">
        <f>100-100</f>
        <v>0</v>
      </c>
      <c r="AC23" s="253"/>
      <c r="AD23" s="253"/>
      <c r="AE23" s="253"/>
      <c r="AF23" s="253"/>
      <c r="AG23" s="253"/>
      <c r="AH23" s="253"/>
      <c r="AI23" s="253"/>
      <c r="AJ23" s="253"/>
      <c r="AK23" s="253"/>
      <c r="AL23" s="253"/>
      <c r="AM23" s="253"/>
      <c r="AN23" s="253"/>
      <c r="AO23" s="253"/>
      <c r="AP23" s="253"/>
      <c r="AQ23" s="253"/>
      <c r="AR23" s="253"/>
      <c r="AS23" s="253"/>
      <c r="AT23" s="255">
        <f>100-100</f>
        <v>0</v>
      </c>
      <c r="AU23" s="253"/>
      <c r="AV23" s="253"/>
      <c r="AW23" s="253"/>
      <c r="AX23" s="253"/>
      <c r="AY23" s="253"/>
      <c r="AZ23" s="253"/>
      <c r="BA23" s="253"/>
      <c r="BB23" s="253"/>
      <c r="BC23" s="253"/>
      <c r="BD23" s="255">
        <f>50-50+10</f>
        <v>10</v>
      </c>
      <c r="BE23" s="253"/>
      <c r="BF23" s="255">
        <f>50-50</f>
        <v>0</v>
      </c>
      <c r="BG23" s="253"/>
      <c r="BH23" s="253"/>
      <c r="BI23" s="253"/>
      <c r="BJ23" s="253"/>
      <c r="BK23" s="253"/>
      <c r="BL23" s="253"/>
      <c r="BM23" s="253"/>
      <c r="BN23" s="253"/>
      <c r="BO23" s="253"/>
      <c r="BP23" s="253"/>
      <c r="BQ23" s="253"/>
      <c r="BR23" s="253"/>
      <c r="BS23" s="253"/>
      <c r="BT23" s="253"/>
      <c r="BU23" s="253"/>
      <c r="BV23" s="253"/>
      <c r="BW23" s="253"/>
      <c r="BX23" s="253"/>
      <c r="BY23" s="253"/>
      <c r="BZ23" s="253"/>
      <c r="CA23" s="253"/>
      <c r="CB23" s="253"/>
      <c r="CC23" s="253"/>
      <c r="CD23" s="253"/>
      <c r="CE23" s="253"/>
      <c r="CF23" s="253"/>
      <c r="CG23" s="253"/>
      <c r="CH23" s="253"/>
      <c r="CI23" s="253"/>
      <c r="CJ23" s="253"/>
      <c r="CK23" s="253"/>
      <c r="CL23" s="253"/>
      <c r="CM23" s="253"/>
      <c r="CN23" s="253"/>
      <c r="CO23" s="253"/>
      <c r="CP23" s="253"/>
      <c r="CQ23" s="253"/>
      <c r="CR23" s="253"/>
      <c r="CS23" s="253"/>
      <c r="CT23" s="253"/>
      <c r="CU23" s="253"/>
      <c r="CV23" s="253"/>
      <c r="CW23" s="253"/>
      <c r="CX23" s="253"/>
      <c r="CY23" s="253"/>
      <c r="CZ23" s="253"/>
      <c r="DA23" s="253"/>
      <c r="DB23" s="253"/>
      <c r="DC23" s="253"/>
      <c r="DD23" s="253"/>
      <c r="DE23" s="253"/>
      <c r="DF23" s="253"/>
      <c r="DG23" s="253"/>
      <c r="DH23" s="253"/>
      <c r="DI23" s="253"/>
      <c r="DJ23" s="253"/>
      <c r="DK23" s="253"/>
      <c r="DL23" s="253"/>
      <c r="DM23" s="253"/>
      <c r="DN23" s="253"/>
      <c r="DO23" s="253"/>
      <c r="DP23" s="253"/>
      <c r="DQ23" s="253"/>
      <c r="DR23" s="253"/>
      <c r="DS23" s="253"/>
      <c r="DT23" s="253"/>
      <c r="DU23" s="253"/>
      <c r="DV23" s="253"/>
      <c r="DW23" s="253"/>
      <c r="DX23" s="253"/>
      <c r="DY23" s="253"/>
      <c r="DZ23" s="253"/>
      <c r="EA23" s="253"/>
      <c r="EB23" s="253"/>
      <c r="EC23" s="253"/>
      <c r="ED23" s="253"/>
      <c r="EE23" s="253"/>
      <c r="EF23" s="253"/>
      <c r="EG23" s="253"/>
      <c r="EH23" s="253"/>
      <c r="EI23" s="253"/>
      <c r="EJ23" s="253"/>
      <c r="EK23" s="253"/>
      <c r="EL23" s="253"/>
      <c r="EM23" s="253"/>
      <c r="EN23" s="253"/>
      <c r="EO23" s="253"/>
      <c r="EP23" s="253"/>
      <c r="EQ23" s="253"/>
      <c r="ER23" s="253"/>
      <c r="ES23" s="253"/>
      <c r="ET23" s="253"/>
      <c r="EU23" s="253"/>
      <c r="EV23" s="253"/>
      <c r="EW23" s="253"/>
      <c r="EX23" s="253"/>
      <c r="EY23" s="253"/>
      <c r="EZ23" s="253"/>
      <c r="FA23" s="253"/>
      <c r="FB23" s="253"/>
      <c r="FC23" s="253"/>
      <c r="FD23" s="253"/>
      <c r="FE23" s="253"/>
      <c r="FF23" s="253"/>
      <c r="FG23" s="256"/>
      <c r="FH23" s="257" t="s">
        <v>993</v>
      </c>
      <c r="FI23" s="258" t="s">
        <v>389</v>
      </c>
      <c r="FJ23" s="258"/>
      <c r="FK23" s="258" t="s">
        <v>824</v>
      </c>
      <c r="FL23" s="259">
        <f t="shared" si="0"/>
        <v>10</v>
      </c>
      <c r="FM23" s="260" t="s">
        <v>820</v>
      </c>
    </row>
    <row r="24" spans="1:169" s="276" customFormat="1" ht="11.4" hidden="1">
      <c r="A24" s="251" t="s">
        <v>393</v>
      </c>
      <c r="B24" s="251" t="s">
        <v>385</v>
      </c>
      <c r="C24" s="251" t="s">
        <v>394</v>
      </c>
      <c r="D24" s="251" t="s">
        <v>291</v>
      </c>
      <c r="E24" s="252" t="s">
        <v>825</v>
      </c>
      <c r="F24" s="251" t="s">
        <v>388</v>
      </c>
      <c r="G24" s="251"/>
      <c r="H24" s="253"/>
      <c r="I24" s="253"/>
      <c r="J24" s="253"/>
      <c r="K24" s="253"/>
      <c r="L24" s="253"/>
      <c r="M24" s="253"/>
      <c r="N24" s="253"/>
      <c r="O24" s="253"/>
      <c r="P24" s="253"/>
      <c r="Q24" s="253"/>
      <c r="R24" s="253"/>
      <c r="S24" s="253"/>
      <c r="T24" s="253"/>
      <c r="U24" s="253"/>
      <c r="V24" s="253"/>
      <c r="W24" s="253"/>
      <c r="X24" s="253"/>
      <c r="Y24" s="253"/>
      <c r="Z24" s="253"/>
      <c r="AA24" s="253"/>
      <c r="AB24" s="253"/>
      <c r="AC24" s="253"/>
      <c r="AD24" s="253"/>
      <c r="AE24" s="255">
        <f>10-10</f>
        <v>0</v>
      </c>
      <c r="AF24" s="253"/>
      <c r="AG24" s="253"/>
      <c r="AH24" s="255">
        <f>10-10</f>
        <v>0</v>
      </c>
      <c r="AI24" s="253"/>
      <c r="AJ24" s="253"/>
      <c r="AK24" s="253"/>
      <c r="AL24" s="253"/>
      <c r="AM24" s="253"/>
      <c r="AN24" s="253"/>
      <c r="AO24" s="253"/>
      <c r="AP24" s="253"/>
      <c r="AQ24" s="255">
        <f>40-40</f>
        <v>0</v>
      </c>
      <c r="AR24" s="253"/>
      <c r="AS24" s="253"/>
      <c r="AT24" s="253"/>
      <c r="AU24" s="253"/>
      <c r="AV24" s="253"/>
      <c r="AW24" s="253"/>
      <c r="AX24" s="253"/>
      <c r="AY24" s="253"/>
      <c r="AZ24" s="253"/>
      <c r="BA24" s="253"/>
      <c r="BB24" s="253"/>
      <c r="BC24" s="253"/>
      <c r="BD24" s="253"/>
      <c r="BE24" s="253"/>
      <c r="BF24" s="253"/>
      <c r="BG24" s="253"/>
      <c r="BH24" s="253"/>
      <c r="BI24" s="253"/>
      <c r="BJ24" s="253"/>
      <c r="BK24" s="253"/>
      <c r="BL24" s="253"/>
      <c r="BM24" s="253"/>
      <c r="BN24" s="253"/>
      <c r="BO24" s="253"/>
      <c r="BP24" s="253"/>
      <c r="BQ24" s="253"/>
      <c r="BR24" s="253"/>
      <c r="BS24" s="253"/>
      <c r="BT24" s="253"/>
      <c r="BU24" s="253"/>
      <c r="BV24" s="253"/>
      <c r="BW24" s="253"/>
      <c r="BX24" s="253"/>
      <c r="BY24" s="253"/>
      <c r="BZ24" s="253"/>
      <c r="CA24" s="253"/>
      <c r="CB24" s="253"/>
      <c r="CC24" s="253"/>
      <c r="CD24" s="253"/>
      <c r="CE24" s="253"/>
      <c r="CF24" s="253"/>
      <c r="CG24" s="253"/>
      <c r="CH24" s="253"/>
      <c r="CI24" s="253"/>
      <c r="CJ24" s="253"/>
      <c r="CK24" s="253"/>
      <c r="CL24" s="253"/>
      <c r="CM24" s="253"/>
      <c r="CN24" s="253"/>
      <c r="CO24" s="253"/>
      <c r="CP24" s="253"/>
      <c r="CQ24" s="253"/>
      <c r="CR24" s="253"/>
      <c r="CS24" s="253"/>
      <c r="CT24" s="253"/>
      <c r="CU24" s="253"/>
      <c r="CV24" s="253"/>
      <c r="CW24" s="253"/>
      <c r="CX24" s="253"/>
      <c r="CY24" s="253"/>
      <c r="CZ24" s="253"/>
      <c r="DA24" s="253"/>
      <c r="DB24" s="253"/>
      <c r="DC24" s="253"/>
      <c r="DD24" s="253"/>
      <c r="DE24" s="253"/>
      <c r="DF24" s="253"/>
      <c r="DG24" s="253"/>
      <c r="DH24" s="253"/>
      <c r="DI24" s="253"/>
      <c r="DJ24" s="253"/>
      <c r="DK24" s="253"/>
      <c r="DL24" s="253"/>
      <c r="DM24" s="253"/>
      <c r="DN24" s="253"/>
      <c r="DO24" s="253"/>
      <c r="DP24" s="253"/>
      <c r="DQ24" s="253"/>
      <c r="DR24" s="253"/>
      <c r="DS24" s="253"/>
      <c r="DT24" s="253"/>
      <c r="DU24" s="253"/>
      <c r="DV24" s="253"/>
      <c r="DW24" s="253"/>
      <c r="DX24" s="253"/>
      <c r="DY24" s="253"/>
      <c r="DZ24" s="253"/>
      <c r="EA24" s="253"/>
      <c r="EB24" s="253"/>
      <c r="EC24" s="253"/>
      <c r="ED24" s="253"/>
      <c r="EE24" s="253"/>
      <c r="EF24" s="253"/>
      <c r="EG24" s="253"/>
      <c r="EH24" s="253"/>
      <c r="EI24" s="253"/>
      <c r="EJ24" s="253"/>
      <c r="EK24" s="253"/>
      <c r="EL24" s="253"/>
      <c r="EM24" s="253"/>
      <c r="EN24" s="253"/>
      <c r="EO24" s="253"/>
      <c r="EP24" s="253"/>
      <c r="EQ24" s="253"/>
      <c r="ER24" s="253"/>
      <c r="ES24" s="253"/>
      <c r="ET24" s="253"/>
      <c r="EU24" s="253"/>
      <c r="EV24" s="253"/>
      <c r="EW24" s="253"/>
      <c r="EX24" s="253"/>
      <c r="EY24" s="253"/>
      <c r="EZ24" s="253"/>
      <c r="FA24" s="253"/>
      <c r="FB24" s="253"/>
      <c r="FC24" s="253"/>
      <c r="FD24" s="253"/>
      <c r="FE24" s="253"/>
      <c r="FF24" s="253"/>
      <c r="FG24" s="256"/>
      <c r="FH24" s="257" t="s">
        <v>993</v>
      </c>
      <c r="FI24" s="258" t="s">
        <v>389</v>
      </c>
      <c r="FJ24" s="258"/>
      <c r="FK24" s="258" t="s">
        <v>826</v>
      </c>
      <c r="FL24" s="259">
        <f t="shared" si="0"/>
        <v>0</v>
      </c>
      <c r="FM24" s="260" t="s">
        <v>820</v>
      </c>
    </row>
    <row r="25" spans="1:169" s="276" customFormat="1" ht="11.4" hidden="1">
      <c r="A25" s="251" t="s">
        <v>393</v>
      </c>
      <c r="B25" s="251" t="s">
        <v>385</v>
      </c>
      <c r="C25" s="251" t="s">
        <v>394</v>
      </c>
      <c r="D25" s="251" t="s">
        <v>1</v>
      </c>
      <c r="E25" s="252" t="s">
        <v>825</v>
      </c>
      <c r="F25" s="251" t="s">
        <v>388</v>
      </c>
      <c r="G25" s="251"/>
      <c r="H25" s="253"/>
      <c r="I25" s="253"/>
      <c r="J25" s="253"/>
      <c r="K25" s="253"/>
      <c r="L25" s="253"/>
      <c r="M25" s="253"/>
      <c r="N25" s="253"/>
      <c r="O25" s="253"/>
      <c r="P25" s="253"/>
      <c r="Q25" s="253"/>
      <c r="R25" s="253"/>
      <c r="S25" s="253"/>
      <c r="T25" s="253"/>
      <c r="U25" s="253"/>
      <c r="V25" s="253"/>
      <c r="W25" s="253"/>
      <c r="X25" s="253"/>
      <c r="Y25" s="253"/>
      <c r="Z25" s="253"/>
      <c r="AA25" s="253"/>
      <c r="AB25" s="255">
        <f>10-10</f>
        <v>0</v>
      </c>
      <c r="AC25" s="253"/>
      <c r="AD25" s="253"/>
      <c r="AE25" s="253"/>
      <c r="AF25" s="253"/>
      <c r="AG25" s="253"/>
      <c r="AH25" s="253"/>
      <c r="AI25" s="253"/>
      <c r="AJ25" s="253"/>
      <c r="AK25" s="253"/>
      <c r="AL25" s="253"/>
      <c r="AM25" s="253"/>
      <c r="AN25" s="253"/>
      <c r="AO25" s="253"/>
      <c r="AP25" s="253"/>
      <c r="AQ25" s="253"/>
      <c r="AR25" s="253"/>
      <c r="AS25" s="253"/>
      <c r="AT25" s="255">
        <f>40-40</f>
        <v>0</v>
      </c>
      <c r="AU25" s="253"/>
      <c r="AV25" s="253"/>
      <c r="AW25" s="253"/>
      <c r="AX25" s="253"/>
      <c r="AY25" s="253"/>
      <c r="AZ25" s="253"/>
      <c r="BA25" s="253"/>
      <c r="BB25" s="253"/>
      <c r="BC25" s="253"/>
      <c r="BD25" s="255">
        <f>40-40</f>
        <v>0</v>
      </c>
      <c r="BE25" s="253"/>
      <c r="BF25" s="255">
        <f>40-40</f>
        <v>0</v>
      </c>
      <c r="BG25" s="253"/>
      <c r="BH25" s="253"/>
      <c r="BI25" s="253"/>
      <c r="BJ25" s="253"/>
      <c r="BK25" s="253"/>
      <c r="BL25" s="253"/>
      <c r="BM25" s="253"/>
      <c r="BN25" s="253"/>
      <c r="BO25" s="253"/>
      <c r="BP25" s="253"/>
      <c r="BQ25" s="253"/>
      <c r="BR25" s="253"/>
      <c r="BS25" s="253"/>
      <c r="BT25" s="253"/>
      <c r="BU25" s="253"/>
      <c r="BV25" s="253"/>
      <c r="BW25" s="253"/>
      <c r="BX25" s="253"/>
      <c r="BY25" s="253"/>
      <c r="BZ25" s="253"/>
      <c r="CA25" s="253"/>
      <c r="CB25" s="253"/>
      <c r="CC25" s="253"/>
      <c r="CD25" s="253"/>
      <c r="CE25" s="253"/>
      <c r="CF25" s="253"/>
      <c r="CG25" s="253"/>
      <c r="CH25" s="253"/>
      <c r="CI25" s="253"/>
      <c r="CJ25" s="253"/>
      <c r="CK25" s="253"/>
      <c r="CL25" s="253"/>
      <c r="CM25" s="253"/>
      <c r="CN25" s="253"/>
      <c r="CO25" s="253"/>
      <c r="CP25" s="253"/>
      <c r="CQ25" s="253"/>
      <c r="CR25" s="253"/>
      <c r="CS25" s="253"/>
      <c r="CT25" s="253"/>
      <c r="CU25" s="253"/>
      <c r="CV25" s="253"/>
      <c r="CW25" s="253"/>
      <c r="CX25" s="253"/>
      <c r="CY25" s="253"/>
      <c r="CZ25" s="253"/>
      <c r="DA25" s="253"/>
      <c r="DB25" s="253"/>
      <c r="DC25" s="253"/>
      <c r="DD25" s="253"/>
      <c r="DE25" s="253"/>
      <c r="DF25" s="253"/>
      <c r="DG25" s="253"/>
      <c r="DH25" s="253"/>
      <c r="DI25" s="253"/>
      <c r="DJ25" s="253"/>
      <c r="DK25" s="253"/>
      <c r="DL25" s="253"/>
      <c r="DM25" s="253"/>
      <c r="DN25" s="253"/>
      <c r="DO25" s="253"/>
      <c r="DP25" s="253"/>
      <c r="DQ25" s="253"/>
      <c r="DR25" s="253"/>
      <c r="DS25" s="253"/>
      <c r="DT25" s="253"/>
      <c r="DU25" s="253"/>
      <c r="DV25" s="253"/>
      <c r="DW25" s="253"/>
      <c r="DX25" s="253"/>
      <c r="DY25" s="253"/>
      <c r="DZ25" s="253"/>
      <c r="EA25" s="253"/>
      <c r="EB25" s="253"/>
      <c r="EC25" s="253"/>
      <c r="ED25" s="253"/>
      <c r="EE25" s="253"/>
      <c r="EF25" s="253"/>
      <c r="EG25" s="253"/>
      <c r="EH25" s="253"/>
      <c r="EI25" s="253"/>
      <c r="EJ25" s="253"/>
      <c r="EK25" s="253"/>
      <c r="EL25" s="253"/>
      <c r="EM25" s="253"/>
      <c r="EN25" s="253"/>
      <c r="EO25" s="253"/>
      <c r="EP25" s="253"/>
      <c r="EQ25" s="253"/>
      <c r="ER25" s="253"/>
      <c r="ES25" s="253"/>
      <c r="ET25" s="253"/>
      <c r="EU25" s="253"/>
      <c r="EV25" s="253"/>
      <c r="EW25" s="253"/>
      <c r="EX25" s="253"/>
      <c r="EY25" s="253"/>
      <c r="EZ25" s="253"/>
      <c r="FA25" s="253"/>
      <c r="FB25" s="253"/>
      <c r="FC25" s="253"/>
      <c r="FD25" s="253"/>
      <c r="FE25" s="253"/>
      <c r="FF25" s="253"/>
      <c r="FG25" s="256"/>
      <c r="FH25" s="257" t="s">
        <v>993</v>
      </c>
      <c r="FI25" s="258" t="s">
        <v>389</v>
      </c>
      <c r="FJ25" s="258"/>
      <c r="FK25" s="258" t="s">
        <v>826</v>
      </c>
      <c r="FL25" s="259">
        <f t="shared" si="0"/>
        <v>0</v>
      </c>
      <c r="FM25" s="260" t="s">
        <v>820</v>
      </c>
    </row>
    <row r="26" spans="1:169" s="276" customFormat="1" ht="11.4" hidden="1">
      <c r="A26" s="251" t="s">
        <v>393</v>
      </c>
      <c r="B26" s="251" t="s">
        <v>385</v>
      </c>
      <c r="C26" s="251" t="s">
        <v>394</v>
      </c>
      <c r="D26" s="251" t="s">
        <v>291</v>
      </c>
      <c r="E26" s="252" t="s">
        <v>827</v>
      </c>
      <c r="F26" s="251" t="s">
        <v>388</v>
      </c>
      <c r="G26" s="251"/>
      <c r="H26" s="253"/>
      <c r="I26" s="253"/>
      <c r="J26" s="253"/>
      <c r="K26" s="253"/>
      <c r="L26" s="253"/>
      <c r="M26" s="253"/>
      <c r="N26" s="253"/>
      <c r="O26" s="253"/>
      <c r="P26" s="253"/>
      <c r="Q26" s="253"/>
      <c r="R26" s="253"/>
      <c r="S26" s="253"/>
      <c r="T26" s="253"/>
      <c r="U26" s="253"/>
      <c r="V26" s="253"/>
      <c r="W26" s="253"/>
      <c r="X26" s="253"/>
      <c r="Y26" s="253"/>
      <c r="Z26" s="253"/>
      <c r="AA26" s="253"/>
      <c r="AB26" s="253"/>
      <c r="AC26" s="253"/>
      <c r="AD26" s="253"/>
      <c r="AE26" s="253"/>
      <c r="AF26" s="253"/>
      <c r="AG26" s="253"/>
      <c r="AH26" s="255">
        <f>1000-1000</f>
        <v>0</v>
      </c>
      <c r="AI26" s="253"/>
      <c r="AJ26" s="253"/>
      <c r="AK26" s="253"/>
      <c r="AL26" s="253"/>
      <c r="AM26" s="255">
        <f>1000-1000+20</f>
        <v>20</v>
      </c>
      <c r="AN26" s="253"/>
      <c r="AO26" s="253"/>
      <c r="AP26" s="253"/>
      <c r="AQ26" s="253"/>
      <c r="AR26" s="253"/>
      <c r="AS26" s="253"/>
      <c r="AT26" s="253"/>
      <c r="AU26" s="253"/>
      <c r="AV26" s="253"/>
      <c r="AW26" s="253"/>
      <c r="AX26" s="253"/>
      <c r="AY26" s="253"/>
      <c r="AZ26" s="253"/>
      <c r="BA26" s="253"/>
      <c r="BB26" s="253"/>
      <c r="BC26" s="253"/>
      <c r="BD26" s="253"/>
      <c r="BE26" s="253"/>
      <c r="BF26" s="253"/>
      <c r="BG26" s="253"/>
      <c r="BH26" s="253"/>
      <c r="BI26" s="253"/>
      <c r="BJ26" s="253"/>
      <c r="BK26" s="253"/>
      <c r="BL26" s="253"/>
      <c r="BM26" s="253"/>
      <c r="BN26" s="253"/>
      <c r="BO26" s="253"/>
      <c r="BP26" s="253"/>
      <c r="BQ26" s="253"/>
      <c r="BR26" s="253"/>
      <c r="BS26" s="253"/>
      <c r="BT26" s="253"/>
      <c r="BU26" s="253"/>
      <c r="BV26" s="253"/>
      <c r="BW26" s="253"/>
      <c r="BX26" s="253"/>
      <c r="BY26" s="253"/>
      <c r="BZ26" s="253"/>
      <c r="CA26" s="253"/>
      <c r="CB26" s="253"/>
      <c r="CC26" s="253"/>
      <c r="CD26" s="253"/>
      <c r="CE26" s="253"/>
      <c r="CF26" s="253"/>
      <c r="CG26" s="253"/>
      <c r="CH26" s="253"/>
      <c r="CI26" s="253"/>
      <c r="CJ26" s="253"/>
      <c r="CK26" s="253"/>
      <c r="CL26" s="253"/>
      <c r="CM26" s="253"/>
      <c r="CN26" s="253"/>
      <c r="CO26" s="253"/>
      <c r="CP26" s="253"/>
      <c r="CQ26" s="253"/>
      <c r="CR26" s="253"/>
      <c r="CS26" s="253"/>
      <c r="CT26" s="253"/>
      <c r="CU26" s="253"/>
      <c r="CV26" s="253"/>
      <c r="CW26" s="253"/>
      <c r="CX26" s="253"/>
      <c r="CY26" s="253"/>
      <c r="CZ26" s="253"/>
      <c r="DA26" s="253"/>
      <c r="DB26" s="253"/>
      <c r="DC26" s="253"/>
      <c r="DD26" s="253"/>
      <c r="DE26" s="253"/>
      <c r="DF26" s="253"/>
      <c r="DG26" s="253"/>
      <c r="DH26" s="253"/>
      <c r="DI26" s="253"/>
      <c r="DJ26" s="253"/>
      <c r="DK26" s="253"/>
      <c r="DL26" s="253"/>
      <c r="DM26" s="253"/>
      <c r="DN26" s="253"/>
      <c r="DO26" s="253"/>
      <c r="DP26" s="253"/>
      <c r="DQ26" s="253"/>
      <c r="DR26" s="253"/>
      <c r="DS26" s="253"/>
      <c r="DT26" s="253"/>
      <c r="DU26" s="253"/>
      <c r="DV26" s="253"/>
      <c r="DW26" s="253"/>
      <c r="DX26" s="253"/>
      <c r="DY26" s="253"/>
      <c r="DZ26" s="253"/>
      <c r="EA26" s="253"/>
      <c r="EB26" s="253"/>
      <c r="EC26" s="253"/>
      <c r="ED26" s="253"/>
      <c r="EE26" s="253"/>
      <c r="EF26" s="253"/>
      <c r="EG26" s="253"/>
      <c r="EH26" s="253"/>
      <c r="EI26" s="253"/>
      <c r="EJ26" s="253"/>
      <c r="EK26" s="253"/>
      <c r="EL26" s="253"/>
      <c r="EM26" s="253"/>
      <c r="EN26" s="253"/>
      <c r="EO26" s="253"/>
      <c r="EP26" s="253"/>
      <c r="EQ26" s="253"/>
      <c r="ER26" s="253"/>
      <c r="ES26" s="253"/>
      <c r="ET26" s="253"/>
      <c r="EU26" s="253"/>
      <c r="EV26" s="253"/>
      <c r="EW26" s="253"/>
      <c r="EX26" s="253"/>
      <c r="EY26" s="253"/>
      <c r="EZ26" s="253"/>
      <c r="FA26" s="253"/>
      <c r="FB26" s="253"/>
      <c r="FC26" s="253"/>
      <c r="FD26" s="253"/>
      <c r="FE26" s="253"/>
      <c r="FF26" s="253"/>
      <c r="FG26" s="256"/>
      <c r="FH26" s="257" t="s">
        <v>993</v>
      </c>
      <c r="FI26" s="258" t="s">
        <v>389</v>
      </c>
      <c r="FJ26" s="258" t="s">
        <v>828</v>
      </c>
      <c r="FK26" s="258" t="s">
        <v>397</v>
      </c>
      <c r="FL26" s="259">
        <f t="shared" si="0"/>
        <v>20</v>
      </c>
      <c r="FM26" s="260" t="s">
        <v>398</v>
      </c>
    </row>
    <row r="27" spans="1:169" s="276" customFormat="1" ht="11.4" hidden="1">
      <c r="A27" s="251" t="s">
        <v>393</v>
      </c>
      <c r="B27" s="251" t="s">
        <v>385</v>
      </c>
      <c r="C27" s="251" t="s">
        <v>394</v>
      </c>
      <c r="D27" s="251" t="s">
        <v>1</v>
      </c>
      <c r="E27" s="252" t="s">
        <v>827</v>
      </c>
      <c r="F27" s="251" t="s">
        <v>388</v>
      </c>
      <c r="G27" s="251"/>
      <c r="H27" s="253"/>
      <c r="I27" s="253"/>
      <c r="J27" s="253"/>
      <c r="K27" s="253"/>
      <c r="L27" s="253"/>
      <c r="M27" s="253"/>
      <c r="N27" s="253"/>
      <c r="O27" s="253"/>
      <c r="P27" s="253"/>
      <c r="Q27" s="253"/>
      <c r="R27" s="253"/>
      <c r="S27" s="253"/>
      <c r="T27" s="253"/>
      <c r="U27" s="253"/>
      <c r="V27" s="253"/>
      <c r="W27" s="253"/>
      <c r="X27" s="253"/>
      <c r="Y27" s="253"/>
      <c r="Z27" s="253"/>
      <c r="AA27" s="255">
        <f>1000-1000</f>
        <v>0</v>
      </c>
      <c r="AB27" s="255">
        <f>1000-1000</f>
        <v>0</v>
      </c>
      <c r="AC27" s="253"/>
      <c r="AD27" s="253"/>
      <c r="AE27" s="253"/>
      <c r="AF27" s="253"/>
      <c r="AG27" s="253"/>
      <c r="AH27" s="253"/>
      <c r="AI27" s="253"/>
      <c r="AJ27" s="253"/>
      <c r="AK27" s="253"/>
      <c r="AL27" s="253"/>
      <c r="AM27" s="253"/>
      <c r="AN27" s="253"/>
      <c r="AO27" s="253"/>
      <c r="AP27" s="253"/>
      <c r="AQ27" s="253"/>
      <c r="AR27" s="253"/>
      <c r="AS27" s="253"/>
      <c r="AT27" s="253"/>
      <c r="AU27" s="253"/>
      <c r="AV27" s="253"/>
      <c r="AW27" s="253"/>
      <c r="AX27" s="253"/>
      <c r="AY27" s="253"/>
      <c r="AZ27" s="253"/>
      <c r="BA27" s="253"/>
      <c r="BB27" s="253"/>
      <c r="BC27" s="253"/>
      <c r="BD27" s="253"/>
      <c r="BE27" s="253"/>
      <c r="BF27" s="253"/>
      <c r="BG27" s="253"/>
      <c r="BH27" s="253"/>
      <c r="BI27" s="253"/>
      <c r="BJ27" s="253"/>
      <c r="BK27" s="253"/>
      <c r="BL27" s="253"/>
      <c r="BM27" s="253"/>
      <c r="BN27" s="253"/>
      <c r="BO27" s="253"/>
      <c r="BP27" s="253"/>
      <c r="BQ27" s="253"/>
      <c r="BR27" s="253"/>
      <c r="BS27" s="253"/>
      <c r="BT27" s="253"/>
      <c r="BU27" s="253"/>
      <c r="BV27" s="253"/>
      <c r="BW27" s="253"/>
      <c r="BX27" s="253"/>
      <c r="BY27" s="253"/>
      <c r="BZ27" s="253"/>
      <c r="CA27" s="253"/>
      <c r="CB27" s="253"/>
      <c r="CC27" s="253"/>
      <c r="CD27" s="253"/>
      <c r="CE27" s="253"/>
      <c r="CF27" s="253"/>
      <c r="CG27" s="253"/>
      <c r="CH27" s="253"/>
      <c r="CI27" s="253"/>
      <c r="CJ27" s="253"/>
      <c r="CK27" s="253"/>
      <c r="CL27" s="253"/>
      <c r="CM27" s="253"/>
      <c r="CN27" s="253"/>
      <c r="CO27" s="253"/>
      <c r="CP27" s="253"/>
      <c r="CQ27" s="253"/>
      <c r="CR27" s="253"/>
      <c r="CS27" s="253"/>
      <c r="CT27" s="253"/>
      <c r="CU27" s="253"/>
      <c r="CV27" s="253"/>
      <c r="CW27" s="253"/>
      <c r="CX27" s="253"/>
      <c r="CY27" s="253"/>
      <c r="CZ27" s="253"/>
      <c r="DA27" s="253"/>
      <c r="DB27" s="253"/>
      <c r="DC27" s="253"/>
      <c r="DD27" s="253"/>
      <c r="DE27" s="253"/>
      <c r="DF27" s="253"/>
      <c r="DG27" s="253"/>
      <c r="DH27" s="253"/>
      <c r="DI27" s="253"/>
      <c r="DJ27" s="253"/>
      <c r="DK27" s="253"/>
      <c r="DL27" s="253"/>
      <c r="DM27" s="253"/>
      <c r="DN27" s="253"/>
      <c r="DO27" s="253"/>
      <c r="DP27" s="253"/>
      <c r="DQ27" s="253"/>
      <c r="DR27" s="253"/>
      <c r="DS27" s="253"/>
      <c r="DT27" s="253"/>
      <c r="DU27" s="253"/>
      <c r="DV27" s="253"/>
      <c r="DW27" s="253"/>
      <c r="DX27" s="253"/>
      <c r="DY27" s="253"/>
      <c r="DZ27" s="253"/>
      <c r="EA27" s="253"/>
      <c r="EB27" s="253"/>
      <c r="EC27" s="255">
        <f>500-500</f>
        <v>0</v>
      </c>
      <c r="ED27" s="253"/>
      <c r="EE27" s="255">
        <f>500-500</f>
        <v>0</v>
      </c>
      <c r="EF27" s="253"/>
      <c r="EG27" s="253"/>
      <c r="EH27" s="253"/>
      <c r="EI27" s="253"/>
      <c r="EJ27" s="253"/>
      <c r="EK27" s="253"/>
      <c r="EL27" s="253"/>
      <c r="EM27" s="253"/>
      <c r="EN27" s="253"/>
      <c r="EO27" s="253"/>
      <c r="EP27" s="253">
        <v>20</v>
      </c>
      <c r="EQ27" s="253"/>
      <c r="ER27" s="253"/>
      <c r="ES27" s="253"/>
      <c r="ET27" s="253"/>
      <c r="EU27" s="253"/>
      <c r="EV27" s="253"/>
      <c r="EW27" s="253"/>
      <c r="EX27" s="253"/>
      <c r="EY27" s="253"/>
      <c r="EZ27" s="253"/>
      <c r="FA27" s="253"/>
      <c r="FB27" s="253"/>
      <c r="FC27" s="253"/>
      <c r="FD27" s="255">
        <f>1000-1000</f>
        <v>0</v>
      </c>
      <c r="FE27" s="253"/>
      <c r="FF27" s="253"/>
      <c r="FG27" s="256"/>
      <c r="FH27" s="257" t="s">
        <v>993</v>
      </c>
      <c r="FI27" s="258" t="s">
        <v>389</v>
      </c>
      <c r="FJ27" s="258" t="s">
        <v>828</v>
      </c>
      <c r="FK27" s="258" t="s">
        <v>397</v>
      </c>
      <c r="FL27" s="259">
        <f t="shared" si="0"/>
        <v>20</v>
      </c>
      <c r="FM27" s="260" t="s">
        <v>398</v>
      </c>
    </row>
    <row r="28" spans="1:169" s="276" customFormat="1" ht="11.4" hidden="1">
      <c r="A28" s="251" t="s">
        <v>417</v>
      </c>
      <c r="B28" s="251" t="s">
        <v>385</v>
      </c>
      <c r="C28" s="251" t="s">
        <v>394</v>
      </c>
      <c r="D28" s="251" t="s">
        <v>291</v>
      </c>
      <c r="E28" s="252" t="s">
        <v>829</v>
      </c>
      <c r="F28" s="251" t="s">
        <v>388</v>
      </c>
      <c r="G28" s="251"/>
      <c r="H28" s="253"/>
      <c r="I28" s="253"/>
      <c r="J28" s="253"/>
      <c r="K28" s="253"/>
      <c r="L28" s="253"/>
      <c r="M28" s="253"/>
      <c r="N28" s="255">
        <f>200-200</f>
        <v>0</v>
      </c>
      <c r="O28" s="253"/>
      <c r="P28" s="253"/>
      <c r="Q28" s="253"/>
      <c r="R28" s="253"/>
      <c r="S28" s="253"/>
      <c r="T28" s="253"/>
      <c r="U28" s="253"/>
      <c r="V28" s="253"/>
      <c r="W28" s="253"/>
      <c r="X28" s="253"/>
      <c r="Y28" s="253"/>
      <c r="Z28" s="253"/>
      <c r="AA28" s="253"/>
      <c r="AB28" s="253"/>
      <c r="AC28" s="253"/>
      <c r="AD28" s="253"/>
      <c r="AE28" s="255">
        <f>100-100</f>
        <v>0</v>
      </c>
      <c r="AF28" s="253"/>
      <c r="AG28" s="253"/>
      <c r="AH28" s="255">
        <f>50-50</f>
        <v>0</v>
      </c>
      <c r="AI28" s="253"/>
      <c r="AJ28" s="253"/>
      <c r="AK28" s="253"/>
      <c r="AL28" s="253"/>
      <c r="AM28" s="255">
        <f>100-100+10</f>
        <v>10</v>
      </c>
      <c r="AN28" s="253"/>
      <c r="AO28" s="253"/>
      <c r="AP28" s="253"/>
      <c r="AQ28" s="253"/>
      <c r="AR28" s="253"/>
      <c r="AS28" s="253"/>
      <c r="AT28" s="253"/>
      <c r="AU28" s="253"/>
      <c r="AV28" s="253"/>
      <c r="AW28" s="253"/>
      <c r="AX28" s="253"/>
      <c r="AY28" s="253"/>
      <c r="AZ28" s="253"/>
      <c r="BA28" s="253"/>
      <c r="BB28" s="253"/>
      <c r="BC28" s="253"/>
      <c r="BD28" s="253"/>
      <c r="BE28" s="253"/>
      <c r="BF28" s="253"/>
      <c r="BG28" s="253"/>
      <c r="BH28" s="253"/>
      <c r="BI28" s="253"/>
      <c r="BJ28" s="253"/>
      <c r="BK28" s="253"/>
      <c r="BL28" s="253"/>
      <c r="BM28" s="253"/>
      <c r="BN28" s="253"/>
      <c r="BO28" s="253"/>
      <c r="BP28" s="253"/>
      <c r="BQ28" s="253"/>
      <c r="BR28" s="253"/>
      <c r="BS28" s="253"/>
      <c r="BT28" s="253"/>
      <c r="BU28" s="253"/>
      <c r="BV28" s="253"/>
      <c r="BW28" s="253"/>
      <c r="BX28" s="253"/>
      <c r="BY28" s="253"/>
      <c r="BZ28" s="253"/>
      <c r="CA28" s="253"/>
      <c r="CB28" s="253"/>
      <c r="CC28" s="253"/>
      <c r="CD28" s="253"/>
      <c r="CE28" s="253"/>
      <c r="CF28" s="253"/>
      <c r="CG28" s="253"/>
      <c r="CH28" s="253"/>
      <c r="CI28" s="253"/>
      <c r="CJ28" s="253"/>
      <c r="CK28" s="253"/>
      <c r="CL28" s="253"/>
      <c r="CM28" s="253"/>
      <c r="CN28" s="253"/>
      <c r="CO28" s="253"/>
      <c r="CP28" s="253"/>
      <c r="CQ28" s="253"/>
      <c r="CR28" s="253"/>
      <c r="CS28" s="253"/>
      <c r="CT28" s="253"/>
      <c r="CU28" s="253"/>
      <c r="CV28" s="253"/>
      <c r="CW28" s="253"/>
      <c r="CX28" s="253"/>
      <c r="CY28" s="253"/>
      <c r="CZ28" s="253"/>
      <c r="DA28" s="253"/>
      <c r="DB28" s="253"/>
      <c r="DC28" s="253"/>
      <c r="DD28" s="253"/>
      <c r="DE28" s="253"/>
      <c r="DF28" s="253"/>
      <c r="DG28" s="253"/>
      <c r="DH28" s="253"/>
      <c r="DI28" s="253"/>
      <c r="DJ28" s="253"/>
      <c r="DK28" s="253"/>
      <c r="DL28" s="253"/>
      <c r="DM28" s="253"/>
      <c r="DN28" s="253"/>
      <c r="DO28" s="253"/>
      <c r="DP28" s="253"/>
      <c r="DQ28" s="253"/>
      <c r="DR28" s="253"/>
      <c r="DS28" s="253"/>
      <c r="DT28" s="253"/>
      <c r="DU28" s="253"/>
      <c r="DV28" s="253"/>
      <c r="DW28" s="253"/>
      <c r="DX28" s="253"/>
      <c r="DY28" s="253"/>
      <c r="DZ28" s="253"/>
      <c r="EA28" s="253"/>
      <c r="EB28" s="253"/>
      <c r="EC28" s="253"/>
      <c r="ED28" s="253"/>
      <c r="EE28" s="253"/>
      <c r="EF28" s="253"/>
      <c r="EG28" s="253"/>
      <c r="EH28" s="253"/>
      <c r="EI28" s="253"/>
      <c r="EJ28" s="253"/>
      <c r="EK28" s="253"/>
      <c r="EL28" s="253"/>
      <c r="EM28" s="253"/>
      <c r="EN28" s="253"/>
      <c r="EO28" s="253"/>
      <c r="EP28" s="253"/>
      <c r="EQ28" s="253"/>
      <c r="ER28" s="253"/>
      <c r="ES28" s="253"/>
      <c r="ET28" s="253"/>
      <c r="EU28" s="253"/>
      <c r="EV28" s="253"/>
      <c r="EW28" s="253"/>
      <c r="EX28" s="253"/>
      <c r="EY28" s="253"/>
      <c r="EZ28" s="253"/>
      <c r="FA28" s="253"/>
      <c r="FB28" s="253"/>
      <c r="FC28" s="253"/>
      <c r="FD28" s="253"/>
      <c r="FE28" s="253"/>
      <c r="FF28" s="253"/>
      <c r="FG28" s="256"/>
      <c r="FH28" s="257" t="s">
        <v>993</v>
      </c>
      <c r="FI28" s="258" t="s">
        <v>389</v>
      </c>
      <c r="FJ28" s="258"/>
      <c r="FK28" s="258" t="s">
        <v>824</v>
      </c>
      <c r="FL28" s="259">
        <f t="shared" si="0"/>
        <v>10</v>
      </c>
      <c r="FM28" s="260" t="s">
        <v>820</v>
      </c>
    </row>
    <row r="29" spans="1:169" s="276" customFormat="1" ht="11.4" hidden="1">
      <c r="A29" s="251" t="s">
        <v>417</v>
      </c>
      <c r="B29" s="251" t="s">
        <v>385</v>
      </c>
      <c r="C29" s="251" t="s">
        <v>394</v>
      </c>
      <c r="D29" s="251" t="s">
        <v>1</v>
      </c>
      <c r="E29" s="252" t="s">
        <v>829</v>
      </c>
      <c r="F29" s="251" t="s">
        <v>388</v>
      </c>
      <c r="G29" s="251"/>
      <c r="H29" s="253"/>
      <c r="I29" s="253"/>
      <c r="J29" s="253"/>
      <c r="K29" s="253"/>
      <c r="L29" s="253"/>
      <c r="M29" s="253"/>
      <c r="N29" s="253"/>
      <c r="O29" s="255">
        <f>200-200</f>
        <v>0</v>
      </c>
      <c r="P29" s="253"/>
      <c r="Q29" s="253"/>
      <c r="R29" s="253"/>
      <c r="S29" s="253"/>
      <c r="T29" s="253"/>
      <c r="U29" s="253"/>
      <c r="V29" s="253"/>
      <c r="W29" s="253"/>
      <c r="X29" s="253"/>
      <c r="Y29" s="253"/>
      <c r="Z29" s="253"/>
      <c r="AA29" s="253"/>
      <c r="AB29" s="255">
        <f>100-100</f>
        <v>0</v>
      </c>
      <c r="AC29" s="253"/>
      <c r="AD29" s="253"/>
      <c r="AE29" s="253"/>
      <c r="AF29" s="253"/>
      <c r="AG29" s="253"/>
      <c r="AH29" s="253"/>
      <c r="AI29" s="253"/>
      <c r="AJ29" s="253"/>
      <c r="AK29" s="253"/>
      <c r="AL29" s="253"/>
      <c r="AM29" s="253"/>
      <c r="AN29" s="253"/>
      <c r="AO29" s="253"/>
      <c r="AP29" s="253"/>
      <c r="AQ29" s="253"/>
      <c r="AR29" s="253"/>
      <c r="AS29" s="253"/>
      <c r="AT29" s="255">
        <f>150-150</f>
        <v>0</v>
      </c>
      <c r="AU29" s="253"/>
      <c r="AV29" s="253"/>
      <c r="AW29" s="253"/>
      <c r="AX29" s="253"/>
      <c r="AY29" s="253"/>
      <c r="AZ29" s="253"/>
      <c r="BA29" s="253"/>
      <c r="BB29" s="253"/>
      <c r="BC29" s="253"/>
      <c r="BD29" s="255">
        <f>200-200</f>
        <v>0</v>
      </c>
      <c r="BE29" s="253"/>
      <c r="BF29" s="255">
        <f>50-50</f>
        <v>0</v>
      </c>
      <c r="BG29" s="253"/>
      <c r="BH29" s="253"/>
      <c r="BI29" s="253"/>
      <c r="BJ29" s="253"/>
      <c r="BK29" s="253"/>
      <c r="BL29" s="253"/>
      <c r="BM29" s="253"/>
      <c r="BN29" s="253"/>
      <c r="BO29" s="253"/>
      <c r="BP29" s="253"/>
      <c r="BQ29" s="253"/>
      <c r="BR29" s="253"/>
      <c r="BS29" s="253"/>
      <c r="BT29" s="253"/>
      <c r="BU29" s="253"/>
      <c r="BV29" s="253"/>
      <c r="BW29" s="253"/>
      <c r="BX29" s="253"/>
      <c r="BY29" s="253"/>
      <c r="BZ29" s="253"/>
      <c r="CA29" s="253"/>
      <c r="CB29" s="253"/>
      <c r="CC29" s="253"/>
      <c r="CD29" s="253"/>
      <c r="CE29" s="253"/>
      <c r="CF29" s="253"/>
      <c r="CG29" s="253"/>
      <c r="CH29" s="253"/>
      <c r="CI29" s="253"/>
      <c r="CJ29" s="253"/>
      <c r="CK29" s="253"/>
      <c r="CL29" s="253"/>
      <c r="CM29" s="253"/>
      <c r="CN29" s="253"/>
      <c r="CO29" s="253"/>
      <c r="CP29" s="253"/>
      <c r="CQ29" s="253"/>
      <c r="CR29" s="253"/>
      <c r="CS29" s="253"/>
      <c r="CT29" s="253"/>
      <c r="CU29" s="253"/>
      <c r="CV29" s="253"/>
      <c r="CW29" s="253"/>
      <c r="CX29" s="253"/>
      <c r="CY29" s="253"/>
      <c r="CZ29" s="253"/>
      <c r="DA29" s="253"/>
      <c r="DB29" s="253"/>
      <c r="DC29" s="253"/>
      <c r="DD29" s="253"/>
      <c r="DE29" s="253"/>
      <c r="DF29" s="253"/>
      <c r="DG29" s="253"/>
      <c r="DH29" s="253"/>
      <c r="DI29" s="253"/>
      <c r="DJ29" s="253"/>
      <c r="DK29" s="253"/>
      <c r="DL29" s="253"/>
      <c r="DM29" s="253"/>
      <c r="DN29" s="253"/>
      <c r="DO29" s="253"/>
      <c r="DP29" s="253"/>
      <c r="DQ29" s="253"/>
      <c r="DR29" s="253"/>
      <c r="DS29" s="253"/>
      <c r="DT29" s="253"/>
      <c r="DU29" s="253"/>
      <c r="DV29" s="253"/>
      <c r="DW29" s="253"/>
      <c r="DX29" s="253"/>
      <c r="DY29" s="253"/>
      <c r="DZ29" s="253"/>
      <c r="EA29" s="253"/>
      <c r="EB29" s="253"/>
      <c r="EC29" s="253"/>
      <c r="ED29" s="253"/>
      <c r="EE29" s="253"/>
      <c r="EF29" s="253"/>
      <c r="EG29" s="253"/>
      <c r="EH29" s="253"/>
      <c r="EI29" s="253"/>
      <c r="EJ29" s="253"/>
      <c r="EK29" s="253"/>
      <c r="EL29" s="253"/>
      <c r="EM29" s="253"/>
      <c r="EN29" s="253"/>
      <c r="EO29" s="253"/>
      <c r="EP29" s="253"/>
      <c r="EQ29" s="253"/>
      <c r="ER29" s="253"/>
      <c r="ES29" s="253"/>
      <c r="ET29" s="253"/>
      <c r="EU29" s="253"/>
      <c r="EV29" s="253"/>
      <c r="EW29" s="253"/>
      <c r="EX29" s="253"/>
      <c r="EY29" s="253"/>
      <c r="EZ29" s="253"/>
      <c r="FA29" s="253"/>
      <c r="FB29" s="253"/>
      <c r="FC29" s="253"/>
      <c r="FD29" s="253"/>
      <c r="FE29" s="253"/>
      <c r="FF29" s="253"/>
      <c r="FG29" s="256"/>
      <c r="FH29" s="257" t="s">
        <v>993</v>
      </c>
      <c r="FI29" s="258" t="s">
        <v>389</v>
      </c>
      <c r="FJ29" s="258"/>
      <c r="FK29" s="258" t="s">
        <v>824</v>
      </c>
      <c r="FL29" s="259">
        <f t="shared" si="0"/>
        <v>0</v>
      </c>
      <c r="FM29" s="260" t="s">
        <v>820</v>
      </c>
    </row>
    <row r="30" spans="1:169" s="276" customFormat="1" ht="11.4" hidden="1">
      <c r="A30" s="251" t="s">
        <v>385</v>
      </c>
      <c r="B30" s="251" t="s">
        <v>385</v>
      </c>
      <c r="C30" s="251" t="s">
        <v>394</v>
      </c>
      <c r="D30" s="251" t="s">
        <v>291</v>
      </c>
      <c r="E30" s="252" t="s">
        <v>404</v>
      </c>
      <c r="F30" s="251" t="s">
        <v>388</v>
      </c>
      <c r="G30" s="251"/>
      <c r="H30" s="253"/>
      <c r="I30" s="255">
        <f>100-100</f>
        <v>0</v>
      </c>
      <c r="J30" s="253"/>
      <c r="K30" s="255">
        <f>100-100</f>
        <v>0</v>
      </c>
      <c r="L30" s="253"/>
      <c r="M30" s="253"/>
      <c r="N30" s="255">
        <f>40-40</f>
        <v>0</v>
      </c>
      <c r="O30" s="253"/>
      <c r="P30" s="253"/>
      <c r="Q30" s="253"/>
      <c r="R30" s="253"/>
      <c r="S30" s="253"/>
      <c r="T30" s="253"/>
      <c r="U30" s="253"/>
      <c r="V30" s="253"/>
      <c r="W30" s="253"/>
      <c r="X30" s="253"/>
      <c r="Y30" s="253"/>
      <c r="Z30" s="253"/>
      <c r="AA30" s="253"/>
      <c r="AB30" s="253"/>
      <c r="AC30" s="253"/>
      <c r="AD30" s="253"/>
      <c r="AE30" s="255">
        <f>600-600</f>
        <v>0</v>
      </c>
      <c r="AF30" s="253"/>
      <c r="AG30" s="255">
        <f>600-600</f>
        <v>0</v>
      </c>
      <c r="AH30" s="255">
        <f>600-600</f>
        <v>0</v>
      </c>
      <c r="AI30" s="253"/>
      <c r="AJ30" s="253"/>
      <c r="AK30" s="253"/>
      <c r="AL30" s="253"/>
      <c r="AM30" s="255">
        <f>600-600+20</f>
        <v>20</v>
      </c>
      <c r="AN30" s="253"/>
      <c r="AO30" s="253"/>
      <c r="AP30" s="253"/>
      <c r="AQ30" s="255">
        <f>600-600</f>
        <v>0</v>
      </c>
      <c r="AR30" s="253"/>
      <c r="AS30" s="253"/>
      <c r="AT30" s="253"/>
      <c r="AU30" s="253"/>
      <c r="AV30" s="253"/>
      <c r="AW30" s="253"/>
      <c r="AX30" s="253"/>
      <c r="AY30" s="253"/>
      <c r="AZ30" s="253"/>
      <c r="BA30" s="253"/>
      <c r="BB30" s="253"/>
      <c r="BC30" s="253"/>
      <c r="BD30" s="253"/>
      <c r="BE30" s="253"/>
      <c r="BF30" s="253"/>
      <c r="BG30" s="253"/>
      <c r="BH30" s="253"/>
      <c r="BI30" s="253"/>
      <c r="BJ30" s="253"/>
      <c r="BK30" s="253"/>
      <c r="BL30" s="253"/>
      <c r="BM30" s="253"/>
      <c r="BN30" s="253"/>
      <c r="BO30" s="253"/>
      <c r="BP30" s="253"/>
      <c r="BQ30" s="253"/>
      <c r="BR30" s="253"/>
      <c r="BS30" s="253"/>
      <c r="BT30" s="253"/>
      <c r="BU30" s="253"/>
      <c r="BV30" s="253"/>
      <c r="BW30" s="253"/>
      <c r="BX30" s="253"/>
      <c r="BY30" s="253"/>
      <c r="BZ30" s="253"/>
      <c r="CA30" s="253"/>
      <c r="CB30" s="253"/>
      <c r="CC30" s="253"/>
      <c r="CD30" s="253"/>
      <c r="CE30" s="253"/>
      <c r="CF30" s="253"/>
      <c r="CG30" s="253"/>
      <c r="CH30" s="253"/>
      <c r="CI30" s="253"/>
      <c r="CJ30" s="253"/>
      <c r="CK30" s="253"/>
      <c r="CL30" s="253"/>
      <c r="CM30" s="253"/>
      <c r="CN30" s="253"/>
      <c r="CO30" s="253"/>
      <c r="CP30" s="253"/>
      <c r="CQ30" s="253"/>
      <c r="CR30" s="253"/>
      <c r="CS30" s="253"/>
      <c r="CT30" s="253"/>
      <c r="CU30" s="253"/>
      <c r="CV30" s="253"/>
      <c r="CW30" s="253"/>
      <c r="CX30" s="253"/>
      <c r="CY30" s="253"/>
      <c r="CZ30" s="253"/>
      <c r="DA30" s="253"/>
      <c r="DB30" s="253"/>
      <c r="DC30" s="253"/>
      <c r="DD30" s="253"/>
      <c r="DE30" s="253"/>
      <c r="DF30" s="253"/>
      <c r="DG30" s="253"/>
      <c r="DH30" s="253"/>
      <c r="DI30" s="253"/>
      <c r="DJ30" s="253"/>
      <c r="DK30" s="253"/>
      <c r="DL30" s="253"/>
      <c r="DM30" s="253"/>
      <c r="DN30" s="253"/>
      <c r="DO30" s="253"/>
      <c r="DP30" s="253"/>
      <c r="DQ30" s="253"/>
      <c r="DR30" s="253"/>
      <c r="DS30" s="253"/>
      <c r="DT30" s="253"/>
      <c r="DU30" s="301">
        <f>100-100+100</f>
        <v>100</v>
      </c>
      <c r="DV30" s="255">
        <f>90-90</f>
        <v>0</v>
      </c>
      <c r="DW30" s="253"/>
      <c r="DX30" s="253"/>
      <c r="DY30" s="253"/>
      <c r="DZ30" s="253"/>
      <c r="EA30" s="253"/>
      <c r="EB30" s="253"/>
      <c r="EC30" s="253"/>
      <c r="ED30" s="253"/>
      <c r="EE30" s="253"/>
      <c r="EF30" s="253"/>
      <c r="EG30" s="253"/>
      <c r="EH30" s="253"/>
      <c r="EI30" s="253"/>
      <c r="EJ30" s="253"/>
      <c r="EK30" s="253"/>
      <c r="EL30" s="253"/>
      <c r="EM30" s="253"/>
      <c r="EN30" s="253"/>
      <c r="EO30" s="253"/>
      <c r="EP30" s="253"/>
      <c r="EQ30" s="253"/>
      <c r="ER30" s="253"/>
      <c r="ES30" s="253"/>
      <c r="ET30" s="253"/>
      <c r="EU30" s="253"/>
      <c r="EV30" s="253"/>
      <c r="EW30" s="253"/>
      <c r="EX30" s="253"/>
      <c r="EY30" s="253"/>
      <c r="EZ30" s="253"/>
      <c r="FA30" s="253"/>
      <c r="FB30" s="253"/>
      <c r="FC30" s="253"/>
      <c r="FD30" s="253"/>
      <c r="FE30" s="253"/>
      <c r="FF30" s="253"/>
      <c r="FG30" s="256"/>
      <c r="FH30" s="257" t="s">
        <v>993</v>
      </c>
      <c r="FI30" s="258" t="s">
        <v>389</v>
      </c>
      <c r="FJ30" s="258"/>
      <c r="FK30" s="258" t="s">
        <v>402</v>
      </c>
      <c r="FL30" s="259">
        <f t="shared" si="0"/>
        <v>120</v>
      </c>
      <c r="FM30" s="260" t="s">
        <v>403</v>
      </c>
    </row>
    <row r="31" spans="1:169" s="276" customFormat="1" ht="11.4" hidden="1">
      <c r="A31" s="251" t="s">
        <v>385</v>
      </c>
      <c r="B31" s="251" t="s">
        <v>385</v>
      </c>
      <c r="C31" s="251" t="s">
        <v>394</v>
      </c>
      <c r="D31" s="251" t="s">
        <v>1</v>
      </c>
      <c r="E31" s="252" t="s">
        <v>404</v>
      </c>
      <c r="F31" s="251" t="s">
        <v>388</v>
      </c>
      <c r="G31" s="251"/>
      <c r="H31" s="253"/>
      <c r="I31" s="253"/>
      <c r="J31" s="253"/>
      <c r="K31" s="253"/>
      <c r="L31" s="253"/>
      <c r="M31" s="253"/>
      <c r="N31" s="253"/>
      <c r="O31" s="255">
        <f>40-40</f>
        <v>0</v>
      </c>
      <c r="P31" s="255">
        <f>40-40</f>
        <v>0</v>
      </c>
      <c r="Q31" s="253"/>
      <c r="R31" s="253"/>
      <c r="S31" s="255">
        <f>600-600</f>
        <v>0</v>
      </c>
      <c r="T31" s="253"/>
      <c r="U31" s="255">
        <f>600-600</f>
        <v>0</v>
      </c>
      <c r="V31" s="255">
        <f>600-600</f>
        <v>0</v>
      </c>
      <c r="W31" s="253"/>
      <c r="X31" s="253"/>
      <c r="Y31" s="253"/>
      <c r="Z31" s="255">
        <f>600-600</f>
        <v>0</v>
      </c>
      <c r="AA31" s="255">
        <f>600-600</f>
        <v>0</v>
      </c>
      <c r="AB31" s="255">
        <f>600-600</f>
        <v>0</v>
      </c>
      <c r="AC31" s="255">
        <f>600-600+15</f>
        <v>15</v>
      </c>
      <c r="AD31" s="255">
        <f>600-600</f>
        <v>0</v>
      </c>
      <c r="AE31" s="253"/>
      <c r="AF31" s="255">
        <f>600-600</f>
        <v>0</v>
      </c>
      <c r="AG31" s="253"/>
      <c r="AH31" s="253"/>
      <c r="AI31" s="255">
        <f>600-600</f>
        <v>0</v>
      </c>
      <c r="AJ31" s="253"/>
      <c r="AK31" s="253"/>
      <c r="AL31" s="253"/>
      <c r="AM31" s="253"/>
      <c r="AN31" s="253"/>
      <c r="AO31" s="255">
        <f>600-600+20</f>
        <v>20</v>
      </c>
      <c r="AP31" s="253"/>
      <c r="AQ31" s="253"/>
      <c r="AR31" s="253"/>
      <c r="AS31" s="253"/>
      <c r="AT31" s="255">
        <f>600-600</f>
        <v>0</v>
      </c>
      <c r="AU31" s="253"/>
      <c r="AV31" s="253"/>
      <c r="AW31" s="253"/>
      <c r="AX31" s="253"/>
      <c r="AY31" s="253"/>
      <c r="AZ31" s="255">
        <f>600-600</f>
        <v>0</v>
      </c>
      <c r="BA31" s="253"/>
      <c r="BB31" s="253"/>
      <c r="BC31" s="253"/>
      <c r="BD31" s="255">
        <f>600-600+70</f>
        <v>70</v>
      </c>
      <c r="BE31" s="255">
        <f>600-600</f>
        <v>0</v>
      </c>
      <c r="BF31" s="255">
        <f>600-600</f>
        <v>0</v>
      </c>
      <c r="BG31" s="253"/>
      <c r="BH31" s="253"/>
      <c r="BI31" s="253"/>
      <c r="BJ31" s="253"/>
      <c r="BK31" s="253"/>
      <c r="BL31" s="253"/>
      <c r="BM31" s="253"/>
      <c r="BN31" s="253"/>
      <c r="BO31" s="253"/>
      <c r="BP31" s="253"/>
      <c r="BQ31" s="253"/>
      <c r="BR31" s="253"/>
      <c r="BS31" s="253"/>
      <c r="BT31" s="253"/>
      <c r="BU31" s="253"/>
      <c r="BV31" s="253"/>
      <c r="BW31" s="253"/>
      <c r="BX31" s="253"/>
      <c r="BY31" s="253"/>
      <c r="BZ31" s="253"/>
      <c r="CA31" s="253"/>
      <c r="CB31" s="253"/>
      <c r="CC31" s="253"/>
      <c r="CD31" s="253"/>
      <c r="CE31" s="253"/>
      <c r="CF31" s="253"/>
      <c r="CG31" s="253"/>
      <c r="CH31" s="253"/>
      <c r="CI31" s="253"/>
      <c r="CJ31" s="253"/>
      <c r="CK31" s="253"/>
      <c r="CL31" s="253"/>
      <c r="CM31" s="253"/>
      <c r="CN31" s="253"/>
      <c r="CO31" s="253"/>
      <c r="CP31" s="253"/>
      <c r="CQ31" s="253"/>
      <c r="CR31" s="253"/>
      <c r="CS31" s="253"/>
      <c r="CT31" s="253"/>
      <c r="CU31" s="253"/>
      <c r="CV31" s="253"/>
      <c r="CW31" s="253"/>
      <c r="CX31" s="253"/>
      <c r="CY31" s="253"/>
      <c r="CZ31" s="253"/>
      <c r="DA31" s="253"/>
      <c r="DB31" s="253"/>
      <c r="DC31" s="253"/>
      <c r="DD31" s="253"/>
      <c r="DE31" s="253"/>
      <c r="DF31" s="253"/>
      <c r="DG31" s="253"/>
      <c r="DH31" s="253"/>
      <c r="DI31" s="253"/>
      <c r="DJ31" s="253"/>
      <c r="DK31" s="253"/>
      <c r="DL31" s="253"/>
      <c r="DM31" s="253"/>
      <c r="DN31" s="253"/>
      <c r="DO31" s="253"/>
      <c r="DP31" s="253"/>
      <c r="DQ31" s="253"/>
      <c r="DR31" s="253"/>
      <c r="DS31" s="253"/>
      <c r="DT31" s="253"/>
      <c r="DU31" s="253"/>
      <c r="DV31" s="253"/>
      <c r="DW31" s="253"/>
      <c r="DX31" s="253"/>
      <c r="DY31" s="253"/>
      <c r="DZ31" s="253"/>
      <c r="EA31" s="253"/>
      <c r="EB31" s="253"/>
      <c r="EC31" s="253"/>
      <c r="ED31" s="253"/>
      <c r="EE31" s="255">
        <f t="shared" ref="EE31:EJ31" si="2">100-100</f>
        <v>0</v>
      </c>
      <c r="EF31" s="255">
        <f t="shared" si="2"/>
        <v>0</v>
      </c>
      <c r="EG31" s="255">
        <f t="shared" si="2"/>
        <v>0</v>
      </c>
      <c r="EH31" s="255">
        <f t="shared" si="2"/>
        <v>0</v>
      </c>
      <c r="EI31" s="255">
        <f t="shared" si="2"/>
        <v>0</v>
      </c>
      <c r="EJ31" s="255">
        <f t="shared" si="2"/>
        <v>0</v>
      </c>
      <c r="EK31" s="253"/>
      <c r="EL31" s="253"/>
      <c r="EM31" s="253"/>
      <c r="EN31" s="253"/>
      <c r="EO31" s="255">
        <f>50-50</f>
        <v>0</v>
      </c>
      <c r="EP31" s="255">
        <f>50-50</f>
        <v>0</v>
      </c>
      <c r="EQ31" s="255">
        <f>50-50</f>
        <v>0</v>
      </c>
      <c r="ER31" s="253"/>
      <c r="ES31" s="255">
        <f>50-50</f>
        <v>0</v>
      </c>
      <c r="ET31" s="255">
        <f>50-50</f>
        <v>0</v>
      </c>
      <c r="EU31" s="255">
        <f>50-50</f>
        <v>0</v>
      </c>
      <c r="EV31" s="253"/>
      <c r="EW31" s="255">
        <f>50-50</f>
        <v>0</v>
      </c>
      <c r="EX31" s="255">
        <f>50-50</f>
        <v>0</v>
      </c>
      <c r="EY31" s="253"/>
      <c r="EZ31" s="253"/>
      <c r="FA31" s="255">
        <f>50-50</f>
        <v>0</v>
      </c>
      <c r="FB31" s="253"/>
      <c r="FC31" s="253"/>
      <c r="FD31" s="253"/>
      <c r="FE31" s="253"/>
      <c r="FF31" s="253"/>
      <c r="FG31" s="256"/>
      <c r="FH31" s="257" t="s">
        <v>993</v>
      </c>
      <c r="FI31" s="258" t="s">
        <v>389</v>
      </c>
      <c r="FJ31" s="258"/>
      <c r="FK31" s="258" t="s">
        <v>402</v>
      </c>
      <c r="FL31" s="259">
        <f t="shared" si="0"/>
        <v>105</v>
      </c>
      <c r="FM31" s="260" t="s">
        <v>403</v>
      </c>
    </row>
    <row r="32" spans="1:169" s="276" customFormat="1" ht="11.4" hidden="1">
      <c r="A32" s="251" t="s">
        <v>385</v>
      </c>
      <c r="B32" s="251" t="s">
        <v>385</v>
      </c>
      <c r="C32" s="251" t="s">
        <v>394</v>
      </c>
      <c r="D32" s="251" t="s">
        <v>293</v>
      </c>
      <c r="E32" s="252" t="s">
        <v>404</v>
      </c>
      <c r="F32" s="251" t="s">
        <v>388</v>
      </c>
      <c r="G32" s="251"/>
      <c r="H32" s="253"/>
      <c r="I32" s="253"/>
      <c r="J32" s="255">
        <f>100-100</f>
        <v>0</v>
      </c>
      <c r="K32" s="253"/>
      <c r="L32" s="253"/>
      <c r="M32" s="253"/>
      <c r="N32" s="253"/>
      <c r="O32" s="253"/>
      <c r="P32" s="253"/>
      <c r="Q32" s="253"/>
      <c r="R32" s="253"/>
      <c r="S32" s="253"/>
      <c r="T32" s="253"/>
      <c r="U32" s="253"/>
      <c r="V32" s="253"/>
      <c r="W32" s="253"/>
      <c r="X32" s="253"/>
      <c r="Y32" s="253"/>
      <c r="Z32" s="253"/>
      <c r="AA32" s="253"/>
      <c r="AB32" s="253"/>
      <c r="AC32" s="253"/>
      <c r="AD32" s="253"/>
      <c r="AE32" s="253"/>
      <c r="AF32" s="253"/>
      <c r="AG32" s="253"/>
      <c r="AH32" s="253"/>
      <c r="AI32" s="253"/>
      <c r="AJ32" s="253"/>
      <c r="AK32" s="253"/>
      <c r="AL32" s="253"/>
      <c r="AM32" s="253"/>
      <c r="AN32" s="253"/>
      <c r="AO32" s="253"/>
      <c r="AP32" s="253"/>
      <c r="AQ32" s="253"/>
      <c r="AR32" s="253"/>
      <c r="AS32" s="253"/>
      <c r="AT32" s="253"/>
      <c r="AU32" s="253"/>
      <c r="AV32" s="253"/>
      <c r="AW32" s="253"/>
      <c r="AX32" s="253"/>
      <c r="AY32" s="253"/>
      <c r="AZ32" s="253"/>
      <c r="BA32" s="253"/>
      <c r="BB32" s="253"/>
      <c r="BC32" s="253"/>
      <c r="BD32" s="253"/>
      <c r="BE32" s="253"/>
      <c r="BF32" s="253"/>
      <c r="BG32" s="253"/>
      <c r="BH32" s="253"/>
      <c r="BI32" s="253"/>
      <c r="BJ32" s="253"/>
      <c r="BK32" s="253"/>
      <c r="BL32" s="253"/>
      <c r="BM32" s="253"/>
      <c r="BN32" s="253"/>
      <c r="BO32" s="253"/>
      <c r="BP32" s="253"/>
      <c r="BQ32" s="253"/>
      <c r="BR32" s="253"/>
      <c r="BS32" s="253"/>
      <c r="BT32" s="253"/>
      <c r="BU32" s="253"/>
      <c r="BV32" s="253"/>
      <c r="BW32" s="253"/>
      <c r="BX32" s="253"/>
      <c r="BY32" s="253"/>
      <c r="BZ32" s="253"/>
      <c r="CA32" s="253"/>
      <c r="CB32" s="253"/>
      <c r="CC32" s="253"/>
      <c r="CD32" s="253"/>
      <c r="CE32" s="253"/>
      <c r="CF32" s="253"/>
      <c r="CG32" s="253"/>
      <c r="CH32" s="253"/>
      <c r="CI32" s="253"/>
      <c r="CJ32" s="253"/>
      <c r="CK32" s="253"/>
      <c r="CL32" s="253"/>
      <c r="CM32" s="253"/>
      <c r="CN32" s="253"/>
      <c r="CO32" s="253"/>
      <c r="CP32" s="253"/>
      <c r="CQ32" s="253"/>
      <c r="CR32" s="253"/>
      <c r="CS32" s="253"/>
      <c r="CT32" s="253"/>
      <c r="CU32" s="253"/>
      <c r="CV32" s="253"/>
      <c r="CW32" s="253"/>
      <c r="CX32" s="253"/>
      <c r="CY32" s="253"/>
      <c r="CZ32" s="253"/>
      <c r="DA32" s="253"/>
      <c r="DB32" s="253"/>
      <c r="DC32" s="253"/>
      <c r="DD32" s="253"/>
      <c r="DE32" s="253"/>
      <c r="DF32" s="253"/>
      <c r="DG32" s="253"/>
      <c r="DH32" s="253"/>
      <c r="DI32" s="253"/>
      <c r="DJ32" s="253"/>
      <c r="DK32" s="253"/>
      <c r="DL32" s="253"/>
      <c r="DM32" s="253"/>
      <c r="DN32" s="253"/>
      <c r="DO32" s="253"/>
      <c r="DP32" s="253"/>
      <c r="DQ32" s="253"/>
      <c r="DR32" s="253"/>
      <c r="DS32" s="253"/>
      <c r="DT32" s="253"/>
      <c r="DU32" s="253"/>
      <c r="DV32" s="253"/>
      <c r="DW32" s="253"/>
      <c r="DX32" s="253"/>
      <c r="DY32" s="253"/>
      <c r="DZ32" s="253"/>
      <c r="EA32" s="253"/>
      <c r="EB32" s="253"/>
      <c r="EC32" s="253"/>
      <c r="ED32" s="253"/>
      <c r="EE32" s="253"/>
      <c r="EF32" s="253"/>
      <c r="EG32" s="253"/>
      <c r="EH32" s="253"/>
      <c r="EI32" s="253"/>
      <c r="EJ32" s="253"/>
      <c r="EK32" s="253"/>
      <c r="EL32" s="253"/>
      <c r="EM32" s="253"/>
      <c r="EN32" s="253"/>
      <c r="EO32" s="253"/>
      <c r="EP32" s="253"/>
      <c r="EQ32" s="253"/>
      <c r="ER32" s="255">
        <f>50-50</f>
        <v>0</v>
      </c>
      <c r="ES32" s="253"/>
      <c r="ET32" s="253"/>
      <c r="EU32" s="253"/>
      <c r="EV32" s="255">
        <f>50-50</f>
        <v>0</v>
      </c>
      <c r="EW32" s="253"/>
      <c r="EX32" s="253"/>
      <c r="EY32" s="253"/>
      <c r="EZ32" s="255">
        <f>50-50</f>
        <v>0</v>
      </c>
      <c r="FA32" s="253"/>
      <c r="FB32" s="253"/>
      <c r="FC32" s="253"/>
      <c r="FD32" s="253"/>
      <c r="FE32" s="253"/>
      <c r="FF32" s="253"/>
      <c r="FG32" s="256"/>
      <c r="FH32" s="257" t="s">
        <v>993</v>
      </c>
      <c r="FI32" s="258" t="s">
        <v>389</v>
      </c>
      <c r="FJ32" s="258"/>
      <c r="FK32" s="258" t="s">
        <v>402</v>
      </c>
      <c r="FL32" s="259">
        <f t="shared" si="0"/>
        <v>0</v>
      </c>
      <c r="FM32" s="260" t="s">
        <v>403</v>
      </c>
    </row>
    <row r="33" spans="1:169" s="276" customFormat="1" ht="11.4" hidden="1">
      <c r="A33" s="251" t="s">
        <v>393</v>
      </c>
      <c r="B33" s="251" t="s">
        <v>385</v>
      </c>
      <c r="C33" s="251" t="s">
        <v>394</v>
      </c>
      <c r="D33" s="251" t="s">
        <v>291</v>
      </c>
      <c r="E33" s="252" t="s">
        <v>830</v>
      </c>
      <c r="F33" s="251" t="s">
        <v>388</v>
      </c>
      <c r="G33" s="251"/>
      <c r="H33" s="253"/>
      <c r="I33" s="253"/>
      <c r="J33" s="253"/>
      <c r="K33" s="253"/>
      <c r="L33" s="253"/>
      <c r="M33" s="253"/>
      <c r="N33" s="253"/>
      <c r="O33" s="253"/>
      <c r="P33" s="253"/>
      <c r="Q33" s="253"/>
      <c r="R33" s="253"/>
      <c r="S33" s="253"/>
      <c r="T33" s="253"/>
      <c r="U33" s="253"/>
      <c r="V33" s="253"/>
      <c r="W33" s="253"/>
      <c r="X33" s="253"/>
      <c r="Y33" s="253"/>
      <c r="Z33" s="253"/>
      <c r="AA33" s="253"/>
      <c r="AB33" s="253"/>
      <c r="AC33" s="253"/>
      <c r="AD33" s="253"/>
      <c r="AE33" s="255">
        <f>50-50</f>
        <v>0</v>
      </c>
      <c r="AF33" s="253"/>
      <c r="AG33" s="253"/>
      <c r="AH33" s="255">
        <f>50-50</f>
        <v>0</v>
      </c>
      <c r="AI33" s="253"/>
      <c r="AJ33" s="253"/>
      <c r="AK33" s="253"/>
      <c r="AL33" s="253"/>
      <c r="AM33" s="253"/>
      <c r="AN33" s="253"/>
      <c r="AO33" s="253"/>
      <c r="AP33" s="253"/>
      <c r="AQ33" s="253"/>
      <c r="AR33" s="253"/>
      <c r="AS33" s="253"/>
      <c r="AT33" s="253"/>
      <c r="AU33" s="253"/>
      <c r="AV33" s="253"/>
      <c r="AW33" s="253"/>
      <c r="AX33" s="253"/>
      <c r="AY33" s="253"/>
      <c r="AZ33" s="253"/>
      <c r="BA33" s="253"/>
      <c r="BB33" s="253"/>
      <c r="BC33" s="253"/>
      <c r="BD33" s="253"/>
      <c r="BE33" s="253"/>
      <c r="BF33" s="253"/>
      <c r="BG33" s="253"/>
      <c r="BH33" s="253"/>
      <c r="BI33" s="253"/>
      <c r="BJ33" s="253"/>
      <c r="BK33" s="253"/>
      <c r="BL33" s="253"/>
      <c r="BM33" s="253"/>
      <c r="BN33" s="253"/>
      <c r="BO33" s="253"/>
      <c r="BP33" s="253"/>
      <c r="BQ33" s="253"/>
      <c r="BR33" s="253"/>
      <c r="BS33" s="253"/>
      <c r="BT33" s="253"/>
      <c r="BU33" s="253"/>
      <c r="BV33" s="253"/>
      <c r="BW33" s="253"/>
      <c r="BX33" s="253"/>
      <c r="BY33" s="253"/>
      <c r="BZ33" s="253"/>
      <c r="CA33" s="253"/>
      <c r="CB33" s="253"/>
      <c r="CC33" s="253"/>
      <c r="CD33" s="253"/>
      <c r="CE33" s="253"/>
      <c r="CF33" s="253"/>
      <c r="CG33" s="253"/>
      <c r="CH33" s="253"/>
      <c r="CI33" s="253"/>
      <c r="CJ33" s="253"/>
      <c r="CK33" s="253"/>
      <c r="CL33" s="253"/>
      <c r="CM33" s="253"/>
      <c r="CN33" s="253"/>
      <c r="CO33" s="253"/>
      <c r="CP33" s="253"/>
      <c r="CQ33" s="253"/>
      <c r="CR33" s="253"/>
      <c r="CS33" s="253"/>
      <c r="CT33" s="253"/>
      <c r="CU33" s="253"/>
      <c r="CV33" s="253"/>
      <c r="CW33" s="253"/>
      <c r="CX33" s="253"/>
      <c r="CY33" s="253"/>
      <c r="CZ33" s="253"/>
      <c r="DA33" s="253"/>
      <c r="DB33" s="253"/>
      <c r="DC33" s="253"/>
      <c r="DD33" s="253"/>
      <c r="DE33" s="253"/>
      <c r="DF33" s="253"/>
      <c r="DG33" s="253"/>
      <c r="DH33" s="253"/>
      <c r="DI33" s="253"/>
      <c r="DJ33" s="253"/>
      <c r="DK33" s="253"/>
      <c r="DL33" s="253"/>
      <c r="DM33" s="253"/>
      <c r="DN33" s="253"/>
      <c r="DO33" s="253"/>
      <c r="DP33" s="253"/>
      <c r="DQ33" s="253"/>
      <c r="DR33" s="253"/>
      <c r="DS33" s="253"/>
      <c r="DT33" s="253"/>
      <c r="DU33" s="253"/>
      <c r="DV33" s="253"/>
      <c r="DW33" s="253"/>
      <c r="DX33" s="253"/>
      <c r="DY33" s="253"/>
      <c r="DZ33" s="253"/>
      <c r="EA33" s="253"/>
      <c r="EB33" s="253"/>
      <c r="EC33" s="253"/>
      <c r="ED33" s="253"/>
      <c r="EE33" s="253"/>
      <c r="EF33" s="253"/>
      <c r="EG33" s="253"/>
      <c r="EH33" s="253"/>
      <c r="EI33" s="253"/>
      <c r="EJ33" s="253"/>
      <c r="EK33" s="253"/>
      <c r="EL33" s="253"/>
      <c r="EM33" s="253"/>
      <c r="EN33" s="253"/>
      <c r="EO33" s="253"/>
      <c r="EP33" s="253"/>
      <c r="EQ33" s="253"/>
      <c r="ER33" s="253"/>
      <c r="ES33" s="253"/>
      <c r="ET33" s="253"/>
      <c r="EU33" s="253"/>
      <c r="EV33" s="253"/>
      <c r="EW33" s="253"/>
      <c r="EX33" s="253"/>
      <c r="EY33" s="253"/>
      <c r="EZ33" s="253"/>
      <c r="FA33" s="253"/>
      <c r="FB33" s="253"/>
      <c r="FC33" s="253"/>
      <c r="FD33" s="253"/>
      <c r="FE33" s="253"/>
      <c r="FF33" s="253"/>
      <c r="FG33" s="256"/>
      <c r="FH33" s="257" t="s">
        <v>993</v>
      </c>
      <c r="FI33" s="258" t="s">
        <v>389</v>
      </c>
      <c r="FJ33" s="258"/>
      <c r="FK33" s="258" t="s">
        <v>824</v>
      </c>
      <c r="FL33" s="259">
        <f t="shared" si="0"/>
        <v>0</v>
      </c>
      <c r="FM33" s="260" t="s">
        <v>820</v>
      </c>
    </row>
    <row r="34" spans="1:169" s="276" customFormat="1" ht="11.4" hidden="1">
      <c r="A34" s="251" t="s">
        <v>393</v>
      </c>
      <c r="B34" s="251" t="s">
        <v>385</v>
      </c>
      <c r="C34" s="251" t="s">
        <v>394</v>
      </c>
      <c r="D34" s="251" t="s">
        <v>1</v>
      </c>
      <c r="E34" s="252" t="s">
        <v>830</v>
      </c>
      <c r="F34" s="251" t="s">
        <v>388</v>
      </c>
      <c r="G34" s="251"/>
      <c r="H34" s="253"/>
      <c r="I34" s="253"/>
      <c r="J34" s="253"/>
      <c r="K34" s="253"/>
      <c r="L34" s="253"/>
      <c r="M34" s="253"/>
      <c r="N34" s="253"/>
      <c r="O34" s="253"/>
      <c r="P34" s="253"/>
      <c r="Q34" s="253"/>
      <c r="R34" s="253"/>
      <c r="S34" s="253"/>
      <c r="T34" s="253"/>
      <c r="U34" s="253"/>
      <c r="V34" s="253"/>
      <c r="W34" s="253"/>
      <c r="X34" s="253"/>
      <c r="Y34" s="253"/>
      <c r="Z34" s="253"/>
      <c r="AA34" s="253"/>
      <c r="AB34" s="255">
        <f>50-50</f>
        <v>0</v>
      </c>
      <c r="AC34" s="253"/>
      <c r="AD34" s="253"/>
      <c r="AE34" s="253"/>
      <c r="AF34" s="253"/>
      <c r="AG34" s="253"/>
      <c r="AH34" s="253"/>
      <c r="AI34" s="253"/>
      <c r="AJ34" s="253"/>
      <c r="AK34" s="253"/>
      <c r="AL34" s="253"/>
      <c r="AM34" s="253"/>
      <c r="AN34" s="253"/>
      <c r="AO34" s="253"/>
      <c r="AP34" s="253"/>
      <c r="AQ34" s="253"/>
      <c r="AR34" s="253"/>
      <c r="AS34" s="253"/>
      <c r="AT34" s="255">
        <f>200-200</f>
        <v>0</v>
      </c>
      <c r="AU34" s="253"/>
      <c r="AV34" s="253"/>
      <c r="AW34" s="253"/>
      <c r="AX34" s="253"/>
      <c r="AY34" s="253"/>
      <c r="AZ34" s="253"/>
      <c r="BA34" s="253"/>
      <c r="BB34" s="253"/>
      <c r="BC34" s="253"/>
      <c r="BD34" s="255">
        <f>50-50+10</f>
        <v>10</v>
      </c>
      <c r="BE34" s="253"/>
      <c r="BF34" s="255">
        <f>20-20</f>
        <v>0</v>
      </c>
      <c r="BG34" s="253"/>
      <c r="BH34" s="253"/>
      <c r="BI34" s="253"/>
      <c r="BJ34" s="253"/>
      <c r="BK34" s="253"/>
      <c r="BL34" s="253"/>
      <c r="BM34" s="253"/>
      <c r="BN34" s="253"/>
      <c r="BO34" s="253"/>
      <c r="BP34" s="253"/>
      <c r="BQ34" s="253"/>
      <c r="BR34" s="253"/>
      <c r="BS34" s="253"/>
      <c r="BT34" s="253"/>
      <c r="BU34" s="253"/>
      <c r="BV34" s="253"/>
      <c r="BW34" s="253"/>
      <c r="BX34" s="253"/>
      <c r="BY34" s="253"/>
      <c r="BZ34" s="253"/>
      <c r="CA34" s="253"/>
      <c r="CB34" s="253"/>
      <c r="CC34" s="253"/>
      <c r="CD34" s="253"/>
      <c r="CE34" s="253"/>
      <c r="CF34" s="253"/>
      <c r="CG34" s="253"/>
      <c r="CH34" s="253"/>
      <c r="CI34" s="253"/>
      <c r="CJ34" s="253"/>
      <c r="CK34" s="253"/>
      <c r="CL34" s="253"/>
      <c r="CM34" s="253"/>
      <c r="CN34" s="253"/>
      <c r="CO34" s="253"/>
      <c r="CP34" s="253"/>
      <c r="CQ34" s="253"/>
      <c r="CR34" s="253"/>
      <c r="CS34" s="253"/>
      <c r="CT34" s="253"/>
      <c r="CU34" s="253"/>
      <c r="CV34" s="253"/>
      <c r="CW34" s="253"/>
      <c r="CX34" s="253"/>
      <c r="CY34" s="253"/>
      <c r="CZ34" s="253"/>
      <c r="DA34" s="253"/>
      <c r="DB34" s="253"/>
      <c r="DC34" s="253"/>
      <c r="DD34" s="253"/>
      <c r="DE34" s="253"/>
      <c r="DF34" s="253"/>
      <c r="DG34" s="253"/>
      <c r="DH34" s="253"/>
      <c r="DI34" s="253"/>
      <c r="DJ34" s="253"/>
      <c r="DK34" s="253"/>
      <c r="DL34" s="253"/>
      <c r="DM34" s="253"/>
      <c r="DN34" s="253"/>
      <c r="DO34" s="253"/>
      <c r="DP34" s="253"/>
      <c r="DQ34" s="253"/>
      <c r="DR34" s="253"/>
      <c r="DS34" s="253"/>
      <c r="DT34" s="253"/>
      <c r="DU34" s="253"/>
      <c r="DV34" s="253"/>
      <c r="DW34" s="253"/>
      <c r="DX34" s="253"/>
      <c r="DY34" s="253"/>
      <c r="DZ34" s="253"/>
      <c r="EA34" s="253"/>
      <c r="EB34" s="253"/>
      <c r="EC34" s="253"/>
      <c r="ED34" s="253"/>
      <c r="EE34" s="253"/>
      <c r="EF34" s="253"/>
      <c r="EG34" s="255">
        <f>100-100</f>
        <v>0</v>
      </c>
      <c r="EH34" s="253"/>
      <c r="EI34" s="253"/>
      <c r="EJ34" s="255">
        <f>100-100</f>
        <v>0</v>
      </c>
      <c r="EK34" s="253"/>
      <c r="EL34" s="253"/>
      <c r="EM34" s="253"/>
      <c r="EN34" s="253"/>
      <c r="EO34" s="253"/>
      <c r="EP34" s="253"/>
      <c r="EQ34" s="253"/>
      <c r="ER34" s="253"/>
      <c r="ES34" s="253"/>
      <c r="ET34" s="253"/>
      <c r="EU34" s="253"/>
      <c r="EV34" s="253"/>
      <c r="EW34" s="253"/>
      <c r="EX34" s="253"/>
      <c r="EY34" s="253"/>
      <c r="EZ34" s="253"/>
      <c r="FA34" s="253"/>
      <c r="FB34" s="253"/>
      <c r="FC34" s="253"/>
      <c r="FD34" s="253"/>
      <c r="FE34" s="253"/>
      <c r="FF34" s="253"/>
      <c r="FG34" s="256"/>
      <c r="FH34" s="257" t="s">
        <v>993</v>
      </c>
      <c r="FI34" s="258" t="s">
        <v>389</v>
      </c>
      <c r="FJ34" s="258"/>
      <c r="FK34" s="258" t="s">
        <v>824</v>
      </c>
      <c r="FL34" s="259">
        <f t="shared" si="0"/>
        <v>10</v>
      </c>
      <c r="FM34" s="260" t="s">
        <v>820</v>
      </c>
    </row>
    <row r="35" spans="1:169" s="276" customFormat="1" ht="11.4" hidden="1">
      <c r="A35" s="251" t="s">
        <v>393</v>
      </c>
      <c r="B35" s="251" t="s">
        <v>385</v>
      </c>
      <c r="C35" s="251" t="s">
        <v>394</v>
      </c>
      <c r="D35" s="251" t="s">
        <v>291</v>
      </c>
      <c r="E35" s="252" t="s">
        <v>405</v>
      </c>
      <c r="F35" s="251" t="s">
        <v>388</v>
      </c>
      <c r="G35" s="251"/>
      <c r="H35" s="253"/>
      <c r="I35" s="253"/>
      <c r="J35" s="253"/>
      <c r="K35" s="253"/>
      <c r="L35" s="253"/>
      <c r="M35" s="253"/>
      <c r="N35" s="253"/>
      <c r="O35" s="253"/>
      <c r="P35" s="253"/>
      <c r="Q35" s="253"/>
      <c r="R35" s="253"/>
      <c r="S35" s="253"/>
      <c r="T35" s="253"/>
      <c r="U35" s="253"/>
      <c r="V35" s="253"/>
      <c r="W35" s="253"/>
      <c r="X35" s="253"/>
      <c r="Y35" s="253"/>
      <c r="Z35" s="253"/>
      <c r="AA35" s="253"/>
      <c r="AB35" s="253"/>
      <c r="AC35" s="253"/>
      <c r="AD35" s="253"/>
      <c r="AE35" s="255">
        <f>100-100+10</f>
        <v>10</v>
      </c>
      <c r="AF35" s="253"/>
      <c r="AG35" s="255">
        <f>500-500</f>
        <v>0</v>
      </c>
      <c r="AH35" s="255">
        <f>100-100</f>
        <v>0</v>
      </c>
      <c r="AI35" s="253"/>
      <c r="AJ35" s="253"/>
      <c r="AK35" s="253"/>
      <c r="AL35" s="253"/>
      <c r="AM35" s="253"/>
      <c r="AN35" s="253"/>
      <c r="AO35" s="253"/>
      <c r="AP35" s="253"/>
      <c r="AQ35" s="253"/>
      <c r="AR35" s="253"/>
      <c r="AS35" s="253"/>
      <c r="AT35" s="253"/>
      <c r="AU35" s="253"/>
      <c r="AV35" s="253"/>
      <c r="AW35" s="253"/>
      <c r="AX35" s="253"/>
      <c r="AY35" s="253"/>
      <c r="AZ35" s="253"/>
      <c r="BA35" s="253"/>
      <c r="BB35" s="253"/>
      <c r="BC35" s="253"/>
      <c r="BD35" s="253"/>
      <c r="BE35" s="253"/>
      <c r="BF35" s="253"/>
      <c r="BG35" s="253"/>
      <c r="BH35" s="253"/>
      <c r="BI35" s="253"/>
      <c r="BJ35" s="253"/>
      <c r="BK35" s="253"/>
      <c r="BL35" s="253"/>
      <c r="BM35" s="253"/>
      <c r="BN35" s="253"/>
      <c r="BO35" s="253"/>
      <c r="BP35" s="253"/>
      <c r="BQ35" s="253"/>
      <c r="BR35" s="253"/>
      <c r="BS35" s="253"/>
      <c r="BT35" s="253"/>
      <c r="BU35" s="253"/>
      <c r="BV35" s="253"/>
      <c r="BW35" s="253"/>
      <c r="BX35" s="253"/>
      <c r="BY35" s="253"/>
      <c r="BZ35" s="253"/>
      <c r="CA35" s="253"/>
      <c r="CB35" s="253"/>
      <c r="CC35" s="253"/>
      <c r="CD35" s="253"/>
      <c r="CE35" s="253"/>
      <c r="CF35" s="253"/>
      <c r="CG35" s="253"/>
      <c r="CH35" s="253"/>
      <c r="CI35" s="253"/>
      <c r="CJ35" s="253"/>
      <c r="CK35" s="253"/>
      <c r="CL35" s="253"/>
      <c r="CM35" s="253"/>
      <c r="CN35" s="253"/>
      <c r="CO35" s="253"/>
      <c r="CP35" s="253"/>
      <c r="CQ35" s="253"/>
      <c r="CR35" s="253"/>
      <c r="CS35" s="253"/>
      <c r="CT35" s="253"/>
      <c r="CU35" s="253"/>
      <c r="CV35" s="253"/>
      <c r="CW35" s="253"/>
      <c r="CX35" s="253"/>
      <c r="CY35" s="253"/>
      <c r="CZ35" s="253"/>
      <c r="DA35" s="253"/>
      <c r="DB35" s="253"/>
      <c r="DC35" s="253"/>
      <c r="DD35" s="253"/>
      <c r="DE35" s="253"/>
      <c r="DF35" s="253"/>
      <c r="DG35" s="253"/>
      <c r="DH35" s="253"/>
      <c r="DI35" s="253"/>
      <c r="DJ35" s="253"/>
      <c r="DK35" s="253"/>
      <c r="DL35" s="253"/>
      <c r="DM35" s="253"/>
      <c r="DN35" s="253"/>
      <c r="DO35" s="253"/>
      <c r="DP35" s="253"/>
      <c r="DQ35" s="253"/>
      <c r="DR35" s="253"/>
      <c r="DS35" s="253"/>
      <c r="DT35" s="253"/>
      <c r="DU35" s="253"/>
      <c r="DV35" s="253"/>
      <c r="DW35" s="253"/>
      <c r="DX35" s="253"/>
      <c r="DY35" s="253"/>
      <c r="DZ35" s="253"/>
      <c r="EA35" s="253"/>
      <c r="EB35" s="253"/>
      <c r="EC35" s="253"/>
      <c r="ED35" s="253"/>
      <c r="EE35" s="253"/>
      <c r="EF35" s="253"/>
      <c r="EG35" s="253"/>
      <c r="EH35" s="253"/>
      <c r="EI35" s="253"/>
      <c r="EJ35" s="253"/>
      <c r="EK35" s="253"/>
      <c r="EL35" s="253"/>
      <c r="EM35" s="253"/>
      <c r="EN35" s="253"/>
      <c r="EO35" s="253"/>
      <c r="EP35" s="253"/>
      <c r="EQ35" s="253"/>
      <c r="ER35" s="253"/>
      <c r="ES35" s="253"/>
      <c r="ET35" s="253"/>
      <c r="EU35" s="253"/>
      <c r="EV35" s="253"/>
      <c r="EW35" s="253"/>
      <c r="EX35" s="253"/>
      <c r="EY35" s="253"/>
      <c r="EZ35" s="253"/>
      <c r="FA35" s="253"/>
      <c r="FB35" s="253"/>
      <c r="FC35" s="253"/>
      <c r="FD35" s="253"/>
      <c r="FE35" s="253"/>
      <c r="FF35" s="253"/>
      <c r="FG35" s="256"/>
      <c r="FH35" s="257" t="s">
        <v>993</v>
      </c>
      <c r="FI35" s="258" t="s">
        <v>389</v>
      </c>
      <c r="FJ35" s="258" t="s">
        <v>406</v>
      </c>
      <c r="FK35" s="258" t="s">
        <v>397</v>
      </c>
      <c r="FL35" s="259">
        <f t="shared" si="0"/>
        <v>10</v>
      </c>
      <c r="FM35" s="260" t="s">
        <v>398</v>
      </c>
    </row>
    <row r="36" spans="1:169" s="276" customFormat="1" ht="11.4" hidden="1">
      <c r="A36" s="251" t="s">
        <v>393</v>
      </c>
      <c r="B36" s="251" t="s">
        <v>385</v>
      </c>
      <c r="C36" s="251" t="s">
        <v>394</v>
      </c>
      <c r="D36" s="251" t="s">
        <v>1</v>
      </c>
      <c r="E36" s="252" t="s">
        <v>405</v>
      </c>
      <c r="F36" s="251" t="s">
        <v>388</v>
      </c>
      <c r="G36" s="251"/>
      <c r="H36" s="253"/>
      <c r="I36" s="253"/>
      <c r="J36" s="253"/>
      <c r="K36" s="253"/>
      <c r="L36" s="253"/>
      <c r="M36" s="253"/>
      <c r="N36" s="253"/>
      <c r="O36" s="253"/>
      <c r="P36" s="253"/>
      <c r="Q36" s="253"/>
      <c r="R36" s="253"/>
      <c r="S36" s="253"/>
      <c r="T36" s="253"/>
      <c r="U36" s="253"/>
      <c r="V36" s="253"/>
      <c r="W36" s="253"/>
      <c r="X36" s="253"/>
      <c r="Y36" s="253"/>
      <c r="Z36" s="253"/>
      <c r="AA36" s="255">
        <f>100-100</f>
        <v>0</v>
      </c>
      <c r="AB36" s="253"/>
      <c r="AC36" s="253"/>
      <c r="AD36" s="253"/>
      <c r="AE36" s="253"/>
      <c r="AF36" s="253"/>
      <c r="AG36" s="253"/>
      <c r="AH36" s="253"/>
      <c r="AI36" s="253"/>
      <c r="AJ36" s="253"/>
      <c r="AK36" s="253"/>
      <c r="AL36" s="253"/>
      <c r="AM36" s="253"/>
      <c r="AN36" s="253"/>
      <c r="AO36" s="253"/>
      <c r="AP36" s="253"/>
      <c r="AQ36" s="253"/>
      <c r="AR36" s="253"/>
      <c r="AS36" s="253"/>
      <c r="AT36" s="255">
        <f>1000-1000</f>
        <v>0</v>
      </c>
      <c r="AU36" s="253"/>
      <c r="AV36" s="253"/>
      <c r="AW36" s="253"/>
      <c r="AX36" s="253"/>
      <c r="AY36" s="253"/>
      <c r="AZ36" s="253"/>
      <c r="BA36" s="253"/>
      <c r="BB36" s="253"/>
      <c r="BC36" s="253"/>
      <c r="BD36" s="253"/>
      <c r="BE36" s="253"/>
      <c r="BF36" s="253"/>
      <c r="BG36" s="253"/>
      <c r="BH36" s="253"/>
      <c r="BI36" s="253"/>
      <c r="BJ36" s="253"/>
      <c r="BK36" s="253"/>
      <c r="BL36" s="253"/>
      <c r="BM36" s="253"/>
      <c r="BN36" s="253"/>
      <c r="BO36" s="253"/>
      <c r="BP36" s="253"/>
      <c r="BQ36" s="253"/>
      <c r="BR36" s="253"/>
      <c r="BS36" s="253"/>
      <c r="BT36" s="253"/>
      <c r="BU36" s="253"/>
      <c r="BV36" s="253"/>
      <c r="BW36" s="253"/>
      <c r="BX36" s="253"/>
      <c r="BY36" s="253"/>
      <c r="BZ36" s="253"/>
      <c r="CA36" s="253"/>
      <c r="CB36" s="253"/>
      <c r="CC36" s="253"/>
      <c r="CD36" s="253"/>
      <c r="CE36" s="253"/>
      <c r="CF36" s="253"/>
      <c r="CG36" s="253"/>
      <c r="CH36" s="253"/>
      <c r="CI36" s="253"/>
      <c r="CJ36" s="253"/>
      <c r="CK36" s="253"/>
      <c r="CL36" s="253"/>
      <c r="CM36" s="253"/>
      <c r="CN36" s="253"/>
      <c r="CO36" s="253"/>
      <c r="CP36" s="253"/>
      <c r="CQ36" s="253"/>
      <c r="CR36" s="253"/>
      <c r="CS36" s="253"/>
      <c r="CT36" s="253"/>
      <c r="CU36" s="253"/>
      <c r="CV36" s="253"/>
      <c r="CW36" s="253"/>
      <c r="CX36" s="253"/>
      <c r="CY36" s="253"/>
      <c r="CZ36" s="253"/>
      <c r="DA36" s="253"/>
      <c r="DB36" s="253"/>
      <c r="DC36" s="253"/>
      <c r="DD36" s="253"/>
      <c r="DE36" s="253"/>
      <c r="DF36" s="253"/>
      <c r="DG36" s="253"/>
      <c r="DH36" s="253"/>
      <c r="DI36" s="253"/>
      <c r="DJ36" s="253"/>
      <c r="DK36" s="253"/>
      <c r="DL36" s="253"/>
      <c r="DM36" s="253"/>
      <c r="DN36" s="253"/>
      <c r="DO36" s="253"/>
      <c r="DP36" s="253"/>
      <c r="DQ36" s="253"/>
      <c r="DR36" s="253"/>
      <c r="DS36" s="253"/>
      <c r="DT36" s="253"/>
      <c r="DU36" s="253"/>
      <c r="DV36" s="253"/>
      <c r="DW36" s="253"/>
      <c r="DX36" s="253"/>
      <c r="DY36" s="253"/>
      <c r="DZ36" s="253"/>
      <c r="EA36" s="253"/>
      <c r="EB36" s="253"/>
      <c r="EC36" s="253"/>
      <c r="ED36" s="253"/>
      <c r="EE36" s="253"/>
      <c r="EF36" s="253"/>
      <c r="EG36" s="253"/>
      <c r="EH36" s="253"/>
      <c r="EI36" s="253"/>
      <c r="EJ36" s="253"/>
      <c r="EK36" s="253"/>
      <c r="EL36" s="253"/>
      <c r="EM36" s="253"/>
      <c r="EN36" s="253"/>
      <c r="EO36" s="253"/>
      <c r="EP36" s="253"/>
      <c r="EQ36" s="255">
        <f>10-10</f>
        <v>0</v>
      </c>
      <c r="ER36" s="253"/>
      <c r="ES36" s="255">
        <f>20-20</f>
        <v>0</v>
      </c>
      <c r="ET36" s="255">
        <f>10-10</f>
        <v>0</v>
      </c>
      <c r="EU36" s="253"/>
      <c r="EV36" s="253"/>
      <c r="EW36" s="255">
        <f>20-20</f>
        <v>0</v>
      </c>
      <c r="EX36" s="253"/>
      <c r="EY36" s="253"/>
      <c r="EZ36" s="253"/>
      <c r="FA36" s="253"/>
      <c r="FB36" s="253"/>
      <c r="FC36" s="253"/>
      <c r="FD36" s="253"/>
      <c r="FE36" s="253"/>
      <c r="FF36" s="253"/>
      <c r="FG36" s="256"/>
      <c r="FH36" s="257" t="s">
        <v>993</v>
      </c>
      <c r="FI36" s="258" t="s">
        <v>389</v>
      </c>
      <c r="FJ36" s="258" t="s">
        <v>406</v>
      </c>
      <c r="FK36" s="258" t="s">
        <v>397</v>
      </c>
      <c r="FL36" s="259">
        <f t="shared" si="0"/>
        <v>0</v>
      </c>
      <c r="FM36" s="260" t="s">
        <v>398</v>
      </c>
    </row>
    <row r="37" spans="1:169" s="276" customFormat="1" ht="11.4" hidden="1">
      <c r="A37" s="251" t="s">
        <v>393</v>
      </c>
      <c r="B37" s="251" t="s">
        <v>385</v>
      </c>
      <c r="C37" s="251" t="s">
        <v>394</v>
      </c>
      <c r="D37" s="251" t="s">
        <v>293</v>
      </c>
      <c r="E37" s="252" t="s">
        <v>405</v>
      </c>
      <c r="F37" s="251" t="s">
        <v>388</v>
      </c>
      <c r="G37" s="251"/>
      <c r="H37" s="253"/>
      <c r="I37" s="253"/>
      <c r="J37" s="253"/>
      <c r="K37" s="253"/>
      <c r="L37" s="253"/>
      <c r="M37" s="253"/>
      <c r="N37" s="253"/>
      <c r="O37" s="253"/>
      <c r="P37" s="253"/>
      <c r="Q37" s="253"/>
      <c r="R37" s="253"/>
      <c r="S37" s="253"/>
      <c r="T37" s="253"/>
      <c r="U37" s="253"/>
      <c r="V37" s="253"/>
      <c r="W37" s="253"/>
      <c r="X37" s="253"/>
      <c r="Y37" s="253"/>
      <c r="Z37" s="253"/>
      <c r="AA37" s="253"/>
      <c r="AB37" s="253"/>
      <c r="AC37" s="253"/>
      <c r="AD37" s="253"/>
      <c r="AE37" s="253"/>
      <c r="AF37" s="253"/>
      <c r="AG37" s="253"/>
      <c r="AH37" s="253"/>
      <c r="AI37" s="253"/>
      <c r="AJ37" s="253"/>
      <c r="AK37" s="253"/>
      <c r="AL37" s="253"/>
      <c r="AM37" s="253"/>
      <c r="AN37" s="253"/>
      <c r="AO37" s="253"/>
      <c r="AP37" s="253"/>
      <c r="AQ37" s="253"/>
      <c r="AR37" s="253"/>
      <c r="AS37" s="253"/>
      <c r="AT37" s="253"/>
      <c r="AU37" s="253"/>
      <c r="AV37" s="253"/>
      <c r="AW37" s="253"/>
      <c r="AX37" s="253"/>
      <c r="AY37" s="253"/>
      <c r="AZ37" s="253"/>
      <c r="BA37" s="253"/>
      <c r="BB37" s="253"/>
      <c r="BC37" s="253"/>
      <c r="BD37" s="253"/>
      <c r="BE37" s="253"/>
      <c r="BF37" s="253"/>
      <c r="BG37" s="253"/>
      <c r="BH37" s="253"/>
      <c r="BI37" s="253"/>
      <c r="BJ37" s="253"/>
      <c r="BK37" s="253"/>
      <c r="BL37" s="253"/>
      <c r="BM37" s="253"/>
      <c r="BN37" s="253"/>
      <c r="BO37" s="253"/>
      <c r="BP37" s="253"/>
      <c r="BQ37" s="253"/>
      <c r="BR37" s="253"/>
      <c r="BS37" s="253"/>
      <c r="BT37" s="253"/>
      <c r="BU37" s="253"/>
      <c r="BV37" s="253"/>
      <c r="BW37" s="253"/>
      <c r="BX37" s="253"/>
      <c r="BY37" s="253"/>
      <c r="BZ37" s="253"/>
      <c r="CA37" s="253"/>
      <c r="CB37" s="253"/>
      <c r="CC37" s="253"/>
      <c r="CD37" s="253"/>
      <c r="CE37" s="253"/>
      <c r="CF37" s="253"/>
      <c r="CG37" s="253"/>
      <c r="CH37" s="253"/>
      <c r="CI37" s="253"/>
      <c r="CJ37" s="253"/>
      <c r="CK37" s="253"/>
      <c r="CL37" s="253"/>
      <c r="CM37" s="253"/>
      <c r="CN37" s="253"/>
      <c r="CO37" s="253"/>
      <c r="CP37" s="253"/>
      <c r="CQ37" s="253"/>
      <c r="CR37" s="253"/>
      <c r="CS37" s="253"/>
      <c r="CT37" s="253"/>
      <c r="CU37" s="253"/>
      <c r="CV37" s="253"/>
      <c r="CW37" s="253"/>
      <c r="CX37" s="253"/>
      <c r="CY37" s="253"/>
      <c r="CZ37" s="253"/>
      <c r="DA37" s="253"/>
      <c r="DB37" s="253"/>
      <c r="DC37" s="253"/>
      <c r="DD37" s="253"/>
      <c r="DE37" s="253"/>
      <c r="DF37" s="253"/>
      <c r="DG37" s="253"/>
      <c r="DH37" s="253"/>
      <c r="DI37" s="253"/>
      <c r="DJ37" s="253"/>
      <c r="DK37" s="253"/>
      <c r="DL37" s="253"/>
      <c r="DM37" s="253"/>
      <c r="DN37" s="253"/>
      <c r="DO37" s="253"/>
      <c r="DP37" s="253"/>
      <c r="DQ37" s="253"/>
      <c r="DR37" s="253"/>
      <c r="DS37" s="253"/>
      <c r="DT37" s="253"/>
      <c r="DU37" s="253"/>
      <c r="DV37" s="253"/>
      <c r="DW37" s="253"/>
      <c r="DX37" s="253"/>
      <c r="DY37" s="253"/>
      <c r="DZ37" s="253"/>
      <c r="EA37" s="253"/>
      <c r="EB37" s="253"/>
      <c r="EC37" s="253"/>
      <c r="ED37" s="253"/>
      <c r="EE37" s="253"/>
      <c r="EF37" s="253"/>
      <c r="EG37" s="253"/>
      <c r="EH37" s="253"/>
      <c r="EI37" s="253"/>
      <c r="EJ37" s="253"/>
      <c r="EK37" s="253"/>
      <c r="EL37" s="253"/>
      <c r="EM37" s="253"/>
      <c r="EN37" s="253"/>
      <c r="EO37" s="253"/>
      <c r="EP37" s="253"/>
      <c r="EQ37" s="253"/>
      <c r="ER37" s="255">
        <f>20-20</f>
        <v>0</v>
      </c>
      <c r="ES37" s="253"/>
      <c r="ET37" s="253"/>
      <c r="EU37" s="253"/>
      <c r="EV37" s="255">
        <f>20-20</f>
        <v>0</v>
      </c>
      <c r="EW37" s="253"/>
      <c r="EX37" s="253"/>
      <c r="EY37" s="253"/>
      <c r="EZ37" s="255">
        <f>20-20</f>
        <v>0</v>
      </c>
      <c r="FA37" s="253"/>
      <c r="FB37" s="253"/>
      <c r="FC37" s="253"/>
      <c r="FD37" s="253"/>
      <c r="FE37" s="253"/>
      <c r="FF37" s="253"/>
      <c r="FG37" s="256"/>
      <c r="FH37" s="257" t="s">
        <v>993</v>
      </c>
      <c r="FI37" s="258" t="s">
        <v>389</v>
      </c>
      <c r="FJ37" s="258" t="s">
        <v>406</v>
      </c>
      <c r="FK37" s="258" t="s">
        <v>397</v>
      </c>
      <c r="FL37" s="259">
        <f t="shared" si="0"/>
        <v>0</v>
      </c>
      <c r="FM37" s="260" t="s">
        <v>398</v>
      </c>
    </row>
    <row r="38" spans="1:169" s="276" customFormat="1" ht="11.4" hidden="1">
      <c r="A38" s="251" t="s">
        <v>393</v>
      </c>
      <c r="B38" s="251" t="s">
        <v>385</v>
      </c>
      <c r="C38" s="251" t="s">
        <v>407</v>
      </c>
      <c r="D38" s="251" t="s">
        <v>291</v>
      </c>
      <c r="E38" s="252" t="s">
        <v>971</v>
      </c>
      <c r="F38" s="251" t="s">
        <v>388</v>
      </c>
      <c r="G38" s="251"/>
      <c r="H38" s="253"/>
      <c r="I38" s="255">
        <f>200-200</f>
        <v>0</v>
      </c>
      <c r="J38" s="253"/>
      <c r="K38" s="253"/>
      <c r="L38" s="253"/>
      <c r="M38" s="253"/>
      <c r="N38" s="255">
        <f>500-500</f>
        <v>0</v>
      </c>
      <c r="O38" s="253"/>
      <c r="P38" s="253"/>
      <c r="Q38" s="253"/>
      <c r="R38" s="253"/>
      <c r="S38" s="253"/>
      <c r="T38" s="253"/>
      <c r="U38" s="253"/>
      <c r="V38" s="253"/>
      <c r="W38" s="253"/>
      <c r="X38" s="253"/>
      <c r="Y38" s="253"/>
      <c r="Z38" s="253"/>
      <c r="AA38" s="253"/>
      <c r="AB38" s="253"/>
      <c r="AC38" s="253"/>
      <c r="AD38" s="253"/>
      <c r="AE38" s="253">
        <f>0+20</f>
        <v>20</v>
      </c>
      <c r="AF38" s="253"/>
      <c r="AG38" s="253"/>
      <c r="AH38" s="253"/>
      <c r="AI38" s="253"/>
      <c r="AJ38" s="253"/>
      <c r="AK38" s="253"/>
      <c r="AL38" s="253"/>
      <c r="AM38" s="255">
        <f>500-500+95</f>
        <v>95</v>
      </c>
      <c r="AN38" s="253"/>
      <c r="AO38" s="253"/>
      <c r="AP38" s="253"/>
      <c r="AQ38" s="253"/>
      <c r="AR38" s="253"/>
      <c r="AS38" s="253"/>
      <c r="AT38" s="253"/>
      <c r="AU38" s="253"/>
      <c r="AV38" s="253"/>
      <c r="AW38" s="253"/>
      <c r="AX38" s="253"/>
      <c r="AY38" s="253"/>
      <c r="AZ38" s="253"/>
      <c r="BA38" s="253"/>
      <c r="BB38" s="253"/>
      <c r="BC38" s="253"/>
      <c r="BD38" s="253"/>
      <c r="BE38" s="253"/>
      <c r="BF38" s="253"/>
      <c r="BG38" s="253"/>
      <c r="BH38" s="253"/>
      <c r="BI38" s="253"/>
      <c r="BJ38" s="253"/>
      <c r="BK38" s="253"/>
      <c r="BL38" s="253"/>
      <c r="BM38" s="253"/>
      <c r="BN38" s="253"/>
      <c r="BO38" s="253"/>
      <c r="BP38" s="253"/>
      <c r="BQ38" s="253"/>
      <c r="BR38" s="253"/>
      <c r="BS38" s="253"/>
      <c r="BT38" s="253"/>
      <c r="BU38" s="253"/>
      <c r="BV38" s="253"/>
      <c r="BW38" s="253"/>
      <c r="BX38" s="253"/>
      <c r="BY38" s="253"/>
      <c r="BZ38" s="253"/>
      <c r="CA38" s="253"/>
      <c r="CB38" s="253"/>
      <c r="CC38" s="253"/>
      <c r="CD38" s="253"/>
      <c r="CE38" s="253"/>
      <c r="CF38" s="253"/>
      <c r="CG38" s="253"/>
      <c r="CH38" s="253"/>
      <c r="CI38" s="253"/>
      <c r="CJ38" s="253"/>
      <c r="CK38" s="253"/>
      <c r="CL38" s="253"/>
      <c r="CM38" s="253"/>
      <c r="CN38" s="253"/>
      <c r="CO38" s="253"/>
      <c r="CP38" s="253"/>
      <c r="CQ38" s="253"/>
      <c r="CR38" s="253"/>
      <c r="CS38" s="253"/>
      <c r="CT38" s="253"/>
      <c r="CU38" s="253"/>
      <c r="CV38" s="253"/>
      <c r="CW38" s="253"/>
      <c r="CX38" s="253"/>
      <c r="CY38" s="253"/>
      <c r="CZ38" s="253"/>
      <c r="DA38" s="253"/>
      <c r="DB38" s="253"/>
      <c r="DC38" s="253"/>
      <c r="DD38" s="253"/>
      <c r="DE38" s="253"/>
      <c r="DF38" s="253"/>
      <c r="DG38" s="253"/>
      <c r="DH38" s="253"/>
      <c r="DI38" s="253"/>
      <c r="DJ38" s="253"/>
      <c r="DK38" s="253"/>
      <c r="DL38" s="253"/>
      <c r="DM38" s="253"/>
      <c r="DN38" s="253"/>
      <c r="DO38" s="253"/>
      <c r="DP38" s="253"/>
      <c r="DQ38" s="253"/>
      <c r="DR38" s="253"/>
      <c r="DS38" s="253"/>
      <c r="DT38" s="253"/>
      <c r="DU38" s="253"/>
      <c r="DV38" s="253"/>
      <c r="DW38" s="253"/>
      <c r="DX38" s="253"/>
      <c r="DY38" s="253"/>
      <c r="DZ38" s="253"/>
      <c r="EA38" s="253"/>
      <c r="EB38" s="253"/>
      <c r="EC38" s="253"/>
      <c r="ED38" s="253"/>
      <c r="EE38" s="253"/>
      <c r="EF38" s="253"/>
      <c r="EG38" s="253"/>
      <c r="EH38" s="253"/>
      <c r="EI38" s="253"/>
      <c r="EJ38" s="253"/>
      <c r="EK38" s="253"/>
      <c r="EL38" s="253"/>
      <c r="EM38" s="253"/>
      <c r="EN38" s="253"/>
      <c r="EO38" s="253"/>
      <c r="EP38" s="253"/>
      <c r="EQ38" s="253"/>
      <c r="ER38" s="253"/>
      <c r="ES38" s="253"/>
      <c r="ET38" s="253"/>
      <c r="EU38" s="253"/>
      <c r="EV38" s="253"/>
      <c r="EW38" s="253"/>
      <c r="EX38" s="253"/>
      <c r="EY38" s="253"/>
      <c r="EZ38" s="253"/>
      <c r="FA38" s="253"/>
      <c r="FB38" s="253"/>
      <c r="FC38" s="253"/>
      <c r="FD38" s="253"/>
      <c r="FE38" s="253"/>
      <c r="FF38" s="253"/>
      <c r="FG38" s="256"/>
      <c r="FH38" s="257" t="s">
        <v>993</v>
      </c>
      <c r="FI38" s="258" t="s">
        <v>389</v>
      </c>
      <c r="FJ38" s="258"/>
      <c r="FK38" s="258" t="s">
        <v>409</v>
      </c>
      <c r="FL38" s="259">
        <f t="shared" si="0"/>
        <v>115</v>
      </c>
      <c r="FM38" s="260" t="s">
        <v>410</v>
      </c>
    </row>
    <row r="39" spans="1:169" s="276" customFormat="1" ht="11.4" hidden="1">
      <c r="A39" s="251" t="s">
        <v>393</v>
      </c>
      <c r="B39" s="251" t="s">
        <v>385</v>
      </c>
      <c r="C39" s="251" t="s">
        <v>407</v>
      </c>
      <c r="D39" s="251" t="s">
        <v>1</v>
      </c>
      <c r="E39" s="252" t="s">
        <v>971</v>
      </c>
      <c r="F39" s="251" t="s">
        <v>388</v>
      </c>
      <c r="G39" s="251"/>
      <c r="H39" s="253"/>
      <c r="I39" s="253"/>
      <c r="J39" s="253"/>
      <c r="K39" s="253"/>
      <c r="L39" s="253"/>
      <c r="M39" s="253"/>
      <c r="N39" s="253"/>
      <c r="O39" s="255">
        <f>1000-1000</f>
        <v>0</v>
      </c>
      <c r="P39" s="255">
        <f>500-500</f>
        <v>0</v>
      </c>
      <c r="Q39" s="253"/>
      <c r="R39" s="253"/>
      <c r="S39" s="253"/>
      <c r="T39" s="253"/>
      <c r="U39" s="253"/>
      <c r="V39" s="253"/>
      <c r="W39" s="253"/>
      <c r="X39" s="253"/>
      <c r="Y39" s="253"/>
      <c r="Z39" s="253"/>
      <c r="AA39" s="253"/>
      <c r="AB39" s="255">
        <f>1500-1500</f>
        <v>0</v>
      </c>
      <c r="AC39" s="253">
        <f>0+30</f>
        <v>30</v>
      </c>
      <c r="AD39" s="253"/>
      <c r="AE39" s="253"/>
      <c r="AF39" s="253"/>
      <c r="AG39" s="253"/>
      <c r="AH39" s="253"/>
      <c r="AI39" s="253"/>
      <c r="AJ39" s="253"/>
      <c r="AK39" s="253"/>
      <c r="AL39" s="253"/>
      <c r="AM39" s="253"/>
      <c r="AN39" s="253"/>
      <c r="AO39" s="253"/>
      <c r="AP39" s="253"/>
      <c r="AQ39" s="253"/>
      <c r="AR39" s="253"/>
      <c r="AS39" s="253"/>
      <c r="AT39" s="255">
        <f>2000-2000+430</f>
        <v>430</v>
      </c>
      <c r="AU39" s="253"/>
      <c r="AV39" s="253"/>
      <c r="AW39" s="253"/>
      <c r="AX39" s="253"/>
      <c r="AY39" s="253"/>
      <c r="AZ39" s="253"/>
      <c r="BA39" s="253"/>
      <c r="BB39" s="253"/>
      <c r="BC39" s="253"/>
      <c r="BD39" s="255">
        <f>2000-2000+320</f>
        <v>320</v>
      </c>
      <c r="BE39" s="253"/>
      <c r="BF39" s="253"/>
      <c r="BG39" s="253"/>
      <c r="BH39" s="253"/>
      <c r="BI39" s="253"/>
      <c r="BJ39" s="253"/>
      <c r="BK39" s="253"/>
      <c r="BL39" s="253"/>
      <c r="BM39" s="253"/>
      <c r="BN39" s="253"/>
      <c r="BO39" s="253"/>
      <c r="BP39" s="253">
        <v>120</v>
      </c>
      <c r="BQ39" s="253"/>
      <c r="BR39" s="253">
        <v>30</v>
      </c>
      <c r="BS39" s="253">
        <v>380</v>
      </c>
      <c r="BT39" s="253">
        <v>150</v>
      </c>
      <c r="BU39" s="253">
        <v>10</v>
      </c>
      <c r="BV39" s="253"/>
      <c r="BW39" s="253"/>
      <c r="BX39" s="253"/>
      <c r="BY39" s="253"/>
      <c r="BZ39" s="253"/>
      <c r="CA39" s="253"/>
      <c r="CB39" s="253"/>
      <c r="CC39" s="253">
        <v>200</v>
      </c>
      <c r="CD39" s="253"/>
      <c r="CE39" s="253"/>
      <c r="CF39" s="253">
        <v>200</v>
      </c>
      <c r="CG39" s="253">
        <v>10</v>
      </c>
      <c r="CH39" s="253"/>
      <c r="CI39" s="253">
        <v>8</v>
      </c>
      <c r="CJ39" s="253">
        <v>10</v>
      </c>
      <c r="CK39" s="253">
        <v>30</v>
      </c>
      <c r="CL39" s="253"/>
      <c r="CM39" s="253"/>
      <c r="CN39" s="253"/>
      <c r="CO39" s="253"/>
      <c r="CP39" s="253"/>
      <c r="CQ39" s="253"/>
      <c r="CR39" s="253"/>
      <c r="CS39" s="253"/>
      <c r="CT39" s="253"/>
      <c r="CU39" s="253"/>
      <c r="CV39" s="253"/>
      <c r="CW39" s="253"/>
      <c r="CX39" s="253"/>
      <c r="CY39" s="253"/>
      <c r="CZ39" s="253">
        <v>4</v>
      </c>
      <c r="DA39" s="253">
        <v>10</v>
      </c>
      <c r="DB39" s="253">
        <v>30</v>
      </c>
      <c r="DC39" s="253"/>
      <c r="DD39" s="253"/>
      <c r="DE39" s="253"/>
      <c r="DF39" s="253"/>
      <c r="DG39" s="253"/>
      <c r="DH39" s="253"/>
      <c r="DI39" s="253"/>
      <c r="DJ39" s="253"/>
      <c r="DK39" s="253"/>
      <c r="DL39" s="253"/>
      <c r="DM39" s="253"/>
      <c r="DN39" s="253"/>
      <c r="DO39" s="253"/>
      <c r="DP39" s="253"/>
      <c r="DQ39" s="253"/>
      <c r="DR39" s="253"/>
      <c r="DS39" s="253"/>
      <c r="DT39" s="253"/>
      <c r="DU39" s="253"/>
      <c r="DV39" s="253"/>
      <c r="DW39" s="253"/>
      <c r="DX39" s="253"/>
      <c r="DY39" s="253"/>
      <c r="DZ39" s="253"/>
      <c r="EA39" s="253"/>
      <c r="EB39" s="253"/>
      <c r="EC39" s="253"/>
      <c r="ED39" s="253"/>
      <c r="EE39" s="253"/>
      <c r="EF39" s="253"/>
      <c r="EG39" s="253"/>
      <c r="EH39" s="253"/>
      <c r="EI39" s="253"/>
      <c r="EJ39" s="255">
        <f>500-500</f>
        <v>0</v>
      </c>
      <c r="EK39" s="253"/>
      <c r="EL39" s="253"/>
      <c r="EM39" s="253">
        <v>40</v>
      </c>
      <c r="EN39" s="253"/>
      <c r="EO39" s="253"/>
      <c r="EP39" s="253">
        <v>70</v>
      </c>
      <c r="EQ39" s="253">
        <v>20</v>
      </c>
      <c r="ER39" s="253"/>
      <c r="ES39" s="253"/>
      <c r="ET39" s="253">
        <v>5</v>
      </c>
      <c r="EU39" s="253"/>
      <c r="EV39" s="253"/>
      <c r="EW39" s="253"/>
      <c r="EX39" s="253"/>
      <c r="EY39" s="253"/>
      <c r="EZ39" s="253"/>
      <c r="FA39" s="253"/>
      <c r="FB39" s="253"/>
      <c r="FC39" s="253"/>
      <c r="FD39" s="253"/>
      <c r="FE39" s="253"/>
      <c r="FF39" s="253"/>
      <c r="FG39" s="256"/>
      <c r="FH39" s="257" t="s">
        <v>993</v>
      </c>
      <c r="FI39" s="258" t="s">
        <v>389</v>
      </c>
      <c r="FJ39" s="258"/>
      <c r="FK39" s="258" t="s">
        <v>409</v>
      </c>
      <c r="FL39" s="259">
        <f t="shared" ref="FL39:FL102" si="3">SUM(H39:FF39)</f>
        <v>2107</v>
      </c>
      <c r="FM39" s="260" t="s">
        <v>410</v>
      </c>
    </row>
    <row r="40" spans="1:169" s="276" customFormat="1" ht="11.4" hidden="1">
      <c r="A40" s="302" t="s">
        <v>393</v>
      </c>
      <c r="B40" s="302" t="s">
        <v>385</v>
      </c>
      <c r="C40" s="302" t="s">
        <v>407</v>
      </c>
      <c r="D40" s="302" t="s">
        <v>293</v>
      </c>
      <c r="E40" s="303" t="s">
        <v>971</v>
      </c>
      <c r="F40" s="302" t="s">
        <v>388</v>
      </c>
      <c r="G40" s="251"/>
      <c r="H40" s="253"/>
      <c r="I40" s="253"/>
      <c r="J40" s="253"/>
      <c r="K40" s="253"/>
      <c r="L40" s="253"/>
      <c r="M40" s="253"/>
      <c r="N40" s="253"/>
      <c r="O40" s="255"/>
      <c r="P40" s="255"/>
      <c r="Q40" s="253"/>
      <c r="R40" s="253"/>
      <c r="S40" s="253"/>
      <c r="T40" s="253"/>
      <c r="U40" s="253"/>
      <c r="V40" s="253"/>
      <c r="W40" s="253"/>
      <c r="X40" s="253"/>
      <c r="Y40" s="253"/>
      <c r="Z40" s="253"/>
      <c r="AA40" s="253"/>
      <c r="AB40" s="255"/>
      <c r="AC40" s="253"/>
      <c r="AD40" s="253"/>
      <c r="AE40" s="253"/>
      <c r="AF40" s="253"/>
      <c r="AG40" s="253"/>
      <c r="AH40" s="253"/>
      <c r="AI40" s="253"/>
      <c r="AJ40" s="253"/>
      <c r="AK40" s="253"/>
      <c r="AL40" s="253"/>
      <c r="AM40" s="253"/>
      <c r="AN40" s="253"/>
      <c r="AO40" s="253"/>
      <c r="AP40" s="253"/>
      <c r="AQ40" s="253"/>
      <c r="AR40" s="253"/>
      <c r="AS40" s="253"/>
      <c r="AT40" s="255"/>
      <c r="AU40" s="253"/>
      <c r="AV40" s="253"/>
      <c r="AW40" s="253"/>
      <c r="AX40" s="253"/>
      <c r="AY40" s="253"/>
      <c r="AZ40" s="253"/>
      <c r="BA40" s="253"/>
      <c r="BB40" s="253"/>
      <c r="BC40" s="253"/>
      <c r="BD40" s="255"/>
      <c r="BE40" s="253"/>
      <c r="BF40" s="253"/>
      <c r="BG40" s="253"/>
      <c r="BH40" s="253"/>
      <c r="BI40" s="253"/>
      <c r="BJ40" s="253"/>
      <c r="BK40" s="253"/>
      <c r="BL40" s="253"/>
      <c r="BM40" s="253"/>
      <c r="BN40" s="253"/>
      <c r="BO40" s="253"/>
      <c r="BP40" s="253"/>
      <c r="BQ40" s="253"/>
      <c r="BR40" s="253"/>
      <c r="BS40" s="253"/>
      <c r="BT40" s="253"/>
      <c r="BU40" s="253"/>
      <c r="BV40" s="253"/>
      <c r="BW40" s="253"/>
      <c r="BX40" s="253"/>
      <c r="BY40" s="253"/>
      <c r="BZ40" s="253"/>
      <c r="CA40" s="253"/>
      <c r="CB40" s="253"/>
      <c r="CC40" s="253"/>
      <c r="CD40" s="253"/>
      <c r="CE40" s="253"/>
      <c r="CF40" s="253"/>
      <c r="CG40" s="253"/>
      <c r="CH40" s="253"/>
      <c r="CI40" s="253"/>
      <c r="CJ40" s="253"/>
      <c r="CK40" s="253"/>
      <c r="CL40" s="253"/>
      <c r="CM40" s="253"/>
      <c r="CN40" s="253">
        <v>50</v>
      </c>
      <c r="CO40" s="253"/>
      <c r="CP40" s="253"/>
      <c r="CQ40" s="253"/>
      <c r="CR40" s="253"/>
      <c r="CS40" s="253"/>
      <c r="CT40" s="253"/>
      <c r="CU40" s="253"/>
      <c r="CV40" s="253"/>
      <c r="CW40" s="253"/>
      <c r="CX40" s="253"/>
      <c r="CY40" s="253"/>
      <c r="CZ40" s="253"/>
      <c r="DA40" s="253"/>
      <c r="DB40" s="253"/>
      <c r="DC40" s="253"/>
      <c r="DD40" s="253"/>
      <c r="DE40" s="253"/>
      <c r="DF40" s="253"/>
      <c r="DG40" s="253"/>
      <c r="DH40" s="253"/>
      <c r="DI40" s="253"/>
      <c r="DJ40" s="253"/>
      <c r="DK40" s="253"/>
      <c r="DL40" s="253"/>
      <c r="DM40" s="253"/>
      <c r="DN40" s="253"/>
      <c r="DO40" s="253"/>
      <c r="DP40" s="253"/>
      <c r="DQ40" s="253"/>
      <c r="DR40" s="253"/>
      <c r="DS40" s="253"/>
      <c r="DT40" s="253"/>
      <c r="DU40" s="253"/>
      <c r="DV40" s="253"/>
      <c r="DW40" s="253"/>
      <c r="DX40" s="253"/>
      <c r="DY40" s="253"/>
      <c r="DZ40" s="253"/>
      <c r="EA40" s="253"/>
      <c r="EB40" s="253"/>
      <c r="EC40" s="253"/>
      <c r="ED40" s="253"/>
      <c r="EE40" s="253"/>
      <c r="EF40" s="253"/>
      <c r="EG40" s="253"/>
      <c r="EH40" s="253"/>
      <c r="EI40" s="253"/>
      <c r="EJ40" s="255"/>
      <c r="EK40" s="253"/>
      <c r="EL40" s="253"/>
      <c r="EM40" s="253"/>
      <c r="EN40" s="253"/>
      <c r="EO40" s="253"/>
      <c r="EP40" s="253"/>
      <c r="EQ40" s="253"/>
      <c r="ER40" s="253"/>
      <c r="ES40" s="253"/>
      <c r="ET40" s="253"/>
      <c r="EU40" s="253"/>
      <c r="EV40" s="253"/>
      <c r="EW40" s="253"/>
      <c r="EX40" s="253"/>
      <c r="EY40" s="253"/>
      <c r="EZ40" s="253"/>
      <c r="FA40" s="253"/>
      <c r="FB40" s="253"/>
      <c r="FC40" s="253"/>
      <c r="FD40" s="253"/>
      <c r="FE40" s="253"/>
      <c r="FF40" s="253"/>
      <c r="FG40" s="256"/>
      <c r="FH40" s="257"/>
      <c r="FI40" s="258"/>
      <c r="FJ40" s="258"/>
      <c r="FK40" s="258"/>
      <c r="FL40" s="259"/>
      <c r="FM40" s="260"/>
    </row>
    <row r="41" spans="1:169" s="276" customFormat="1" ht="11.4" hidden="1">
      <c r="A41" s="251" t="s">
        <v>385</v>
      </c>
      <c r="B41" s="251" t="s">
        <v>385</v>
      </c>
      <c r="C41" s="251" t="s">
        <v>893</v>
      </c>
      <c r="D41" s="251" t="s">
        <v>291</v>
      </c>
      <c r="E41" s="252" t="s">
        <v>972</v>
      </c>
      <c r="F41" s="251" t="s">
        <v>388</v>
      </c>
      <c r="G41" s="251"/>
      <c r="H41" s="253"/>
      <c r="I41" s="255">
        <f>600-600</f>
        <v>0</v>
      </c>
      <c r="J41" s="253"/>
      <c r="K41" s="255">
        <f>600-600</f>
        <v>0</v>
      </c>
      <c r="L41" s="253"/>
      <c r="M41" s="253"/>
      <c r="N41" s="255">
        <f>400-400</f>
        <v>0</v>
      </c>
      <c r="O41" s="253"/>
      <c r="P41" s="253"/>
      <c r="Q41" s="253"/>
      <c r="R41" s="253"/>
      <c r="S41" s="253"/>
      <c r="T41" s="253"/>
      <c r="U41" s="253"/>
      <c r="V41" s="253"/>
      <c r="W41" s="253"/>
      <c r="X41" s="253"/>
      <c r="Y41" s="253"/>
      <c r="Z41" s="253"/>
      <c r="AA41" s="253"/>
      <c r="AB41" s="253"/>
      <c r="AC41" s="253"/>
      <c r="AD41" s="253"/>
      <c r="AE41" s="255">
        <f>200-200+10</f>
        <v>10</v>
      </c>
      <c r="AF41" s="253"/>
      <c r="AG41" s="255">
        <f>200-200</f>
        <v>0</v>
      </c>
      <c r="AH41" s="253"/>
      <c r="AI41" s="253"/>
      <c r="AJ41" s="253"/>
      <c r="AK41" s="253"/>
      <c r="AL41" s="253"/>
      <c r="AM41" s="255">
        <f>400-400+55</f>
        <v>55</v>
      </c>
      <c r="AN41" s="253"/>
      <c r="AO41" s="253"/>
      <c r="AP41" s="253"/>
      <c r="AQ41" s="253"/>
      <c r="AR41" s="253"/>
      <c r="AS41" s="253"/>
      <c r="AT41" s="253"/>
      <c r="AU41" s="253"/>
      <c r="AV41" s="253"/>
      <c r="AW41" s="253"/>
      <c r="AX41" s="253"/>
      <c r="AY41" s="253"/>
      <c r="AZ41" s="253"/>
      <c r="BA41" s="253"/>
      <c r="BB41" s="253"/>
      <c r="BC41" s="253"/>
      <c r="BD41" s="253"/>
      <c r="BE41" s="253"/>
      <c r="BF41" s="253"/>
      <c r="BG41" s="253"/>
      <c r="BH41" s="253"/>
      <c r="BI41" s="253"/>
      <c r="BJ41" s="253"/>
      <c r="BK41" s="253"/>
      <c r="BL41" s="253"/>
      <c r="BM41" s="253"/>
      <c r="BN41" s="253"/>
      <c r="BO41" s="253"/>
      <c r="BP41" s="253"/>
      <c r="BQ41" s="253"/>
      <c r="BR41" s="253"/>
      <c r="BS41" s="253"/>
      <c r="BT41" s="253"/>
      <c r="BU41" s="253"/>
      <c r="BV41" s="253"/>
      <c r="BW41" s="253"/>
      <c r="BX41" s="253"/>
      <c r="BY41" s="253"/>
      <c r="BZ41" s="253"/>
      <c r="CA41" s="253"/>
      <c r="CB41" s="253"/>
      <c r="CC41" s="253"/>
      <c r="CD41" s="253"/>
      <c r="CE41" s="253"/>
      <c r="CF41" s="253"/>
      <c r="CG41" s="253"/>
      <c r="CH41" s="253"/>
      <c r="CI41" s="253"/>
      <c r="CJ41" s="253"/>
      <c r="CK41" s="253"/>
      <c r="CL41" s="253"/>
      <c r="CM41" s="253"/>
      <c r="CN41" s="253"/>
      <c r="CO41" s="253"/>
      <c r="CP41" s="253"/>
      <c r="CQ41" s="253"/>
      <c r="CR41" s="253"/>
      <c r="CS41" s="253"/>
      <c r="CT41" s="253"/>
      <c r="CU41" s="253"/>
      <c r="CV41" s="253"/>
      <c r="CW41" s="253"/>
      <c r="CX41" s="253"/>
      <c r="CY41" s="253"/>
      <c r="CZ41" s="253"/>
      <c r="DA41" s="253"/>
      <c r="DB41" s="253"/>
      <c r="DC41" s="253"/>
      <c r="DD41" s="253"/>
      <c r="DE41" s="253"/>
      <c r="DF41" s="253"/>
      <c r="DG41" s="253"/>
      <c r="DH41" s="253"/>
      <c r="DI41" s="253"/>
      <c r="DJ41" s="253"/>
      <c r="DK41" s="253"/>
      <c r="DL41" s="253"/>
      <c r="DM41" s="253"/>
      <c r="DN41" s="253"/>
      <c r="DO41" s="253"/>
      <c r="DP41" s="253"/>
      <c r="DQ41" s="253"/>
      <c r="DR41" s="253"/>
      <c r="DS41" s="253"/>
      <c r="DT41" s="253"/>
      <c r="DU41" s="253"/>
      <c r="DV41" s="253"/>
      <c r="DW41" s="253"/>
      <c r="DX41" s="253"/>
      <c r="DY41" s="253"/>
      <c r="DZ41" s="253"/>
      <c r="EA41" s="253"/>
      <c r="EB41" s="253"/>
      <c r="EC41" s="253"/>
      <c r="ED41" s="253"/>
      <c r="EE41" s="253"/>
      <c r="EF41" s="253"/>
      <c r="EG41" s="253"/>
      <c r="EH41" s="253"/>
      <c r="EI41" s="253"/>
      <c r="EJ41" s="253"/>
      <c r="EK41" s="253"/>
      <c r="EL41" s="253"/>
      <c r="EM41" s="253"/>
      <c r="EN41" s="253"/>
      <c r="EO41" s="253"/>
      <c r="EP41" s="253"/>
      <c r="EQ41" s="253"/>
      <c r="ER41" s="253"/>
      <c r="ES41" s="253"/>
      <c r="ET41" s="253"/>
      <c r="EU41" s="253"/>
      <c r="EV41" s="253"/>
      <c r="EW41" s="253"/>
      <c r="EX41" s="253"/>
      <c r="EY41" s="253"/>
      <c r="EZ41" s="253"/>
      <c r="FA41" s="253"/>
      <c r="FB41" s="253"/>
      <c r="FC41" s="253"/>
      <c r="FD41" s="253"/>
      <c r="FE41" s="253"/>
      <c r="FF41" s="253"/>
      <c r="FG41" s="256"/>
      <c r="FH41" s="257" t="s">
        <v>993</v>
      </c>
      <c r="FI41" s="258" t="s">
        <v>389</v>
      </c>
      <c r="FJ41" s="258"/>
      <c r="FK41" s="258" t="s">
        <v>973</v>
      </c>
      <c r="FL41" s="259">
        <f t="shared" si="3"/>
        <v>65</v>
      </c>
      <c r="FM41" s="260" t="s">
        <v>974</v>
      </c>
    </row>
    <row r="42" spans="1:169" s="276" customFormat="1" ht="11.4" hidden="1">
      <c r="A42" s="251" t="s">
        <v>385</v>
      </c>
      <c r="B42" s="251" t="s">
        <v>385</v>
      </c>
      <c r="C42" s="251" t="s">
        <v>893</v>
      </c>
      <c r="D42" s="251" t="s">
        <v>1</v>
      </c>
      <c r="E42" s="252" t="s">
        <v>972</v>
      </c>
      <c r="F42" s="251" t="s">
        <v>388</v>
      </c>
      <c r="G42" s="251"/>
      <c r="H42" s="253"/>
      <c r="I42" s="253"/>
      <c r="J42" s="253"/>
      <c r="K42" s="253"/>
      <c r="L42" s="253"/>
      <c r="M42" s="253"/>
      <c r="N42" s="253"/>
      <c r="O42" s="255">
        <f>400-400</f>
        <v>0</v>
      </c>
      <c r="P42" s="255">
        <f>400-400</f>
        <v>0</v>
      </c>
      <c r="Q42" s="253"/>
      <c r="R42" s="253"/>
      <c r="S42" s="253"/>
      <c r="T42" s="253"/>
      <c r="U42" s="255">
        <f>100-100</f>
        <v>0</v>
      </c>
      <c r="V42" s="253"/>
      <c r="W42" s="253"/>
      <c r="X42" s="253"/>
      <c r="Y42" s="253"/>
      <c r="Z42" s="253"/>
      <c r="AA42" s="253"/>
      <c r="AB42" s="255">
        <f>300-300</f>
        <v>0</v>
      </c>
      <c r="AC42" s="255">
        <f>200-200+15</f>
        <v>15</v>
      </c>
      <c r="AD42" s="253"/>
      <c r="AE42" s="253"/>
      <c r="AF42" s="253"/>
      <c r="AG42" s="253"/>
      <c r="AH42" s="253"/>
      <c r="AI42" s="253"/>
      <c r="AJ42" s="253"/>
      <c r="AK42" s="253"/>
      <c r="AL42" s="253"/>
      <c r="AM42" s="253"/>
      <c r="AN42" s="253"/>
      <c r="AO42" s="253"/>
      <c r="AP42" s="253"/>
      <c r="AQ42" s="253"/>
      <c r="AR42" s="253"/>
      <c r="AS42" s="253"/>
      <c r="AT42" s="255">
        <f>500-500+250</f>
        <v>250</v>
      </c>
      <c r="AU42" s="253"/>
      <c r="AV42" s="253"/>
      <c r="AW42" s="253"/>
      <c r="AX42" s="253"/>
      <c r="AY42" s="253"/>
      <c r="AZ42" s="253"/>
      <c r="BA42" s="253"/>
      <c r="BB42" s="253"/>
      <c r="BC42" s="253"/>
      <c r="BD42" s="253"/>
      <c r="BE42" s="253"/>
      <c r="BF42" s="253"/>
      <c r="BG42" s="253"/>
      <c r="BH42" s="253"/>
      <c r="BI42" s="253"/>
      <c r="BJ42" s="253"/>
      <c r="BK42" s="253"/>
      <c r="BL42" s="253"/>
      <c r="BM42" s="253"/>
      <c r="BN42" s="253"/>
      <c r="BO42" s="253"/>
      <c r="BP42" s="253">
        <v>120</v>
      </c>
      <c r="BQ42" s="253"/>
      <c r="BR42" s="253">
        <v>30</v>
      </c>
      <c r="BS42" s="253">
        <v>380</v>
      </c>
      <c r="BT42" s="253">
        <v>150</v>
      </c>
      <c r="BU42" s="253">
        <v>10</v>
      </c>
      <c r="BV42" s="253"/>
      <c r="BW42" s="253"/>
      <c r="BX42" s="253"/>
      <c r="BY42" s="253"/>
      <c r="BZ42" s="253"/>
      <c r="CA42" s="253"/>
      <c r="CB42" s="253"/>
      <c r="CC42" s="253">
        <v>190</v>
      </c>
      <c r="CD42" s="253"/>
      <c r="CE42" s="253"/>
      <c r="CF42" s="253">
        <v>190</v>
      </c>
      <c r="CG42" s="253">
        <v>10</v>
      </c>
      <c r="CH42" s="253"/>
      <c r="CI42" s="253">
        <v>8</v>
      </c>
      <c r="CJ42" s="253">
        <v>10</v>
      </c>
      <c r="CK42" s="253">
        <v>30</v>
      </c>
      <c r="CL42" s="253"/>
      <c r="CM42" s="253"/>
      <c r="CN42" s="253"/>
      <c r="CO42" s="253"/>
      <c r="CP42" s="253"/>
      <c r="CQ42" s="253"/>
      <c r="CR42" s="253"/>
      <c r="CS42" s="253"/>
      <c r="CT42" s="253"/>
      <c r="CU42" s="253"/>
      <c r="CV42" s="253"/>
      <c r="CW42" s="253"/>
      <c r="CX42" s="253"/>
      <c r="CY42" s="253"/>
      <c r="CZ42" s="253">
        <v>8</v>
      </c>
      <c r="DA42" s="253">
        <v>5</v>
      </c>
      <c r="DB42" s="253">
        <v>10</v>
      </c>
      <c r="DC42" s="253"/>
      <c r="DD42" s="253"/>
      <c r="DE42" s="253"/>
      <c r="DF42" s="253"/>
      <c r="DG42" s="253"/>
      <c r="DH42" s="253"/>
      <c r="DI42" s="253"/>
      <c r="DJ42" s="253"/>
      <c r="DK42" s="253"/>
      <c r="DL42" s="253"/>
      <c r="DM42" s="253"/>
      <c r="DN42" s="253"/>
      <c r="DO42" s="253"/>
      <c r="DP42" s="253"/>
      <c r="DQ42" s="253"/>
      <c r="DR42" s="253"/>
      <c r="DS42" s="255">
        <f>300-300</f>
        <v>0</v>
      </c>
      <c r="DT42" s="253"/>
      <c r="DU42" s="253"/>
      <c r="DV42" s="253"/>
      <c r="DW42" s="253"/>
      <c r="DX42" s="253"/>
      <c r="DY42" s="253"/>
      <c r="DZ42" s="253"/>
      <c r="EA42" s="253"/>
      <c r="EB42" s="253"/>
      <c r="EC42" s="253"/>
      <c r="ED42" s="253"/>
      <c r="EE42" s="253"/>
      <c r="EF42" s="253"/>
      <c r="EG42" s="253"/>
      <c r="EH42" s="253"/>
      <c r="EI42" s="253"/>
      <c r="EJ42" s="253"/>
      <c r="EK42" s="253"/>
      <c r="EL42" s="253"/>
      <c r="EM42" s="253">
        <v>20</v>
      </c>
      <c r="EN42" s="253"/>
      <c r="EO42" s="253"/>
      <c r="EP42" s="253">
        <v>40</v>
      </c>
      <c r="EQ42" s="253">
        <v>20</v>
      </c>
      <c r="ER42" s="253"/>
      <c r="ES42" s="253"/>
      <c r="ET42" s="253">
        <v>5</v>
      </c>
      <c r="EU42" s="253"/>
      <c r="EV42" s="253"/>
      <c r="EW42" s="253"/>
      <c r="EX42" s="253"/>
      <c r="EY42" s="253"/>
      <c r="EZ42" s="253"/>
      <c r="FA42" s="253"/>
      <c r="FB42" s="253"/>
      <c r="FC42" s="253"/>
      <c r="FD42" s="253"/>
      <c r="FE42" s="253"/>
      <c r="FF42" s="253"/>
      <c r="FG42" s="256"/>
      <c r="FH42" s="257" t="s">
        <v>993</v>
      </c>
      <c r="FI42" s="258" t="s">
        <v>389</v>
      </c>
      <c r="FJ42" s="258"/>
      <c r="FK42" s="258" t="s">
        <v>973</v>
      </c>
      <c r="FL42" s="259">
        <f t="shared" si="3"/>
        <v>1501</v>
      </c>
      <c r="FM42" s="260" t="s">
        <v>974</v>
      </c>
    </row>
    <row r="43" spans="1:169" s="276" customFormat="1" ht="11.4" hidden="1">
      <c r="A43" s="251" t="s">
        <v>385</v>
      </c>
      <c r="B43" s="251" t="s">
        <v>385</v>
      </c>
      <c r="C43" s="251" t="s">
        <v>893</v>
      </c>
      <c r="D43" s="251" t="s">
        <v>293</v>
      </c>
      <c r="E43" s="252" t="s">
        <v>972</v>
      </c>
      <c r="F43" s="251" t="s">
        <v>388</v>
      </c>
      <c r="G43" s="251"/>
      <c r="H43" s="253"/>
      <c r="I43" s="253"/>
      <c r="J43" s="255">
        <f>600-600</f>
        <v>0</v>
      </c>
      <c r="K43" s="253"/>
      <c r="L43" s="253"/>
      <c r="M43" s="253"/>
      <c r="N43" s="253"/>
      <c r="O43" s="253"/>
      <c r="P43" s="253"/>
      <c r="Q43" s="253"/>
      <c r="R43" s="253"/>
      <c r="S43" s="253"/>
      <c r="T43" s="253"/>
      <c r="U43" s="253"/>
      <c r="V43" s="253"/>
      <c r="W43" s="253"/>
      <c r="X43" s="253"/>
      <c r="Y43" s="253"/>
      <c r="Z43" s="253"/>
      <c r="AA43" s="253"/>
      <c r="AB43" s="253"/>
      <c r="AC43" s="253"/>
      <c r="AD43" s="253"/>
      <c r="AE43" s="253"/>
      <c r="AF43" s="253"/>
      <c r="AG43" s="253"/>
      <c r="AH43" s="253"/>
      <c r="AI43" s="253"/>
      <c r="AJ43" s="253"/>
      <c r="AK43" s="253"/>
      <c r="AL43" s="253"/>
      <c r="AM43" s="253"/>
      <c r="AN43" s="253"/>
      <c r="AO43" s="253"/>
      <c r="AP43" s="253"/>
      <c r="AQ43" s="253"/>
      <c r="AR43" s="253"/>
      <c r="AS43" s="253"/>
      <c r="AT43" s="253"/>
      <c r="AU43" s="253"/>
      <c r="AV43" s="253"/>
      <c r="AW43" s="253"/>
      <c r="AX43" s="253"/>
      <c r="AY43" s="253"/>
      <c r="AZ43" s="253"/>
      <c r="BA43" s="253"/>
      <c r="BB43" s="253"/>
      <c r="BC43" s="253"/>
      <c r="BD43" s="253"/>
      <c r="BE43" s="253"/>
      <c r="BF43" s="253"/>
      <c r="BG43" s="253"/>
      <c r="BH43" s="253"/>
      <c r="BI43" s="253"/>
      <c r="BJ43" s="253"/>
      <c r="BK43" s="253"/>
      <c r="BL43" s="253"/>
      <c r="BM43" s="253"/>
      <c r="BN43" s="253"/>
      <c r="BO43" s="253"/>
      <c r="BP43" s="253"/>
      <c r="BQ43" s="253"/>
      <c r="BR43" s="253"/>
      <c r="BS43" s="253"/>
      <c r="BT43" s="253"/>
      <c r="BU43" s="253"/>
      <c r="BV43" s="253"/>
      <c r="BW43" s="253"/>
      <c r="BX43" s="253"/>
      <c r="BY43" s="253"/>
      <c r="BZ43" s="253"/>
      <c r="CA43" s="253"/>
      <c r="CB43" s="253"/>
      <c r="CC43" s="253"/>
      <c r="CD43" s="253"/>
      <c r="CE43" s="253"/>
      <c r="CF43" s="253"/>
      <c r="CG43" s="253"/>
      <c r="CH43" s="253"/>
      <c r="CI43" s="253"/>
      <c r="CJ43" s="253"/>
      <c r="CK43" s="253"/>
      <c r="CL43" s="253"/>
      <c r="CM43" s="253"/>
      <c r="CN43" s="253">
        <v>60</v>
      </c>
      <c r="CO43" s="253"/>
      <c r="CP43" s="253"/>
      <c r="CQ43" s="253"/>
      <c r="CR43" s="253"/>
      <c r="CS43" s="253"/>
      <c r="CT43" s="253"/>
      <c r="CU43" s="253"/>
      <c r="CV43" s="253"/>
      <c r="CW43" s="253"/>
      <c r="CX43" s="253"/>
      <c r="CY43" s="253"/>
      <c r="CZ43" s="253"/>
      <c r="DA43" s="253"/>
      <c r="DB43" s="253"/>
      <c r="DC43" s="253"/>
      <c r="DD43" s="253"/>
      <c r="DE43" s="253"/>
      <c r="DF43" s="253"/>
      <c r="DG43" s="253"/>
      <c r="DH43" s="253"/>
      <c r="DI43" s="253"/>
      <c r="DJ43" s="253"/>
      <c r="DK43" s="253"/>
      <c r="DL43" s="253"/>
      <c r="DM43" s="253"/>
      <c r="DN43" s="253"/>
      <c r="DO43" s="253"/>
      <c r="DP43" s="253"/>
      <c r="DQ43" s="253"/>
      <c r="DR43" s="253"/>
      <c r="DS43" s="253"/>
      <c r="DT43" s="253"/>
      <c r="DU43" s="253"/>
      <c r="DV43" s="253"/>
      <c r="DW43" s="253"/>
      <c r="DX43" s="253"/>
      <c r="DY43" s="253"/>
      <c r="DZ43" s="253"/>
      <c r="EA43" s="253"/>
      <c r="EB43" s="253"/>
      <c r="EC43" s="253"/>
      <c r="ED43" s="253"/>
      <c r="EE43" s="253"/>
      <c r="EF43" s="253"/>
      <c r="EG43" s="253"/>
      <c r="EH43" s="253"/>
      <c r="EI43" s="253"/>
      <c r="EJ43" s="253"/>
      <c r="EK43" s="253"/>
      <c r="EL43" s="253"/>
      <c r="EM43" s="253"/>
      <c r="EN43" s="253"/>
      <c r="EO43" s="253"/>
      <c r="EP43" s="253"/>
      <c r="EQ43" s="253"/>
      <c r="ER43" s="253"/>
      <c r="ES43" s="253"/>
      <c r="ET43" s="253"/>
      <c r="EU43" s="253"/>
      <c r="EV43" s="253"/>
      <c r="EW43" s="253"/>
      <c r="EX43" s="253"/>
      <c r="EY43" s="253"/>
      <c r="EZ43" s="253"/>
      <c r="FA43" s="253"/>
      <c r="FB43" s="253"/>
      <c r="FC43" s="253"/>
      <c r="FD43" s="253"/>
      <c r="FE43" s="253"/>
      <c r="FF43" s="253"/>
      <c r="FG43" s="256"/>
      <c r="FH43" s="257" t="s">
        <v>993</v>
      </c>
      <c r="FI43" s="258" t="s">
        <v>389</v>
      </c>
      <c r="FJ43" s="258"/>
      <c r="FK43" s="258" t="s">
        <v>973</v>
      </c>
      <c r="FL43" s="259">
        <f t="shared" si="3"/>
        <v>60</v>
      </c>
      <c r="FM43" s="260" t="s">
        <v>974</v>
      </c>
    </row>
    <row r="44" spans="1:169" s="276" customFormat="1" ht="11.4" hidden="1">
      <c r="A44" s="251" t="s">
        <v>385</v>
      </c>
      <c r="B44" s="251" t="s">
        <v>385</v>
      </c>
      <c r="C44" s="251" t="s">
        <v>893</v>
      </c>
      <c r="D44" s="251" t="s">
        <v>291</v>
      </c>
      <c r="E44" s="252" t="s">
        <v>894</v>
      </c>
      <c r="F44" s="251" t="s">
        <v>388</v>
      </c>
      <c r="G44" s="251"/>
      <c r="H44" s="253"/>
      <c r="I44" s="253"/>
      <c r="J44" s="253"/>
      <c r="K44" s="253"/>
      <c r="L44" s="253"/>
      <c r="M44" s="253"/>
      <c r="N44" s="255">
        <f>100-100</f>
        <v>0</v>
      </c>
      <c r="O44" s="253"/>
      <c r="P44" s="253"/>
      <c r="Q44" s="253"/>
      <c r="R44" s="253"/>
      <c r="S44" s="253"/>
      <c r="T44" s="253"/>
      <c r="U44" s="253"/>
      <c r="V44" s="253"/>
      <c r="W44" s="253"/>
      <c r="X44" s="253"/>
      <c r="Y44" s="253"/>
      <c r="Z44" s="253"/>
      <c r="AA44" s="253"/>
      <c r="AB44" s="253"/>
      <c r="AC44" s="253"/>
      <c r="AD44" s="253"/>
      <c r="AE44" s="253"/>
      <c r="AF44" s="253"/>
      <c r="AG44" s="253"/>
      <c r="AH44" s="253"/>
      <c r="AI44" s="253"/>
      <c r="AJ44" s="253"/>
      <c r="AK44" s="253"/>
      <c r="AL44" s="253"/>
      <c r="AM44" s="253"/>
      <c r="AN44" s="253"/>
      <c r="AO44" s="253"/>
      <c r="AP44" s="253"/>
      <c r="AQ44" s="253"/>
      <c r="AR44" s="253"/>
      <c r="AS44" s="253"/>
      <c r="AT44" s="253"/>
      <c r="AU44" s="253"/>
      <c r="AV44" s="253"/>
      <c r="AW44" s="253"/>
      <c r="AX44" s="253"/>
      <c r="AY44" s="253"/>
      <c r="AZ44" s="253"/>
      <c r="BA44" s="253"/>
      <c r="BB44" s="253"/>
      <c r="BC44" s="253"/>
      <c r="BD44" s="253"/>
      <c r="BE44" s="253"/>
      <c r="BF44" s="253"/>
      <c r="BG44" s="253"/>
      <c r="BH44" s="253"/>
      <c r="BI44" s="253"/>
      <c r="BJ44" s="253"/>
      <c r="BK44" s="253"/>
      <c r="BL44" s="253"/>
      <c r="BM44" s="253"/>
      <c r="BN44" s="253"/>
      <c r="BO44" s="253"/>
      <c r="BP44" s="253"/>
      <c r="BQ44" s="253"/>
      <c r="BR44" s="253"/>
      <c r="BS44" s="253"/>
      <c r="BT44" s="253"/>
      <c r="BU44" s="253"/>
      <c r="BV44" s="253"/>
      <c r="BW44" s="253"/>
      <c r="BX44" s="253"/>
      <c r="BY44" s="253"/>
      <c r="BZ44" s="253"/>
      <c r="CA44" s="253"/>
      <c r="CB44" s="253"/>
      <c r="CC44" s="253"/>
      <c r="CD44" s="253"/>
      <c r="CE44" s="253"/>
      <c r="CF44" s="253"/>
      <c r="CG44" s="253"/>
      <c r="CH44" s="253"/>
      <c r="CI44" s="253"/>
      <c r="CJ44" s="253"/>
      <c r="CK44" s="253"/>
      <c r="CL44" s="253"/>
      <c r="CM44" s="253"/>
      <c r="CN44" s="253"/>
      <c r="CO44" s="253"/>
      <c r="CP44" s="253"/>
      <c r="CQ44" s="253"/>
      <c r="CR44" s="253"/>
      <c r="CS44" s="253"/>
      <c r="CT44" s="253"/>
      <c r="CU44" s="253"/>
      <c r="CV44" s="253"/>
      <c r="CW44" s="253"/>
      <c r="CX44" s="253"/>
      <c r="CY44" s="253"/>
      <c r="CZ44" s="253"/>
      <c r="DA44" s="253"/>
      <c r="DB44" s="253"/>
      <c r="DC44" s="253"/>
      <c r="DD44" s="253"/>
      <c r="DE44" s="253"/>
      <c r="DF44" s="253"/>
      <c r="DG44" s="253"/>
      <c r="DH44" s="253"/>
      <c r="DI44" s="253"/>
      <c r="DJ44" s="253"/>
      <c r="DK44" s="253"/>
      <c r="DL44" s="253"/>
      <c r="DM44" s="253"/>
      <c r="DN44" s="253"/>
      <c r="DO44" s="253"/>
      <c r="DP44" s="253"/>
      <c r="DQ44" s="253"/>
      <c r="DR44" s="253"/>
      <c r="DS44" s="253"/>
      <c r="DT44" s="253"/>
      <c r="DU44" s="253"/>
      <c r="DV44" s="253"/>
      <c r="DW44" s="253"/>
      <c r="DX44" s="253"/>
      <c r="DY44" s="253"/>
      <c r="DZ44" s="253"/>
      <c r="EA44" s="253"/>
      <c r="EB44" s="253"/>
      <c r="EC44" s="253"/>
      <c r="ED44" s="253"/>
      <c r="EE44" s="253"/>
      <c r="EF44" s="253"/>
      <c r="EG44" s="253"/>
      <c r="EH44" s="253"/>
      <c r="EI44" s="253"/>
      <c r="EJ44" s="253"/>
      <c r="EK44" s="253"/>
      <c r="EL44" s="253"/>
      <c r="EM44" s="253"/>
      <c r="EN44" s="253"/>
      <c r="EO44" s="253"/>
      <c r="EP44" s="253"/>
      <c r="EQ44" s="253"/>
      <c r="ER44" s="253"/>
      <c r="ES44" s="253"/>
      <c r="ET44" s="253"/>
      <c r="EU44" s="253"/>
      <c r="EV44" s="253"/>
      <c r="EW44" s="253"/>
      <c r="EX44" s="253"/>
      <c r="EY44" s="253"/>
      <c r="EZ44" s="253"/>
      <c r="FA44" s="253"/>
      <c r="FB44" s="253"/>
      <c r="FC44" s="253"/>
      <c r="FD44" s="253"/>
      <c r="FE44" s="253"/>
      <c r="FF44" s="253"/>
      <c r="FG44" s="256"/>
      <c r="FH44" s="257" t="s">
        <v>993</v>
      </c>
      <c r="FI44" s="258" t="s">
        <v>389</v>
      </c>
      <c r="FJ44" s="258"/>
      <c r="FK44" s="258" t="s">
        <v>895</v>
      </c>
      <c r="FL44" s="259">
        <f t="shared" si="3"/>
        <v>0</v>
      </c>
      <c r="FM44" s="260" t="s">
        <v>410</v>
      </c>
    </row>
    <row r="45" spans="1:169" s="276" customFormat="1" ht="11.4" hidden="1">
      <c r="A45" s="251" t="s">
        <v>385</v>
      </c>
      <c r="B45" s="251" t="s">
        <v>385</v>
      </c>
      <c r="C45" s="251" t="s">
        <v>893</v>
      </c>
      <c r="D45" s="251" t="s">
        <v>1</v>
      </c>
      <c r="E45" s="252" t="s">
        <v>894</v>
      </c>
      <c r="F45" s="251" t="s">
        <v>388</v>
      </c>
      <c r="G45" s="251"/>
      <c r="H45" s="253"/>
      <c r="I45" s="253"/>
      <c r="J45" s="253"/>
      <c r="K45" s="253"/>
      <c r="L45" s="253"/>
      <c r="M45" s="253"/>
      <c r="N45" s="253"/>
      <c r="O45" s="253"/>
      <c r="P45" s="253"/>
      <c r="Q45" s="253"/>
      <c r="R45" s="253"/>
      <c r="S45" s="253"/>
      <c r="T45" s="253"/>
      <c r="U45" s="253"/>
      <c r="V45" s="253"/>
      <c r="W45" s="253"/>
      <c r="X45" s="253"/>
      <c r="Y45" s="253"/>
      <c r="Z45" s="253"/>
      <c r="AA45" s="253"/>
      <c r="AB45" s="253"/>
      <c r="AC45" s="253"/>
      <c r="AD45" s="253"/>
      <c r="AE45" s="253"/>
      <c r="AF45" s="253"/>
      <c r="AG45" s="253"/>
      <c r="AH45" s="253"/>
      <c r="AI45" s="253"/>
      <c r="AJ45" s="253"/>
      <c r="AK45" s="253"/>
      <c r="AL45" s="253"/>
      <c r="AM45" s="253"/>
      <c r="AN45" s="253"/>
      <c r="AO45" s="253"/>
      <c r="AP45" s="253"/>
      <c r="AQ45" s="253"/>
      <c r="AR45" s="253"/>
      <c r="AS45" s="253"/>
      <c r="AT45" s="253"/>
      <c r="AU45" s="253"/>
      <c r="AV45" s="253"/>
      <c r="AW45" s="253"/>
      <c r="AX45" s="253"/>
      <c r="AY45" s="253"/>
      <c r="AZ45" s="253"/>
      <c r="BA45" s="253"/>
      <c r="BB45" s="253"/>
      <c r="BC45" s="253"/>
      <c r="BD45" s="253"/>
      <c r="BE45" s="253"/>
      <c r="BF45" s="253"/>
      <c r="BG45" s="253"/>
      <c r="BH45" s="253"/>
      <c r="BI45" s="253"/>
      <c r="BJ45" s="253"/>
      <c r="BK45" s="253"/>
      <c r="BL45" s="253"/>
      <c r="BM45" s="253"/>
      <c r="BN45" s="253"/>
      <c r="BO45" s="253"/>
      <c r="BP45" s="253"/>
      <c r="BQ45" s="253"/>
      <c r="BR45" s="253"/>
      <c r="BS45" s="253"/>
      <c r="BT45" s="253"/>
      <c r="BU45" s="253"/>
      <c r="BV45" s="253"/>
      <c r="BW45" s="253"/>
      <c r="BX45" s="253"/>
      <c r="BY45" s="253"/>
      <c r="BZ45" s="253"/>
      <c r="CA45" s="253"/>
      <c r="CB45" s="253"/>
      <c r="CC45" s="253"/>
      <c r="CD45" s="253"/>
      <c r="CE45" s="253"/>
      <c r="CF45" s="253"/>
      <c r="CG45" s="253"/>
      <c r="CH45" s="253"/>
      <c r="CI45" s="253"/>
      <c r="CJ45" s="253"/>
      <c r="CK45" s="253"/>
      <c r="CL45" s="253"/>
      <c r="CM45" s="253"/>
      <c r="CN45" s="253"/>
      <c r="CO45" s="253"/>
      <c r="CP45" s="253"/>
      <c r="CQ45" s="253"/>
      <c r="CR45" s="253"/>
      <c r="CS45" s="253"/>
      <c r="CT45" s="253"/>
      <c r="CU45" s="253"/>
      <c r="CV45" s="253"/>
      <c r="CW45" s="253"/>
      <c r="CX45" s="253"/>
      <c r="CY45" s="253"/>
      <c r="CZ45" s="253"/>
      <c r="DA45" s="253"/>
      <c r="DB45" s="253"/>
      <c r="DC45" s="253"/>
      <c r="DD45" s="253"/>
      <c r="DE45" s="253"/>
      <c r="DF45" s="253"/>
      <c r="DG45" s="253"/>
      <c r="DH45" s="253"/>
      <c r="DI45" s="253"/>
      <c r="DJ45" s="253"/>
      <c r="DK45" s="253"/>
      <c r="DL45" s="253"/>
      <c r="DM45" s="253"/>
      <c r="DN45" s="253"/>
      <c r="DO45" s="253"/>
      <c r="DP45" s="253"/>
      <c r="DQ45" s="253"/>
      <c r="DR45" s="253"/>
      <c r="DS45" s="253"/>
      <c r="DT45" s="253"/>
      <c r="DU45" s="253"/>
      <c r="DV45" s="253"/>
      <c r="DW45" s="253"/>
      <c r="DX45" s="253"/>
      <c r="DY45" s="253"/>
      <c r="DZ45" s="253"/>
      <c r="EA45" s="253"/>
      <c r="EB45" s="253"/>
      <c r="EC45" s="253"/>
      <c r="ED45" s="253"/>
      <c r="EE45" s="253"/>
      <c r="EF45" s="253"/>
      <c r="EG45" s="253"/>
      <c r="EH45" s="253"/>
      <c r="EI45" s="253"/>
      <c r="EJ45" s="253"/>
      <c r="EK45" s="253"/>
      <c r="EL45" s="253"/>
      <c r="EM45" s="253"/>
      <c r="EN45" s="253"/>
      <c r="EO45" s="253"/>
      <c r="EP45" s="253"/>
      <c r="EQ45" s="253"/>
      <c r="ER45" s="253"/>
      <c r="ES45" s="253"/>
      <c r="ET45" s="253"/>
      <c r="EU45" s="253"/>
      <c r="EV45" s="253"/>
      <c r="EW45" s="253"/>
      <c r="EX45" s="253"/>
      <c r="EY45" s="253"/>
      <c r="EZ45" s="253"/>
      <c r="FA45" s="253"/>
      <c r="FB45" s="253"/>
      <c r="FC45" s="255">
        <f>50-50</f>
        <v>0</v>
      </c>
      <c r="FD45" s="253"/>
      <c r="FE45" s="253"/>
      <c r="FF45" s="253"/>
      <c r="FG45" s="256"/>
      <c r="FH45" s="257" t="s">
        <v>993</v>
      </c>
      <c r="FI45" s="258" t="s">
        <v>389</v>
      </c>
      <c r="FJ45" s="258"/>
      <c r="FK45" s="258" t="s">
        <v>895</v>
      </c>
      <c r="FL45" s="259">
        <f t="shared" si="3"/>
        <v>0</v>
      </c>
      <c r="FM45" s="260" t="s">
        <v>410</v>
      </c>
    </row>
    <row r="46" spans="1:169">
      <c r="A46" s="251" t="s">
        <v>393</v>
      </c>
      <c r="B46" s="251" t="s">
        <v>385</v>
      </c>
      <c r="C46" s="251" t="s">
        <v>411</v>
      </c>
      <c r="D46" s="251" t="s">
        <v>291</v>
      </c>
      <c r="E46" s="252" t="s">
        <v>831</v>
      </c>
      <c r="F46" s="251" t="s">
        <v>388</v>
      </c>
      <c r="G46" s="251"/>
      <c r="H46" s="253"/>
      <c r="I46" s="253"/>
      <c r="J46" s="253"/>
      <c r="K46" s="253"/>
      <c r="L46" s="253"/>
      <c r="M46" s="253"/>
      <c r="N46" s="255">
        <f>100-100</f>
        <v>0</v>
      </c>
      <c r="O46" s="253"/>
      <c r="P46" s="253"/>
      <c r="Q46" s="253"/>
      <c r="R46" s="253"/>
      <c r="S46" s="253"/>
      <c r="T46" s="253"/>
      <c r="U46" s="253"/>
      <c r="V46" s="253"/>
      <c r="W46" s="253"/>
      <c r="X46" s="253"/>
      <c r="Y46" s="253"/>
      <c r="Z46" s="253"/>
      <c r="AA46" s="253"/>
      <c r="AB46" s="253"/>
      <c r="AC46" s="253"/>
      <c r="AD46" s="253"/>
      <c r="AE46" s="253"/>
      <c r="AF46" s="253"/>
      <c r="AG46" s="255">
        <f>100-100</f>
        <v>0</v>
      </c>
      <c r="AH46" s="253"/>
      <c r="AI46" s="253"/>
      <c r="AJ46" s="253"/>
      <c r="AK46" s="253"/>
      <c r="AL46" s="253"/>
      <c r="AM46" s="255">
        <f>100-100</f>
        <v>0</v>
      </c>
      <c r="AN46" s="253"/>
      <c r="AO46" s="253"/>
      <c r="AP46" s="253"/>
      <c r="AQ46" s="253"/>
      <c r="AR46" s="253"/>
      <c r="AS46" s="253"/>
      <c r="AT46" s="253"/>
      <c r="AU46" s="253"/>
      <c r="AV46" s="253"/>
      <c r="AW46" s="253"/>
      <c r="AX46" s="253"/>
      <c r="AY46" s="253"/>
      <c r="AZ46" s="253"/>
      <c r="BA46" s="253"/>
      <c r="BB46" s="253"/>
      <c r="BC46" s="253"/>
      <c r="BD46" s="253"/>
      <c r="BE46" s="253"/>
      <c r="BF46" s="253"/>
      <c r="BG46" s="253"/>
      <c r="BH46" s="253"/>
      <c r="BI46" s="253"/>
      <c r="BJ46" s="253"/>
      <c r="BK46" s="253"/>
      <c r="BL46" s="253"/>
      <c r="BM46" s="253"/>
      <c r="BN46" s="253"/>
      <c r="BO46" s="253"/>
      <c r="BP46" s="253"/>
      <c r="BQ46" s="253"/>
      <c r="BR46" s="253"/>
      <c r="BS46" s="253"/>
      <c r="BT46" s="253"/>
      <c r="BU46" s="253"/>
      <c r="BV46" s="253"/>
      <c r="BW46" s="253"/>
      <c r="BX46" s="253"/>
      <c r="BY46" s="253"/>
      <c r="BZ46" s="253"/>
      <c r="CA46" s="253"/>
      <c r="CB46" s="253"/>
      <c r="CC46" s="253"/>
      <c r="CD46" s="253"/>
      <c r="CE46" s="253"/>
      <c r="CF46" s="253"/>
      <c r="CG46" s="253"/>
      <c r="CH46" s="253"/>
      <c r="CI46" s="253"/>
      <c r="CJ46" s="253"/>
      <c r="CK46" s="253"/>
      <c r="CL46" s="253"/>
      <c r="CM46" s="253"/>
      <c r="CN46" s="253"/>
      <c r="CO46" s="253"/>
      <c r="CP46" s="253"/>
      <c r="CQ46" s="253"/>
      <c r="CR46" s="253"/>
      <c r="CS46" s="253"/>
      <c r="CT46" s="253"/>
      <c r="CU46" s="253"/>
      <c r="CV46" s="253"/>
      <c r="CW46" s="253"/>
      <c r="CX46" s="253"/>
      <c r="CY46" s="253"/>
      <c r="CZ46" s="253"/>
      <c r="DA46" s="253"/>
      <c r="DB46" s="253"/>
      <c r="DC46" s="253"/>
      <c r="DD46" s="253"/>
      <c r="DE46" s="253"/>
      <c r="DF46" s="253"/>
      <c r="DG46" s="253"/>
      <c r="DH46" s="253"/>
      <c r="DI46" s="253"/>
      <c r="DJ46" s="253"/>
      <c r="DK46" s="253"/>
      <c r="DL46" s="253"/>
      <c r="DM46" s="253"/>
      <c r="DN46" s="253"/>
      <c r="DO46" s="253"/>
      <c r="DP46" s="253"/>
      <c r="DQ46" s="253"/>
      <c r="DR46" s="253"/>
      <c r="DS46" s="253"/>
      <c r="DT46" s="253"/>
      <c r="DU46" s="253"/>
      <c r="DV46" s="253"/>
      <c r="DW46" s="253"/>
      <c r="DX46" s="253"/>
      <c r="DY46" s="253"/>
      <c r="DZ46" s="253"/>
      <c r="EA46" s="253"/>
      <c r="EB46" s="253"/>
      <c r="EC46" s="253"/>
      <c r="ED46" s="253"/>
      <c r="EE46" s="253"/>
      <c r="EF46" s="253"/>
      <c r="EG46" s="253"/>
      <c r="EH46" s="253"/>
      <c r="EI46" s="253"/>
      <c r="EJ46" s="253"/>
      <c r="EK46" s="253"/>
      <c r="EL46" s="253"/>
      <c r="EM46" s="253"/>
      <c r="EN46" s="253"/>
      <c r="EO46" s="253"/>
      <c r="EP46" s="253"/>
      <c r="EQ46" s="253"/>
      <c r="ER46" s="253"/>
      <c r="ES46" s="253"/>
      <c r="ET46" s="253"/>
      <c r="EU46" s="253"/>
      <c r="EV46" s="253"/>
      <c r="EW46" s="253"/>
      <c r="EX46" s="253"/>
      <c r="EY46" s="253"/>
      <c r="EZ46" s="253"/>
      <c r="FA46" s="253"/>
      <c r="FB46" s="253"/>
      <c r="FC46" s="253"/>
      <c r="FD46" s="253"/>
      <c r="FE46" s="253"/>
      <c r="FF46" s="253"/>
      <c r="FG46" s="256"/>
      <c r="FH46" s="257" t="s">
        <v>993</v>
      </c>
      <c r="FI46" s="258" t="s">
        <v>389</v>
      </c>
      <c r="FJ46" s="258" t="s">
        <v>833</v>
      </c>
      <c r="FK46" s="258" t="s">
        <v>834</v>
      </c>
      <c r="FL46" s="259">
        <f t="shared" si="3"/>
        <v>0</v>
      </c>
      <c r="FM46" s="260" t="s">
        <v>433</v>
      </c>
    </row>
    <row r="47" spans="1:169">
      <c r="A47" s="251" t="s">
        <v>393</v>
      </c>
      <c r="B47" s="251" t="s">
        <v>385</v>
      </c>
      <c r="C47" s="251" t="s">
        <v>411</v>
      </c>
      <c r="D47" s="251" t="s">
        <v>1</v>
      </c>
      <c r="E47" s="252" t="s">
        <v>831</v>
      </c>
      <c r="F47" s="251" t="s">
        <v>388</v>
      </c>
      <c r="G47" s="251"/>
      <c r="H47" s="253"/>
      <c r="I47" s="253"/>
      <c r="J47" s="253"/>
      <c r="K47" s="253"/>
      <c r="L47" s="255">
        <f>100-100</f>
        <v>0</v>
      </c>
      <c r="M47" s="253"/>
      <c r="N47" s="253"/>
      <c r="O47" s="255">
        <f>100-100</f>
        <v>0</v>
      </c>
      <c r="P47" s="255">
        <f>100-100</f>
        <v>0</v>
      </c>
      <c r="Q47" s="253"/>
      <c r="R47" s="253"/>
      <c r="S47" s="253"/>
      <c r="T47" s="253"/>
      <c r="U47" s="253"/>
      <c r="V47" s="253"/>
      <c r="W47" s="253"/>
      <c r="X47" s="253"/>
      <c r="Y47" s="253"/>
      <c r="Z47" s="253"/>
      <c r="AA47" s="253"/>
      <c r="AB47" s="255">
        <f>100-100</f>
        <v>0</v>
      </c>
      <c r="AC47" s="255">
        <f>100-100</f>
        <v>0</v>
      </c>
      <c r="AD47" s="253"/>
      <c r="AE47" s="253"/>
      <c r="AF47" s="253"/>
      <c r="AG47" s="253"/>
      <c r="AH47" s="253"/>
      <c r="AI47" s="253"/>
      <c r="AJ47" s="253"/>
      <c r="AK47" s="255">
        <f>100-100</f>
        <v>0</v>
      </c>
      <c r="AL47" s="253"/>
      <c r="AM47" s="253"/>
      <c r="AN47" s="253"/>
      <c r="AO47" s="253"/>
      <c r="AP47" s="253"/>
      <c r="AQ47" s="253"/>
      <c r="AR47" s="253"/>
      <c r="AS47" s="253"/>
      <c r="AT47" s="255">
        <f>100-100</f>
        <v>0</v>
      </c>
      <c r="AU47" s="253"/>
      <c r="AV47" s="253"/>
      <c r="AW47" s="253"/>
      <c r="AX47" s="253"/>
      <c r="AY47" s="253"/>
      <c r="AZ47" s="253"/>
      <c r="BA47" s="253"/>
      <c r="BB47" s="253"/>
      <c r="BC47" s="253"/>
      <c r="BD47" s="255">
        <f>100-100</f>
        <v>0</v>
      </c>
      <c r="BE47" s="253"/>
      <c r="BF47" s="253"/>
      <c r="BG47" s="253"/>
      <c r="BH47" s="253"/>
      <c r="BI47" s="253"/>
      <c r="BJ47" s="253"/>
      <c r="BK47" s="253"/>
      <c r="BL47" s="253"/>
      <c r="BM47" s="253"/>
      <c r="BN47" s="253"/>
      <c r="BO47" s="253"/>
      <c r="BP47" s="253"/>
      <c r="BQ47" s="253"/>
      <c r="BR47" s="253"/>
      <c r="BS47" s="253"/>
      <c r="BT47" s="253"/>
      <c r="BU47" s="253"/>
      <c r="BV47" s="253"/>
      <c r="BW47" s="253"/>
      <c r="BX47" s="253"/>
      <c r="BY47" s="253"/>
      <c r="BZ47" s="253"/>
      <c r="CA47" s="253"/>
      <c r="CB47" s="253"/>
      <c r="CC47" s="253"/>
      <c r="CD47" s="253"/>
      <c r="CE47" s="253"/>
      <c r="CF47" s="253"/>
      <c r="CG47" s="253"/>
      <c r="CH47" s="253"/>
      <c r="CI47" s="253"/>
      <c r="CJ47" s="253"/>
      <c r="CK47" s="253"/>
      <c r="CL47" s="253"/>
      <c r="CM47" s="253"/>
      <c r="CN47" s="253"/>
      <c r="CO47" s="253"/>
      <c r="CP47" s="253"/>
      <c r="CQ47" s="253"/>
      <c r="CR47" s="253"/>
      <c r="CS47" s="253"/>
      <c r="CT47" s="253"/>
      <c r="CU47" s="253"/>
      <c r="CV47" s="253"/>
      <c r="CW47" s="253"/>
      <c r="CX47" s="253"/>
      <c r="CY47" s="253"/>
      <c r="CZ47" s="253"/>
      <c r="DA47" s="253"/>
      <c r="DB47" s="253"/>
      <c r="DC47" s="253"/>
      <c r="DD47" s="253"/>
      <c r="DE47" s="253"/>
      <c r="DF47" s="253"/>
      <c r="DG47" s="253"/>
      <c r="DH47" s="253"/>
      <c r="DI47" s="253"/>
      <c r="DJ47" s="253"/>
      <c r="DK47" s="253"/>
      <c r="DL47" s="253"/>
      <c r="DM47" s="253"/>
      <c r="DN47" s="253"/>
      <c r="DO47" s="253"/>
      <c r="DP47" s="253"/>
      <c r="DQ47" s="253"/>
      <c r="DR47" s="253"/>
      <c r="DS47" s="253"/>
      <c r="DT47" s="253"/>
      <c r="DU47" s="253"/>
      <c r="DV47" s="253"/>
      <c r="DW47" s="253"/>
      <c r="DX47" s="253"/>
      <c r="DY47" s="253"/>
      <c r="DZ47" s="253"/>
      <c r="EA47" s="255">
        <f>100-100</f>
        <v>0</v>
      </c>
      <c r="EB47" s="255">
        <f>100-100</f>
        <v>0</v>
      </c>
      <c r="EC47" s="253"/>
      <c r="ED47" s="253"/>
      <c r="EE47" s="255">
        <f>100-100</f>
        <v>0</v>
      </c>
      <c r="EF47" s="253"/>
      <c r="EG47" s="253"/>
      <c r="EH47" s="255">
        <f>100-100</f>
        <v>0</v>
      </c>
      <c r="EI47" s="253"/>
      <c r="EJ47" s="255">
        <f>100-100</f>
        <v>0</v>
      </c>
      <c r="EK47" s="253"/>
      <c r="EL47" s="253"/>
      <c r="EM47" s="253"/>
      <c r="EN47" s="253"/>
      <c r="EO47" s="253"/>
      <c r="EP47" s="253"/>
      <c r="EQ47" s="253"/>
      <c r="ER47" s="253"/>
      <c r="ES47" s="253"/>
      <c r="ET47" s="253"/>
      <c r="EU47" s="253"/>
      <c r="EV47" s="253"/>
      <c r="EW47" s="253"/>
      <c r="EX47" s="253"/>
      <c r="EY47" s="253"/>
      <c r="EZ47" s="253"/>
      <c r="FA47" s="253"/>
      <c r="FB47" s="253"/>
      <c r="FC47" s="253"/>
      <c r="FD47" s="253"/>
      <c r="FE47" s="253"/>
      <c r="FF47" s="253"/>
      <c r="FG47" s="256"/>
      <c r="FH47" s="257" t="s">
        <v>993</v>
      </c>
      <c r="FI47" s="258" t="s">
        <v>389</v>
      </c>
      <c r="FJ47" s="258" t="s">
        <v>833</v>
      </c>
      <c r="FK47" s="258" t="s">
        <v>834</v>
      </c>
      <c r="FL47" s="259">
        <f t="shared" si="3"/>
        <v>0</v>
      </c>
      <c r="FM47" s="260" t="s">
        <v>433</v>
      </c>
    </row>
    <row r="48" spans="1:169">
      <c r="A48" s="251" t="s">
        <v>417</v>
      </c>
      <c r="B48" s="251" t="s">
        <v>385</v>
      </c>
      <c r="C48" s="251" t="s">
        <v>411</v>
      </c>
      <c r="D48" s="251" t="s">
        <v>291</v>
      </c>
      <c r="E48" s="252" t="s">
        <v>975</v>
      </c>
      <c r="F48" s="251" t="s">
        <v>388</v>
      </c>
      <c r="G48" s="251"/>
      <c r="H48" s="253"/>
      <c r="I48" s="253"/>
      <c r="J48" s="253"/>
      <c r="K48" s="253"/>
      <c r="L48" s="253"/>
      <c r="M48" s="253"/>
      <c r="N48" s="253"/>
      <c r="O48" s="253"/>
      <c r="P48" s="253"/>
      <c r="Q48" s="253"/>
      <c r="R48" s="253"/>
      <c r="S48" s="253"/>
      <c r="T48" s="253"/>
      <c r="U48" s="253"/>
      <c r="V48" s="253"/>
      <c r="W48" s="253"/>
      <c r="X48" s="253"/>
      <c r="Y48" s="253"/>
      <c r="Z48" s="253"/>
      <c r="AA48" s="253"/>
      <c r="AB48" s="253"/>
      <c r="AC48" s="253"/>
      <c r="AD48" s="253"/>
      <c r="AE48" s="253"/>
      <c r="AF48" s="253"/>
      <c r="AG48" s="253"/>
      <c r="AH48" s="255">
        <f>50-50</f>
        <v>0</v>
      </c>
      <c r="AI48" s="253"/>
      <c r="AJ48" s="253"/>
      <c r="AK48" s="253"/>
      <c r="AL48" s="253"/>
      <c r="AM48" s="253"/>
      <c r="AN48" s="253"/>
      <c r="AO48" s="253"/>
      <c r="AP48" s="255">
        <f>20-20</f>
        <v>0</v>
      </c>
      <c r="AQ48" s="253"/>
      <c r="AR48" s="253"/>
      <c r="AS48" s="253"/>
      <c r="AT48" s="253"/>
      <c r="AU48" s="253"/>
      <c r="AV48" s="253"/>
      <c r="AW48" s="253"/>
      <c r="AX48" s="253"/>
      <c r="AY48" s="253"/>
      <c r="AZ48" s="253"/>
      <c r="BA48" s="253"/>
      <c r="BB48" s="253"/>
      <c r="BC48" s="253"/>
      <c r="BD48" s="253"/>
      <c r="BE48" s="253"/>
      <c r="BF48" s="253"/>
      <c r="BG48" s="253"/>
      <c r="BH48" s="253"/>
      <c r="BI48" s="253"/>
      <c r="BJ48" s="253"/>
      <c r="BK48" s="253"/>
      <c r="BL48" s="253"/>
      <c r="BM48" s="253"/>
      <c r="BN48" s="253"/>
      <c r="BO48" s="253"/>
      <c r="BP48" s="253"/>
      <c r="BQ48" s="253"/>
      <c r="BR48" s="253"/>
      <c r="BS48" s="253"/>
      <c r="BT48" s="253"/>
      <c r="BU48" s="253"/>
      <c r="BV48" s="253"/>
      <c r="BW48" s="253"/>
      <c r="BX48" s="253"/>
      <c r="BY48" s="253"/>
      <c r="BZ48" s="253"/>
      <c r="CA48" s="253"/>
      <c r="CB48" s="253"/>
      <c r="CC48" s="253"/>
      <c r="CD48" s="253"/>
      <c r="CE48" s="253"/>
      <c r="CF48" s="253"/>
      <c r="CG48" s="253"/>
      <c r="CH48" s="253"/>
      <c r="CI48" s="253"/>
      <c r="CJ48" s="253"/>
      <c r="CK48" s="253"/>
      <c r="CL48" s="253"/>
      <c r="CM48" s="253"/>
      <c r="CN48" s="253"/>
      <c r="CO48" s="253"/>
      <c r="CP48" s="253"/>
      <c r="CQ48" s="253"/>
      <c r="CR48" s="253"/>
      <c r="CS48" s="253"/>
      <c r="CT48" s="253"/>
      <c r="CU48" s="253"/>
      <c r="CV48" s="253"/>
      <c r="CW48" s="253"/>
      <c r="CX48" s="253"/>
      <c r="CY48" s="253"/>
      <c r="CZ48" s="253"/>
      <c r="DA48" s="253"/>
      <c r="DB48" s="253"/>
      <c r="DC48" s="253"/>
      <c r="DD48" s="253"/>
      <c r="DE48" s="253"/>
      <c r="DF48" s="253"/>
      <c r="DG48" s="253"/>
      <c r="DH48" s="253"/>
      <c r="DI48" s="253"/>
      <c r="DJ48" s="253"/>
      <c r="DK48" s="253"/>
      <c r="DL48" s="253"/>
      <c r="DM48" s="253"/>
      <c r="DN48" s="253"/>
      <c r="DO48" s="253"/>
      <c r="DP48" s="253"/>
      <c r="DQ48" s="253"/>
      <c r="DR48" s="253"/>
      <c r="DS48" s="253"/>
      <c r="DT48" s="253"/>
      <c r="DU48" s="253"/>
      <c r="DV48" s="253"/>
      <c r="DW48" s="253"/>
      <c r="DX48" s="253"/>
      <c r="DY48" s="253"/>
      <c r="DZ48" s="253"/>
      <c r="EA48" s="253"/>
      <c r="EB48" s="253"/>
      <c r="EC48" s="253"/>
      <c r="ED48" s="253"/>
      <c r="EE48" s="253"/>
      <c r="EF48" s="253"/>
      <c r="EG48" s="253"/>
      <c r="EH48" s="253"/>
      <c r="EI48" s="253"/>
      <c r="EJ48" s="253"/>
      <c r="EK48" s="253"/>
      <c r="EL48" s="253"/>
      <c r="EM48" s="253"/>
      <c r="EN48" s="253"/>
      <c r="EO48" s="253"/>
      <c r="EP48" s="253"/>
      <c r="EQ48" s="253"/>
      <c r="ER48" s="253"/>
      <c r="ES48" s="253"/>
      <c r="ET48" s="253"/>
      <c r="EU48" s="253"/>
      <c r="EV48" s="253"/>
      <c r="EW48" s="253"/>
      <c r="EX48" s="253"/>
      <c r="EY48" s="253"/>
      <c r="EZ48" s="253"/>
      <c r="FA48" s="253"/>
      <c r="FB48" s="253"/>
      <c r="FC48" s="253"/>
      <c r="FD48" s="253"/>
      <c r="FE48" s="253"/>
      <c r="FF48" s="253"/>
      <c r="FG48" s="256"/>
      <c r="FH48" s="257" t="s">
        <v>993</v>
      </c>
      <c r="FI48" s="258" t="s">
        <v>389</v>
      </c>
      <c r="FJ48" s="258" t="s">
        <v>976</v>
      </c>
      <c r="FK48" s="258" t="s">
        <v>977</v>
      </c>
      <c r="FL48" s="259">
        <f t="shared" si="3"/>
        <v>0</v>
      </c>
      <c r="FM48" s="260" t="s">
        <v>433</v>
      </c>
    </row>
    <row r="49" spans="1:169">
      <c r="A49" s="251" t="s">
        <v>417</v>
      </c>
      <c r="B49" s="251" t="s">
        <v>385</v>
      </c>
      <c r="C49" s="251" t="s">
        <v>411</v>
      </c>
      <c r="D49" s="251" t="s">
        <v>1</v>
      </c>
      <c r="E49" s="252" t="s">
        <v>975</v>
      </c>
      <c r="F49" s="251" t="s">
        <v>388</v>
      </c>
      <c r="G49" s="251"/>
      <c r="H49" s="253"/>
      <c r="I49" s="253"/>
      <c r="J49" s="253"/>
      <c r="K49" s="253"/>
      <c r="L49" s="253"/>
      <c r="M49" s="253"/>
      <c r="N49" s="253"/>
      <c r="O49" s="253"/>
      <c r="P49" s="253"/>
      <c r="Q49" s="253"/>
      <c r="R49" s="253"/>
      <c r="S49" s="253"/>
      <c r="T49" s="253"/>
      <c r="U49" s="253"/>
      <c r="V49" s="253"/>
      <c r="W49" s="253"/>
      <c r="X49" s="253"/>
      <c r="Y49" s="253"/>
      <c r="Z49" s="253"/>
      <c r="AA49" s="253"/>
      <c r="AB49" s="253"/>
      <c r="AC49" s="253"/>
      <c r="AD49" s="255">
        <f>40-40</f>
        <v>0</v>
      </c>
      <c r="AE49" s="253"/>
      <c r="AF49" s="253"/>
      <c r="AG49" s="253"/>
      <c r="AH49" s="253"/>
      <c r="AI49" s="253"/>
      <c r="AJ49" s="253"/>
      <c r="AK49" s="253"/>
      <c r="AL49" s="253"/>
      <c r="AM49" s="253"/>
      <c r="AN49" s="253"/>
      <c r="AO49" s="253"/>
      <c r="AP49" s="253"/>
      <c r="AQ49" s="253"/>
      <c r="AR49" s="253"/>
      <c r="AS49" s="253"/>
      <c r="AT49" s="255">
        <f>40-40</f>
        <v>0</v>
      </c>
      <c r="AU49" s="253"/>
      <c r="AV49" s="253"/>
      <c r="AW49" s="253"/>
      <c r="AX49" s="253"/>
      <c r="AY49" s="253"/>
      <c r="AZ49" s="253"/>
      <c r="BA49" s="253"/>
      <c r="BB49" s="253"/>
      <c r="BC49" s="253"/>
      <c r="BD49" s="255">
        <f>20-20</f>
        <v>0</v>
      </c>
      <c r="BE49" s="253"/>
      <c r="BF49" s="253"/>
      <c r="BG49" s="253"/>
      <c r="BH49" s="253"/>
      <c r="BI49" s="253"/>
      <c r="BJ49" s="253"/>
      <c r="BK49" s="253"/>
      <c r="BL49" s="253"/>
      <c r="BM49" s="253"/>
      <c r="BN49" s="253"/>
      <c r="BO49" s="253"/>
      <c r="BP49" s="253"/>
      <c r="BQ49" s="253"/>
      <c r="BR49" s="253"/>
      <c r="BS49" s="253"/>
      <c r="BT49" s="253"/>
      <c r="BU49" s="253"/>
      <c r="BV49" s="253"/>
      <c r="BW49" s="253"/>
      <c r="BX49" s="253"/>
      <c r="BY49" s="253"/>
      <c r="BZ49" s="253"/>
      <c r="CA49" s="253"/>
      <c r="CB49" s="253"/>
      <c r="CC49" s="253"/>
      <c r="CD49" s="253"/>
      <c r="CE49" s="253"/>
      <c r="CF49" s="253"/>
      <c r="CG49" s="253"/>
      <c r="CH49" s="253"/>
      <c r="CI49" s="253"/>
      <c r="CJ49" s="253"/>
      <c r="CK49" s="253"/>
      <c r="CL49" s="253"/>
      <c r="CM49" s="253"/>
      <c r="CN49" s="253"/>
      <c r="CO49" s="253"/>
      <c r="CP49" s="253"/>
      <c r="CQ49" s="253"/>
      <c r="CR49" s="253"/>
      <c r="CS49" s="253"/>
      <c r="CT49" s="253"/>
      <c r="CU49" s="253"/>
      <c r="CV49" s="253"/>
      <c r="CW49" s="253"/>
      <c r="CX49" s="253"/>
      <c r="CY49" s="253"/>
      <c r="CZ49" s="253"/>
      <c r="DA49" s="253"/>
      <c r="DB49" s="253"/>
      <c r="DC49" s="253"/>
      <c r="DD49" s="253"/>
      <c r="DE49" s="253"/>
      <c r="DF49" s="253"/>
      <c r="DG49" s="253"/>
      <c r="DH49" s="253"/>
      <c r="DI49" s="253"/>
      <c r="DJ49" s="253"/>
      <c r="DK49" s="253"/>
      <c r="DL49" s="253"/>
      <c r="DM49" s="253"/>
      <c r="DN49" s="253"/>
      <c r="DO49" s="253"/>
      <c r="DP49" s="253"/>
      <c r="DQ49" s="253"/>
      <c r="DR49" s="253"/>
      <c r="DS49" s="253"/>
      <c r="DT49" s="253"/>
      <c r="DU49" s="253"/>
      <c r="DV49" s="253"/>
      <c r="DW49" s="253"/>
      <c r="DX49" s="253"/>
      <c r="DY49" s="253"/>
      <c r="DZ49" s="253"/>
      <c r="EA49" s="253"/>
      <c r="EB49" s="253"/>
      <c r="EC49" s="253"/>
      <c r="ED49" s="253"/>
      <c r="EE49" s="253"/>
      <c r="EF49" s="253"/>
      <c r="EG49" s="253"/>
      <c r="EH49" s="253"/>
      <c r="EI49" s="253"/>
      <c r="EJ49" s="253"/>
      <c r="EK49" s="253"/>
      <c r="EL49" s="253"/>
      <c r="EM49" s="253"/>
      <c r="EN49" s="253"/>
      <c r="EO49" s="255">
        <f>10-10</f>
        <v>0</v>
      </c>
      <c r="EP49" s="253"/>
      <c r="EQ49" s="253"/>
      <c r="ER49" s="253"/>
      <c r="ES49" s="253"/>
      <c r="ET49" s="253"/>
      <c r="EU49" s="253"/>
      <c r="EV49" s="253"/>
      <c r="EW49" s="253"/>
      <c r="EX49" s="253"/>
      <c r="EY49" s="253"/>
      <c r="EZ49" s="253"/>
      <c r="FA49" s="253"/>
      <c r="FB49" s="253"/>
      <c r="FC49" s="253"/>
      <c r="FD49" s="253"/>
      <c r="FE49" s="253"/>
      <c r="FF49" s="253"/>
      <c r="FG49" s="256"/>
      <c r="FH49" s="257" t="s">
        <v>993</v>
      </c>
      <c r="FI49" s="258" t="s">
        <v>389</v>
      </c>
      <c r="FJ49" s="258" t="s">
        <v>976</v>
      </c>
      <c r="FK49" s="258" t="s">
        <v>977</v>
      </c>
      <c r="FL49" s="259">
        <f t="shared" si="3"/>
        <v>0</v>
      </c>
      <c r="FM49" s="260" t="s">
        <v>433</v>
      </c>
    </row>
    <row r="50" spans="1:169">
      <c r="A50" s="251" t="s">
        <v>393</v>
      </c>
      <c r="B50" s="251" t="s">
        <v>385</v>
      </c>
      <c r="C50" s="251" t="s">
        <v>411</v>
      </c>
      <c r="D50" s="251" t="s">
        <v>291</v>
      </c>
      <c r="E50" s="252" t="s">
        <v>412</v>
      </c>
      <c r="F50" s="251" t="s">
        <v>388</v>
      </c>
      <c r="G50" s="251"/>
      <c r="H50" s="253"/>
      <c r="I50" s="253"/>
      <c r="J50" s="253"/>
      <c r="K50" s="253"/>
      <c r="L50" s="253"/>
      <c r="M50" s="253"/>
      <c r="N50" s="255">
        <f>100-100</f>
        <v>0</v>
      </c>
      <c r="O50" s="253"/>
      <c r="P50" s="253"/>
      <c r="Q50" s="253"/>
      <c r="R50" s="253"/>
      <c r="S50" s="253"/>
      <c r="T50" s="253"/>
      <c r="U50" s="253"/>
      <c r="V50" s="253"/>
      <c r="W50" s="253"/>
      <c r="X50" s="253"/>
      <c r="Y50" s="253"/>
      <c r="Z50" s="253"/>
      <c r="AA50" s="253"/>
      <c r="AB50" s="253"/>
      <c r="AC50" s="253"/>
      <c r="AD50" s="253"/>
      <c r="AE50" s="255">
        <f>200-200</f>
        <v>0</v>
      </c>
      <c r="AF50" s="253"/>
      <c r="AG50" s="255">
        <f>200-200</f>
        <v>0</v>
      </c>
      <c r="AH50" s="253"/>
      <c r="AI50" s="253"/>
      <c r="AJ50" s="253"/>
      <c r="AK50" s="253"/>
      <c r="AL50" s="253"/>
      <c r="AM50" s="255">
        <f>200-200</f>
        <v>0</v>
      </c>
      <c r="AN50" s="253"/>
      <c r="AO50" s="253"/>
      <c r="AP50" s="255">
        <f>200-200</f>
        <v>0</v>
      </c>
      <c r="AQ50" s="255">
        <f>200-200</f>
        <v>0</v>
      </c>
      <c r="AR50" s="253"/>
      <c r="AS50" s="253"/>
      <c r="AT50" s="253"/>
      <c r="AU50" s="253"/>
      <c r="AV50" s="253"/>
      <c r="AW50" s="253"/>
      <c r="AX50" s="253"/>
      <c r="AY50" s="253"/>
      <c r="AZ50" s="253"/>
      <c r="BA50" s="253"/>
      <c r="BB50" s="253"/>
      <c r="BC50" s="253"/>
      <c r="BD50" s="253"/>
      <c r="BE50" s="253"/>
      <c r="BF50" s="253"/>
      <c r="BG50" s="253"/>
      <c r="BH50" s="253"/>
      <c r="BI50" s="253"/>
      <c r="BJ50" s="253"/>
      <c r="BK50" s="253"/>
      <c r="BL50" s="253"/>
      <c r="BM50" s="253"/>
      <c r="BN50" s="253"/>
      <c r="BO50" s="253"/>
      <c r="BP50" s="253"/>
      <c r="BQ50" s="253"/>
      <c r="BR50" s="253"/>
      <c r="BS50" s="253"/>
      <c r="BT50" s="253"/>
      <c r="BU50" s="253"/>
      <c r="BV50" s="253"/>
      <c r="BW50" s="253"/>
      <c r="BX50" s="253"/>
      <c r="BY50" s="253"/>
      <c r="BZ50" s="253"/>
      <c r="CA50" s="253"/>
      <c r="CB50" s="253"/>
      <c r="CC50" s="253"/>
      <c r="CD50" s="253"/>
      <c r="CE50" s="253"/>
      <c r="CF50" s="253"/>
      <c r="CG50" s="253"/>
      <c r="CH50" s="253"/>
      <c r="CI50" s="253"/>
      <c r="CJ50" s="253"/>
      <c r="CK50" s="253"/>
      <c r="CL50" s="253"/>
      <c r="CM50" s="253"/>
      <c r="CN50" s="253"/>
      <c r="CO50" s="253"/>
      <c r="CP50" s="253"/>
      <c r="CQ50" s="253"/>
      <c r="CR50" s="253"/>
      <c r="CS50" s="253"/>
      <c r="CT50" s="253"/>
      <c r="CU50" s="253"/>
      <c r="CV50" s="253"/>
      <c r="CW50" s="253"/>
      <c r="CX50" s="253"/>
      <c r="CY50" s="253"/>
      <c r="CZ50" s="253"/>
      <c r="DA50" s="253"/>
      <c r="DB50" s="253"/>
      <c r="DC50" s="253"/>
      <c r="DD50" s="253"/>
      <c r="DE50" s="253"/>
      <c r="DF50" s="253"/>
      <c r="DG50" s="253"/>
      <c r="DH50" s="253"/>
      <c r="DI50" s="253"/>
      <c r="DJ50" s="253"/>
      <c r="DK50" s="253"/>
      <c r="DL50" s="253"/>
      <c r="DM50" s="253"/>
      <c r="DN50" s="253"/>
      <c r="DO50" s="253"/>
      <c r="DP50" s="253"/>
      <c r="DQ50" s="253"/>
      <c r="DR50" s="253"/>
      <c r="DS50" s="253"/>
      <c r="DT50" s="253"/>
      <c r="DU50" s="253"/>
      <c r="DV50" s="253"/>
      <c r="DW50" s="253"/>
      <c r="DX50" s="253"/>
      <c r="DY50" s="253"/>
      <c r="DZ50" s="253"/>
      <c r="EA50" s="253"/>
      <c r="EB50" s="253"/>
      <c r="EC50" s="253"/>
      <c r="ED50" s="253"/>
      <c r="EE50" s="253"/>
      <c r="EF50" s="253"/>
      <c r="EG50" s="253"/>
      <c r="EH50" s="253"/>
      <c r="EI50" s="253"/>
      <c r="EJ50" s="253"/>
      <c r="EK50" s="253"/>
      <c r="EL50" s="253"/>
      <c r="EM50" s="253"/>
      <c r="EN50" s="253"/>
      <c r="EO50" s="253"/>
      <c r="EP50" s="253"/>
      <c r="EQ50" s="253"/>
      <c r="ER50" s="253"/>
      <c r="ES50" s="253"/>
      <c r="ET50" s="253"/>
      <c r="EU50" s="253"/>
      <c r="EV50" s="253"/>
      <c r="EW50" s="253"/>
      <c r="EX50" s="253"/>
      <c r="EY50" s="253"/>
      <c r="EZ50" s="253"/>
      <c r="FA50" s="253"/>
      <c r="FB50" s="253"/>
      <c r="FC50" s="253"/>
      <c r="FD50" s="253"/>
      <c r="FE50" s="253"/>
      <c r="FF50" s="253"/>
      <c r="FG50" s="256"/>
      <c r="FH50" s="257" t="s">
        <v>993</v>
      </c>
      <c r="FI50" s="258" t="s">
        <v>389</v>
      </c>
      <c r="FJ50" s="258"/>
      <c r="FK50" s="258" t="s">
        <v>413</v>
      </c>
      <c r="FL50" s="259">
        <f t="shared" si="3"/>
        <v>0</v>
      </c>
      <c r="FM50" s="260" t="s">
        <v>414</v>
      </c>
    </row>
    <row r="51" spans="1:169">
      <c r="A51" s="251" t="s">
        <v>393</v>
      </c>
      <c r="B51" s="251" t="s">
        <v>385</v>
      </c>
      <c r="C51" s="251" t="s">
        <v>411</v>
      </c>
      <c r="D51" s="251" t="s">
        <v>1</v>
      </c>
      <c r="E51" s="252" t="s">
        <v>412</v>
      </c>
      <c r="F51" s="251" t="s">
        <v>388</v>
      </c>
      <c r="G51" s="251"/>
      <c r="H51" s="253"/>
      <c r="I51" s="253"/>
      <c r="J51" s="253"/>
      <c r="K51" s="253"/>
      <c r="L51" s="253"/>
      <c r="M51" s="253"/>
      <c r="N51" s="253"/>
      <c r="O51" s="255">
        <f>100-100</f>
        <v>0</v>
      </c>
      <c r="P51" s="253"/>
      <c r="Q51" s="253"/>
      <c r="R51" s="253"/>
      <c r="S51" s="253"/>
      <c r="T51" s="253"/>
      <c r="U51" s="255">
        <f>200-200</f>
        <v>0</v>
      </c>
      <c r="V51" s="253"/>
      <c r="W51" s="253"/>
      <c r="X51" s="253"/>
      <c r="Y51" s="253"/>
      <c r="Z51" s="255">
        <f>200-200</f>
        <v>0</v>
      </c>
      <c r="AA51" s="253"/>
      <c r="AB51" s="255">
        <f>300-300</f>
        <v>0</v>
      </c>
      <c r="AC51" s="253"/>
      <c r="AD51" s="253"/>
      <c r="AE51" s="253"/>
      <c r="AF51" s="253"/>
      <c r="AG51" s="253"/>
      <c r="AH51" s="253"/>
      <c r="AI51" s="255">
        <f>200-200</f>
        <v>0</v>
      </c>
      <c r="AJ51" s="255">
        <f>200-200</f>
        <v>0</v>
      </c>
      <c r="AK51" s="255">
        <f>200-200</f>
        <v>0</v>
      </c>
      <c r="AL51" s="253"/>
      <c r="AM51" s="253"/>
      <c r="AN51" s="253"/>
      <c r="AO51" s="253"/>
      <c r="AP51" s="253"/>
      <c r="AQ51" s="253"/>
      <c r="AR51" s="253"/>
      <c r="AS51" s="253"/>
      <c r="AT51" s="255">
        <f>400-400</f>
        <v>0</v>
      </c>
      <c r="AU51" s="253"/>
      <c r="AV51" s="253"/>
      <c r="AW51" s="253"/>
      <c r="AX51" s="253"/>
      <c r="AY51" s="253"/>
      <c r="AZ51" s="255">
        <f>200-200</f>
        <v>0</v>
      </c>
      <c r="BA51" s="253"/>
      <c r="BB51" s="253"/>
      <c r="BC51" s="253"/>
      <c r="BD51" s="255">
        <f>400-400</f>
        <v>0</v>
      </c>
      <c r="BE51" s="255">
        <f>200-200</f>
        <v>0</v>
      </c>
      <c r="BF51" s="255">
        <f>200-200</f>
        <v>0</v>
      </c>
      <c r="BG51" s="253"/>
      <c r="BH51" s="253"/>
      <c r="BI51" s="253"/>
      <c r="BJ51" s="253"/>
      <c r="BK51" s="253"/>
      <c r="BL51" s="253"/>
      <c r="BM51" s="253"/>
      <c r="BN51" s="253"/>
      <c r="BO51" s="253"/>
      <c r="BP51" s="253"/>
      <c r="BQ51" s="253"/>
      <c r="BR51" s="253"/>
      <c r="BS51" s="253"/>
      <c r="BT51" s="253"/>
      <c r="BU51" s="253"/>
      <c r="BV51" s="253"/>
      <c r="BW51" s="253"/>
      <c r="BX51" s="253"/>
      <c r="BY51" s="253"/>
      <c r="BZ51" s="253"/>
      <c r="CA51" s="253"/>
      <c r="CB51" s="253"/>
      <c r="CC51" s="253"/>
      <c r="CD51" s="253"/>
      <c r="CE51" s="253"/>
      <c r="CF51" s="253"/>
      <c r="CG51" s="253"/>
      <c r="CH51" s="253"/>
      <c r="CI51" s="253"/>
      <c r="CJ51" s="253"/>
      <c r="CK51" s="253"/>
      <c r="CL51" s="253"/>
      <c r="CM51" s="253"/>
      <c r="CN51" s="253"/>
      <c r="CO51" s="253"/>
      <c r="CP51" s="253"/>
      <c r="CQ51" s="253"/>
      <c r="CR51" s="253"/>
      <c r="CS51" s="253"/>
      <c r="CT51" s="253"/>
      <c r="CU51" s="253"/>
      <c r="CV51" s="253"/>
      <c r="CW51" s="253"/>
      <c r="CX51" s="253"/>
      <c r="CY51" s="253"/>
      <c r="CZ51" s="253"/>
      <c r="DA51" s="253"/>
      <c r="DB51" s="253"/>
      <c r="DC51" s="253"/>
      <c r="DD51" s="253"/>
      <c r="DE51" s="253"/>
      <c r="DF51" s="253"/>
      <c r="DG51" s="253"/>
      <c r="DH51" s="253"/>
      <c r="DI51" s="253"/>
      <c r="DJ51" s="253"/>
      <c r="DK51" s="253"/>
      <c r="DL51" s="253"/>
      <c r="DM51" s="253"/>
      <c r="DN51" s="253"/>
      <c r="DO51" s="253"/>
      <c r="DP51" s="253"/>
      <c r="DQ51" s="253"/>
      <c r="DR51" s="253"/>
      <c r="DS51" s="253"/>
      <c r="DT51" s="253"/>
      <c r="DU51" s="253"/>
      <c r="DV51" s="253"/>
      <c r="DW51" s="255">
        <f>100-100</f>
        <v>0</v>
      </c>
      <c r="DX51" s="255">
        <f>100-100</f>
        <v>0</v>
      </c>
      <c r="DY51" s="253"/>
      <c r="DZ51" s="253"/>
      <c r="EA51" s="253"/>
      <c r="EB51" s="253"/>
      <c r="EC51" s="253"/>
      <c r="ED51" s="253"/>
      <c r="EE51" s="255">
        <f>100-100</f>
        <v>0</v>
      </c>
      <c r="EF51" s="253"/>
      <c r="EG51" s="253"/>
      <c r="EH51" s="253"/>
      <c r="EI51" s="253"/>
      <c r="EJ51" s="255">
        <f>100-100</f>
        <v>0</v>
      </c>
      <c r="EK51" s="253"/>
      <c r="EL51" s="253"/>
      <c r="EM51" s="253"/>
      <c r="EN51" s="253"/>
      <c r="EO51" s="253"/>
      <c r="EP51" s="253"/>
      <c r="EQ51" s="253"/>
      <c r="ER51" s="253"/>
      <c r="ES51" s="253"/>
      <c r="ET51" s="253"/>
      <c r="EU51" s="253"/>
      <c r="EV51" s="253"/>
      <c r="EW51" s="253"/>
      <c r="EX51" s="253"/>
      <c r="EY51" s="253"/>
      <c r="EZ51" s="253"/>
      <c r="FA51" s="253"/>
      <c r="FB51" s="253"/>
      <c r="FC51" s="253"/>
      <c r="FD51" s="253"/>
      <c r="FE51" s="253"/>
      <c r="FF51" s="253"/>
      <c r="FG51" s="256"/>
      <c r="FH51" s="257" t="s">
        <v>993</v>
      </c>
      <c r="FI51" s="258" t="s">
        <v>389</v>
      </c>
      <c r="FJ51" s="258"/>
      <c r="FK51" s="258" t="s">
        <v>413</v>
      </c>
      <c r="FL51" s="259">
        <f t="shared" si="3"/>
        <v>0</v>
      </c>
      <c r="FM51" s="260" t="s">
        <v>414</v>
      </c>
    </row>
    <row r="52" spans="1:169">
      <c r="A52" s="251" t="s">
        <v>385</v>
      </c>
      <c r="B52" s="251" t="s">
        <v>385</v>
      </c>
      <c r="C52" s="251" t="s">
        <v>411</v>
      </c>
      <c r="D52" s="251" t="s">
        <v>291</v>
      </c>
      <c r="E52" s="252" t="s">
        <v>415</v>
      </c>
      <c r="F52" s="251" t="s">
        <v>388</v>
      </c>
      <c r="G52" s="251"/>
      <c r="H52" s="253"/>
      <c r="I52" s="253"/>
      <c r="J52" s="253"/>
      <c r="K52" s="253"/>
      <c r="L52" s="253"/>
      <c r="M52" s="253"/>
      <c r="N52" s="253"/>
      <c r="O52" s="253"/>
      <c r="P52" s="253"/>
      <c r="Q52" s="253"/>
      <c r="R52" s="253"/>
      <c r="S52" s="253"/>
      <c r="T52" s="253"/>
      <c r="U52" s="253"/>
      <c r="V52" s="253"/>
      <c r="W52" s="253"/>
      <c r="X52" s="253"/>
      <c r="Y52" s="253"/>
      <c r="Z52" s="253"/>
      <c r="AA52" s="253"/>
      <c r="AB52" s="253"/>
      <c r="AC52" s="253"/>
      <c r="AD52" s="253"/>
      <c r="AE52" s="255">
        <f>200-200</f>
        <v>0</v>
      </c>
      <c r="AF52" s="253"/>
      <c r="AG52" s="255">
        <f>200-200</f>
        <v>0</v>
      </c>
      <c r="AH52" s="255">
        <f>200-200</f>
        <v>0</v>
      </c>
      <c r="AI52" s="253"/>
      <c r="AJ52" s="253"/>
      <c r="AK52" s="253"/>
      <c r="AL52" s="253"/>
      <c r="AM52" s="255">
        <f>150-150</f>
        <v>0</v>
      </c>
      <c r="AN52" s="253"/>
      <c r="AO52" s="253"/>
      <c r="AP52" s="255">
        <f>600-600</f>
        <v>0</v>
      </c>
      <c r="AQ52" s="255">
        <f>600-600</f>
        <v>0</v>
      </c>
      <c r="AR52" s="253"/>
      <c r="AS52" s="253"/>
      <c r="AT52" s="253"/>
      <c r="AU52" s="253"/>
      <c r="AV52" s="253"/>
      <c r="AW52" s="253"/>
      <c r="AX52" s="253"/>
      <c r="AY52" s="253"/>
      <c r="AZ52" s="253"/>
      <c r="BA52" s="253"/>
      <c r="BB52" s="253"/>
      <c r="BC52" s="253"/>
      <c r="BD52" s="253"/>
      <c r="BE52" s="253"/>
      <c r="BF52" s="253"/>
      <c r="BG52" s="253"/>
      <c r="BH52" s="253"/>
      <c r="BI52" s="253"/>
      <c r="BJ52" s="253"/>
      <c r="BK52" s="253"/>
      <c r="BL52" s="253"/>
      <c r="BM52" s="253"/>
      <c r="BN52" s="253"/>
      <c r="BO52" s="253"/>
      <c r="BP52" s="253"/>
      <c r="BQ52" s="253"/>
      <c r="BR52" s="253"/>
      <c r="BS52" s="253"/>
      <c r="BT52" s="253"/>
      <c r="BU52" s="253"/>
      <c r="BV52" s="253"/>
      <c r="BW52" s="253"/>
      <c r="BX52" s="253"/>
      <c r="BY52" s="253"/>
      <c r="BZ52" s="253"/>
      <c r="CA52" s="253"/>
      <c r="CB52" s="253"/>
      <c r="CC52" s="253"/>
      <c r="CD52" s="253"/>
      <c r="CE52" s="253"/>
      <c r="CF52" s="253"/>
      <c r="CG52" s="253"/>
      <c r="CH52" s="253"/>
      <c r="CI52" s="253"/>
      <c r="CJ52" s="253"/>
      <c r="CK52" s="253"/>
      <c r="CL52" s="253"/>
      <c r="CM52" s="253"/>
      <c r="CN52" s="253"/>
      <c r="CO52" s="253"/>
      <c r="CP52" s="253"/>
      <c r="CQ52" s="253"/>
      <c r="CR52" s="253"/>
      <c r="CS52" s="253"/>
      <c r="CT52" s="253"/>
      <c r="CU52" s="253"/>
      <c r="CV52" s="253"/>
      <c r="CW52" s="253"/>
      <c r="CX52" s="253"/>
      <c r="CY52" s="253"/>
      <c r="CZ52" s="253"/>
      <c r="DA52" s="253"/>
      <c r="DB52" s="253"/>
      <c r="DC52" s="253"/>
      <c r="DD52" s="253"/>
      <c r="DE52" s="253"/>
      <c r="DF52" s="253"/>
      <c r="DG52" s="253"/>
      <c r="DH52" s="253"/>
      <c r="DI52" s="253"/>
      <c r="DJ52" s="253"/>
      <c r="DK52" s="253"/>
      <c r="DL52" s="253"/>
      <c r="DM52" s="253"/>
      <c r="DN52" s="253"/>
      <c r="DO52" s="253"/>
      <c r="DP52" s="253"/>
      <c r="DQ52" s="253"/>
      <c r="DR52" s="253"/>
      <c r="DS52" s="253"/>
      <c r="DT52" s="253"/>
      <c r="DU52" s="253"/>
      <c r="DV52" s="253"/>
      <c r="DW52" s="253"/>
      <c r="DX52" s="253"/>
      <c r="DY52" s="253"/>
      <c r="DZ52" s="253"/>
      <c r="EA52" s="253"/>
      <c r="EB52" s="253"/>
      <c r="EC52" s="253"/>
      <c r="ED52" s="253"/>
      <c r="EE52" s="253"/>
      <c r="EF52" s="253"/>
      <c r="EG52" s="253"/>
      <c r="EH52" s="253"/>
      <c r="EI52" s="253"/>
      <c r="EJ52" s="253"/>
      <c r="EK52" s="253"/>
      <c r="EL52" s="253"/>
      <c r="EM52" s="253"/>
      <c r="EN52" s="253"/>
      <c r="EO52" s="253"/>
      <c r="EP52" s="253"/>
      <c r="EQ52" s="253"/>
      <c r="ER52" s="253"/>
      <c r="ES52" s="253"/>
      <c r="ET52" s="253"/>
      <c r="EU52" s="253"/>
      <c r="EV52" s="253"/>
      <c r="EW52" s="253"/>
      <c r="EX52" s="253"/>
      <c r="EY52" s="253"/>
      <c r="EZ52" s="253"/>
      <c r="FA52" s="253"/>
      <c r="FB52" s="253"/>
      <c r="FC52" s="253"/>
      <c r="FD52" s="253"/>
      <c r="FE52" s="253"/>
      <c r="FF52" s="253"/>
      <c r="FG52" s="256"/>
      <c r="FH52" s="257" t="s">
        <v>993</v>
      </c>
      <c r="FI52" s="258" t="s">
        <v>389</v>
      </c>
      <c r="FJ52" s="258"/>
      <c r="FK52" s="258" t="s">
        <v>416</v>
      </c>
      <c r="FL52" s="259">
        <f t="shared" si="3"/>
        <v>0</v>
      </c>
      <c r="FM52" s="260" t="s">
        <v>414</v>
      </c>
    </row>
    <row r="53" spans="1:169">
      <c r="A53" s="251" t="s">
        <v>385</v>
      </c>
      <c r="B53" s="251" t="s">
        <v>385</v>
      </c>
      <c r="C53" s="251" t="s">
        <v>411</v>
      </c>
      <c r="D53" s="251" t="s">
        <v>1</v>
      </c>
      <c r="E53" s="252" t="s">
        <v>415</v>
      </c>
      <c r="F53" s="251" t="s">
        <v>388</v>
      </c>
      <c r="G53" s="251"/>
      <c r="H53" s="253"/>
      <c r="I53" s="253"/>
      <c r="J53" s="253"/>
      <c r="K53" s="253"/>
      <c r="L53" s="253"/>
      <c r="M53" s="253"/>
      <c r="N53" s="253"/>
      <c r="O53" s="253"/>
      <c r="P53" s="253"/>
      <c r="Q53" s="253"/>
      <c r="R53" s="253"/>
      <c r="S53" s="253"/>
      <c r="T53" s="253"/>
      <c r="U53" s="253"/>
      <c r="V53" s="253"/>
      <c r="W53" s="253"/>
      <c r="X53" s="253"/>
      <c r="Y53" s="253"/>
      <c r="Z53" s="255">
        <f>200-200</f>
        <v>0</v>
      </c>
      <c r="AA53" s="253"/>
      <c r="AB53" s="255">
        <f>200-200</f>
        <v>0</v>
      </c>
      <c r="AC53" s="255">
        <f>200-200</f>
        <v>0</v>
      </c>
      <c r="AD53" s="255">
        <f>200-200</f>
        <v>0</v>
      </c>
      <c r="AE53" s="253"/>
      <c r="AF53" s="253"/>
      <c r="AG53" s="253"/>
      <c r="AH53" s="253"/>
      <c r="AI53" s="253"/>
      <c r="AJ53" s="253"/>
      <c r="AK53" s="253"/>
      <c r="AL53" s="253"/>
      <c r="AM53" s="253"/>
      <c r="AN53" s="253"/>
      <c r="AO53" s="255">
        <f>300-300</f>
        <v>0</v>
      </c>
      <c r="AP53" s="253"/>
      <c r="AQ53" s="253"/>
      <c r="AR53" s="253"/>
      <c r="AS53" s="253"/>
      <c r="AT53" s="255">
        <f>600-600</f>
        <v>0</v>
      </c>
      <c r="AU53" s="253"/>
      <c r="AV53" s="253"/>
      <c r="AW53" s="253"/>
      <c r="AX53" s="253"/>
      <c r="AY53" s="253"/>
      <c r="AZ53" s="253"/>
      <c r="BA53" s="253"/>
      <c r="BB53" s="253"/>
      <c r="BC53" s="253"/>
      <c r="BD53" s="253"/>
      <c r="BE53" s="255">
        <f>50-50</f>
        <v>0</v>
      </c>
      <c r="BF53" s="253"/>
      <c r="BG53" s="253"/>
      <c r="BH53" s="253"/>
      <c r="BI53" s="253"/>
      <c r="BJ53" s="253"/>
      <c r="BK53" s="253"/>
      <c r="BL53" s="253"/>
      <c r="BM53" s="253"/>
      <c r="BN53" s="253"/>
      <c r="BO53" s="253"/>
      <c r="BP53" s="253"/>
      <c r="BQ53" s="253"/>
      <c r="BR53" s="253"/>
      <c r="BS53" s="253"/>
      <c r="BT53" s="253"/>
      <c r="BU53" s="253"/>
      <c r="BV53" s="253"/>
      <c r="BW53" s="253"/>
      <c r="BX53" s="253"/>
      <c r="BY53" s="253"/>
      <c r="BZ53" s="253"/>
      <c r="CA53" s="253"/>
      <c r="CB53" s="253"/>
      <c r="CC53" s="253"/>
      <c r="CD53" s="253"/>
      <c r="CE53" s="253"/>
      <c r="CF53" s="253"/>
      <c r="CG53" s="253"/>
      <c r="CH53" s="253"/>
      <c r="CI53" s="253"/>
      <c r="CJ53" s="253"/>
      <c r="CK53" s="253"/>
      <c r="CL53" s="253"/>
      <c r="CM53" s="253"/>
      <c r="CN53" s="253"/>
      <c r="CO53" s="253"/>
      <c r="CP53" s="253"/>
      <c r="CQ53" s="253"/>
      <c r="CR53" s="253"/>
      <c r="CS53" s="253"/>
      <c r="CT53" s="253"/>
      <c r="CU53" s="253"/>
      <c r="CV53" s="253"/>
      <c r="CW53" s="253"/>
      <c r="CX53" s="253"/>
      <c r="CY53" s="253"/>
      <c r="CZ53" s="253"/>
      <c r="DA53" s="253"/>
      <c r="DB53" s="253"/>
      <c r="DC53" s="253"/>
      <c r="DD53" s="253"/>
      <c r="DE53" s="253"/>
      <c r="DF53" s="253"/>
      <c r="DG53" s="253"/>
      <c r="DH53" s="253"/>
      <c r="DI53" s="253"/>
      <c r="DJ53" s="253"/>
      <c r="DK53" s="253"/>
      <c r="DL53" s="253"/>
      <c r="DM53" s="253"/>
      <c r="DN53" s="253"/>
      <c r="DO53" s="253"/>
      <c r="DP53" s="253"/>
      <c r="DQ53" s="253"/>
      <c r="DR53" s="253"/>
      <c r="DS53" s="253"/>
      <c r="DT53" s="253"/>
      <c r="DU53" s="253"/>
      <c r="DV53" s="253"/>
      <c r="DW53" s="255">
        <f>250-250</f>
        <v>0</v>
      </c>
      <c r="DX53" s="255">
        <f>250-250</f>
        <v>0</v>
      </c>
      <c r="DY53" s="253"/>
      <c r="DZ53" s="253"/>
      <c r="EA53" s="255">
        <f>250-250</f>
        <v>0</v>
      </c>
      <c r="EB53" s="255">
        <f>250-250</f>
        <v>0</v>
      </c>
      <c r="EC53" s="253"/>
      <c r="ED53" s="253"/>
      <c r="EE53" s="255">
        <f>250-250</f>
        <v>0</v>
      </c>
      <c r="EF53" s="255">
        <f>400-400</f>
        <v>0</v>
      </c>
      <c r="EG53" s="255">
        <f>400-400</f>
        <v>0</v>
      </c>
      <c r="EH53" s="255">
        <f>400-400</f>
        <v>0</v>
      </c>
      <c r="EI53" s="255">
        <f>400-400</f>
        <v>0</v>
      </c>
      <c r="EJ53" s="255">
        <f>400-400</f>
        <v>0</v>
      </c>
      <c r="EK53" s="253"/>
      <c r="EL53" s="253"/>
      <c r="EM53" s="253"/>
      <c r="EN53" s="253"/>
      <c r="EO53" s="253"/>
      <c r="EP53" s="253"/>
      <c r="EQ53" s="253"/>
      <c r="ER53" s="253"/>
      <c r="ES53" s="253"/>
      <c r="ET53" s="253"/>
      <c r="EU53" s="253"/>
      <c r="EV53" s="253"/>
      <c r="EW53" s="253"/>
      <c r="EX53" s="253"/>
      <c r="EY53" s="253"/>
      <c r="EZ53" s="253"/>
      <c r="FA53" s="253"/>
      <c r="FB53" s="253"/>
      <c r="FC53" s="253"/>
      <c r="FD53" s="253"/>
      <c r="FE53" s="253"/>
      <c r="FF53" s="253"/>
      <c r="FG53" s="256"/>
      <c r="FH53" s="257" t="s">
        <v>993</v>
      </c>
      <c r="FI53" s="258" t="s">
        <v>389</v>
      </c>
      <c r="FJ53" s="258"/>
      <c r="FK53" s="258" t="s">
        <v>416</v>
      </c>
      <c r="FL53" s="259">
        <f t="shared" si="3"/>
        <v>0</v>
      </c>
      <c r="FM53" s="260" t="s">
        <v>414</v>
      </c>
    </row>
    <row r="54" spans="1:169">
      <c r="A54" s="251" t="s">
        <v>393</v>
      </c>
      <c r="B54" s="251" t="s">
        <v>385</v>
      </c>
      <c r="C54" s="251" t="s">
        <v>411</v>
      </c>
      <c r="D54" s="251" t="s">
        <v>291</v>
      </c>
      <c r="E54" s="252" t="s">
        <v>897</v>
      </c>
      <c r="F54" s="251" t="s">
        <v>388</v>
      </c>
      <c r="G54" s="251"/>
      <c r="H54" s="253"/>
      <c r="I54" s="253"/>
      <c r="J54" s="253"/>
      <c r="K54" s="253"/>
      <c r="L54" s="253"/>
      <c r="M54" s="253"/>
      <c r="N54" s="253"/>
      <c r="O54" s="253"/>
      <c r="P54" s="253"/>
      <c r="Q54" s="253"/>
      <c r="R54" s="253"/>
      <c r="S54" s="253"/>
      <c r="T54" s="253"/>
      <c r="U54" s="253"/>
      <c r="V54" s="253"/>
      <c r="W54" s="253"/>
      <c r="X54" s="253"/>
      <c r="Y54" s="253"/>
      <c r="Z54" s="253"/>
      <c r="AA54" s="253"/>
      <c r="AB54" s="253"/>
      <c r="AC54" s="253"/>
      <c r="AD54" s="253"/>
      <c r="AE54" s="255">
        <f>50-50</f>
        <v>0</v>
      </c>
      <c r="AF54" s="253"/>
      <c r="AG54" s="253"/>
      <c r="AH54" s="255">
        <f>50-50</f>
        <v>0</v>
      </c>
      <c r="AI54" s="253"/>
      <c r="AJ54" s="253"/>
      <c r="AK54" s="253"/>
      <c r="AL54" s="253"/>
      <c r="AM54" s="253"/>
      <c r="AN54" s="253"/>
      <c r="AO54" s="253"/>
      <c r="AP54" s="253"/>
      <c r="AQ54" s="255">
        <f>50-50</f>
        <v>0</v>
      </c>
      <c r="AR54" s="253"/>
      <c r="AS54" s="253"/>
      <c r="AT54" s="253"/>
      <c r="AU54" s="253"/>
      <c r="AV54" s="253"/>
      <c r="AW54" s="253"/>
      <c r="AX54" s="253"/>
      <c r="AY54" s="253"/>
      <c r="AZ54" s="253"/>
      <c r="BA54" s="253"/>
      <c r="BB54" s="253"/>
      <c r="BC54" s="253"/>
      <c r="BD54" s="253"/>
      <c r="BE54" s="253"/>
      <c r="BF54" s="253"/>
      <c r="BG54" s="253"/>
      <c r="BH54" s="253"/>
      <c r="BI54" s="253"/>
      <c r="BJ54" s="253"/>
      <c r="BK54" s="253"/>
      <c r="BL54" s="253"/>
      <c r="BM54" s="253"/>
      <c r="BN54" s="253"/>
      <c r="BO54" s="253"/>
      <c r="BP54" s="253"/>
      <c r="BQ54" s="253"/>
      <c r="BR54" s="253"/>
      <c r="BS54" s="253"/>
      <c r="BT54" s="253"/>
      <c r="BU54" s="253"/>
      <c r="BV54" s="253"/>
      <c r="BW54" s="253"/>
      <c r="BX54" s="253"/>
      <c r="BY54" s="253"/>
      <c r="BZ54" s="253"/>
      <c r="CA54" s="253"/>
      <c r="CB54" s="253"/>
      <c r="CC54" s="253"/>
      <c r="CD54" s="253"/>
      <c r="CE54" s="253"/>
      <c r="CF54" s="253"/>
      <c r="CG54" s="253"/>
      <c r="CH54" s="253"/>
      <c r="CI54" s="253"/>
      <c r="CJ54" s="253"/>
      <c r="CK54" s="253"/>
      <c r="CL54" s="253"/>
      <c r="CM54" s="253"/>
      <c r="CN54" s="253"/>
      <c r="CO54" s="253"/>
      <c r="CP54" s="253"/>
      <c r="CQ54" s="253"/>
      <c r="CR54" s="253"/>
      <c r="CS54" s="253"/>
      <c r="CT54" s="253"/>
      <c r="CU54" s="253"/>
      <c r="CV54" s="253"/>
      <c r="CW54" s="253"/>
      <c r="CX54" s="253"/>
      <c r="CY54" s="253"/>
      <c r="CZ54" s="253"/>
      <c r="DA54" s="253"/>
      <c r="DB54" s="253"/>
      <c r="DC54" s="253"/>
      <c r="DD54" s="253"/>
      <c r="DE54" s="253"/>
      <c r="DF54" s="253"/>
      <c r="DG54" s="253"/>
      <c r="DH54" s="253"/>
      <c r="DI54" s="253"/>
      <c r="DJ54" s="253"/>
      <c r="DK54" s="253"/>
      <c r="DL54" s="253"/>
      <c r="DM54" s="253"/>
      <c r="DN54" s="253"/>
      <c r="DO54" s="253"/>
      <c r="DP54" s="253"/>
      <c r="DQ54" s="253"/>
      <c r="DR54" s="253"/>
      <c r="DS54" s="253"/>
      <c r="DT54" s="253"/>
      <c r="DU54" s="253"/>
      <c r="DV54" s="253"/>
      <c r="DW54" s="253"/>
      <c r="DX54" s="253"/>
      <c r="DY54" s="253"/>
      <c r="DZ54" s="253"/>
      <c r="EA54" s="253"/>
      <c r="EB54" s="253"/>
      <c r="EC54" s="253"/>
      <c r="ED54" s="253"/>
      <c r="EE54" s="253"/>
      <c r="EF54" s="253"/>
      <c r="EG54" s="253"/>
      <c r="EH54" s="253"/>
      <c r="EI54" s="253"/>
      <c r="EJ54" s="253"/>
      <c r="EK54" s="253"/>
      <c r="EL54" s="253"/>
      <c r="EM54" s="253"/>
      <c r="EN54" s="253"/>
      <c r="EO54" s="253"/>
      <c r="EP54" s="253"/>
      <c r="EQ54" s="253"/>
      <c r="ER54" s="253"/>
      <c r="ES54" s="253"/>
      <c r="ET54" s="253"/>
      <c r="EU54" s="253"/>
      <c r="EV54" s="253"/>
      <c r="EW54" s="253"/>
      <c r="EX54" s="253"/>
      <c r="EY54" s="253"/>
      <c r="EZ54" s="253"/>
      <c r="FA54" s="253"/>
      <c r="FB54" s="253"/>
      <c r="FC54" s="253"/>
      <c r="FD54" s="253"/>
      <c r="FE54" s="253"/>
      <c r="FF54" s="253"/>
      <c r="FG54" s="256"/>
      <c r="FH54" s="257" t="s">
        <v>993</v>
      </c>
      <c r="FI54" s="258" t="s">
        <v>389</v>
      </c>
      <c r="FJ54" s="258" t="s">
        <v>899</v>
      </c>
      <c r="FK54" s="258" t="s">
        <v>900</v>
      </c>
      <c r="FL54" s="259">
        <f t="shared" si="3"/>
        <v>0</v>
      </c>
      <c r="FM54" s="260" t="s">
        <v>421</v>
      </c>
    </row>
    <row r="55" spans="1:169">
      <c r="A55" s="251" t="s">
        <v>393</v>
      </c>
      <c r="B55" s="251" t="s">
        <v>385</v>
      </c>
      <c r="C55" s="251" t="s">
        <v>411</v>
      </c>
      <c r="D55" s="251" t="s">
        <v>1</v>
      </c>
      <c r="E55" s="252" t="s">
        <v>897</v>
      </c>
      <c r="F55" s="251" t="s">
        <v>388</v>
      </c>
      <c r="G55" s="251"/>
      <c r="H55" s="253"/>
      <c r="I55" s="253"/>
      <c r="J55" s="253"/>
      <c r="K55" s="253"/>
      <c r="L55" s="253"/>
      <c r="M55" s="253"/>
      <c r="N55" s="253"/>
      <c r="O55" s="253"/>
      <c r="P55" s="253"/>
      <c r="Q55" s="253"/>
      <c r="R55" s="253"/>
      <c r="S55" s="253"/>
      <c r="T55" s="253"/>
      <c r="U55" s="253"/>
      <c r="V55" s="253"/>
      <c r="W55" s="253"/>
      <c r="X55" s="253"/>
      <c r="Y55" s="253"/>
      <c r="Z55" s="253"/>
      <c r="AA55" s="253"/>
      <c r="AB55" s="253"/>
      <c r="AC55" s="253"/>
      <c r="AD55" s="253"/>
      <c r="AE55" s="253"/>
      <c r="AF55" s="253"/>
      <c r="AG55" s="253"/>
      <c r="AH55" s="253"/>
      <c r="AI55" s="253"/>
      <c r="AJ55" s="253"/>
      <c r="AK55" s="253"/>
      <c r="AL55" s="253"/>
      <c r="AM55" s="253"/>
      <c r="AN55" s="253"/>
      <c r="AO55" s="253"/>
      <c r="AP55" s="253"/>
      <c r="AQ55" s="253"/>
      <c r="AR55" s="253"/>
      <c r="AS55" s="253"/>
      <c r="AT55" s="255">
        <f>50-50</f>
        <v>0</v>
      </c>
      <c r="AU55" s="253"/>
      <c r="AV55" s="253"/>
      <c r="AW55" s="253"/>
      <c r="AX55" s="253"/>
      <c r="AY55" s="253"/>
      <c r="AZ55" s="253"/>
      <c r="BA55" s="253"/>
      <c r="BB55" s="253"/>
      <c r="BC55" s="253"/>
      <c r="BD55" s="255">
        <f>100-100</f>
        <v>0</v>
      </c>
      <c r="BE55" s="253"/>
      <c r="BF55" s="253"/>
      <c r="BG55" s="253"/>
      <c r="BH55" s="253"/>
      <c r="BI55" s="253"/>
      <c r="BJ55" s="253"/>
      <c r="BK55" s="253"/>
      <c r="BL55" s="253"/>
      <c r="BM55" s="253"/>
      <c r="BN55" s="253"/>
      <c r="BO55" s="253"/>
      <c r="BP55" s="253"/>
      <c r="BQ55" s="253"/>
      <c r="BR55" s="253"/>
      <c r="BS55" s="253"/>
      <c r="BT55" s="253"/>
      <c r="BU55" s="253"/>
      <c r="BV55" s="253"/>
      <c r="BW55" s="253"/>
      <c r="BX55" s="253"/>
      <c r="BY55" s="253"/>
      <c r="BZ55" s="253"/>
      <c r="CA55" s="253"/>
      <c r="CB55" s="253"/>
      <c r="CC55" s="253"/>
      <c r="CD55" s="253"/>
      <c r="CE55" s="253"/>
      <c r="CF55" s="253"/>
      <c r="CG55" s="253"/>
      <c r="CH55" s="253"/>
      <c r="CI55" s="253"/>
      <c r="CJ55" s="253"/>
      <c r="CK55" s="253"/>
      <c r="CL55" s="253"/>
      <c r="CM55" s="253"/>
      <c r="CN55" s="253"/>
      <c r="CO55" s="253"/>
      <c r="CP55" s="253"/>
      <c r="CQ55" s="253"/>
      <c r="CR55" s="253"/>
      <c r="CS55" s="253"/>
      <c r="CT55" s="253"/>
      <c r="CU55" s="253"/>
      <c r="CV55" s="253"/>
      <c r="CW55" s="253"/>
      <c r="CX55" s="253"/>
      <c r="CY55" s="253"/>
      <c r="CZ55" s="253"/>
      <c r="DA55" s="253"/>
      <c r="DB55" s="253"/>
      <c r="DC55" s="253"/>
      <c r="DD55" s="253"/>
      <c r="DE55" s="253"/>
      <c r="DF55" s="253"/>
      <c r="DG55" s="253"/>
      <c r="DH55" s="253"/>
      <c r="DI55" s="253"/>
      <c r="DJ55" s="253"/>
      <c r="DK55" s="253"/>
      <c r="DL55" s="253"/>
      <c r="DM55" s="253"/>
      <c r="DN55" s="253"/>
      <c r="DO55" s="253"/>
      <c r="DP55" s="253"/>
      <c r="DQ55" s="253"/>
      <c r="DR55" s="253"/>
      <c r="DS55" s="253"/>
      <c r="DT55" s="253"/>
      <c r="DU55" s="253"/>
      <c r="DV55" s="253"/>
      <c r="DW55" s="253"/>
      <c r="DX55" s="253"/>
      <c r="DY55" s="253"/>
      <c r="DZ55" s="253"/>
      <c r="EA55" s="253"/>
      <c r="EB55" s="253"/>
      <c r="EC55" s="253"/>
      <c r="ED55" s="253"/>
      <c r="EE55" s="253"/>
      <c r="EF55" s="253"/>
      <c r="EG55" s="253"/>
      <c r="EH55" s="253"/>
      <c r="EI55" s="253"/>
      <c r="EJ55" s="253"/>
      <c r="EK55" s="253"/>
      <c r="EL55" s="253"/>
      <c r="EM55" s="253"/>
      <c r="EN55" s="253"/>
      <c r="EO55" s="253"/>
      <c r="EP55" s="253"/>
      <c r="EQ55" s="253"/>
      <c r="ER55" s="253"/>
      <c r="ES55" s="253"/>
      <c r="ET55" s="253"/>
      <c r="EU55" s="253"/>
      <c r="EV55" s="253"/>
      <c r="EW55" s="253"/>
      <c r="EX55" s="253"/>
      <c r="EY55" s="253"/>
      <c r="EZ55" s="253"/>
      <c r="FA55" s="253"/>
      <c r="FB55" s="253"/>
      <c r="FC55" s="253"/>
      <c r="FD55" s="253"/>
      <c r="FE55" s="253"/>
      <c r="FF55" s="253"/>
      <c r="FG55" s="256"/>
      <c r="FH55" s="257" t="s">
        <v>993</v>
      </c>
      <c r="FI55" s="258" t="s">
        <v>389</v>
      </c>
      <c r="FJ55" s="258" t="s">
        <v>899</v>
      </c>
      <c r="FK55" s="258" t="s">
        <v>900</v>
      </c>
      <c r="FL55" s="259">
        <f t="shared" si="3"/>
        <v>0</v>
      </c>
      <c r="FM55" s="260" t="s">
        <v>421</v>
      </c>
    </row>
    <row r="56" spans="1:169">
      <c r="A56" s="251" t="s">
        <v>393</v>
      </c>
      <c r="B56" s="251" t="s">
        <v>385</v>
      </c>
      <c r="C56" s="251" t="s">
        <v>411</v>
      </c>
      <c r="D56" s="251" t="s">
        <v>291</v>
      </c>
      <c r="E56" s="252" t="s">
        <v>901</v>
      </c>
      <c r="F56" s="251" t="s">
        <v>388</v>
      </c>
      <c r="G56" s="251"/>
      <c r="H56" s="253"/>
      <c r="I56" s="253"/>
      <c r="J56" s="253"/>
      <c r="K56" s="253"/>
      <c r="L56" s="253"/>
      <c r="M56" s="253"/>
      <c r="N56" s="255">
        <f>200-200</f>
        <v>0</v>
      </c>
      <c r="O56" s="253"/>
      <c r="P56" s="253"/>
      <c r="Q56" s="253"/>
      <c r="R56" s="253"/>
      <c r="S56" s="253"/>
      <c r="T56" s="253"/>
      <c r="U56" s="253"/>
      <c r="V56" s="253"/>
      <c r="W56" s="253"/>
      <c r="X56" s="253"/>
      <c r="Y56" s="253"/>
      <c r="Z56" s="253"/>
      <c r="AA56" s="253"/>
      <c r="AB56" s="253"/>
      <c r="AC56" s="253"/>
      <c r="AD56" s="253"/>
      <c r="AE56" s="255">
        <f>200-200</f>
        <v>0</v>
      </c>
      <c r="AF56" s="253"/>
      <c r="AG56" s="255">
        <f>200-200</f>
        <v>0</v>
      </c>
      <c r="AH56" s="255">
        <f>200-200</f>
        <v>0</v>
      </c>
      <c r="AI56" s="253"/>
      <c r="AJ56" s="253"/>
      <c r="AK56" s="253"/>
      <c r="AL56" s="253"/>
      <c r="AM56" s="253"/>
      <c r="AN56" s="253"/>
      <c r="AO56" s="253"/>
      <c r="AP56" s="255">
        <f>200-200</f>
        <v>0</v>
      </c>
      <c r="AQ56" s="255">
        <f>200-200</f>
        <v>0</v>
      </c>
      <c r="AR56" s="253"/>
      <c r="AS56" s="253"/>
      <c r="AT56" s="253"/>
      <c r="AU56" s="253"/>
      <c r="AV56" s="253"/>
      <c r="AW56" s="253"/>
      <c r="AX56" s="253"/>
      <c r="AY56" s="253"/>
      <c r="AZ56" s="253"/>
      <c r="BA56" s="253"/>
      <c r="BB56" s="253"/>
      <c r="BC56" s="253"/>
      <c r="BD56" s="253"/>
      <c r="BE56" s="253"/>
      <c r="BF56" s="253"/>
      <c r="BG56" s="253"/>
      <c r="BH56" s="253"/>
      <c r="BI56" s="253"/>
      <c r="BJ56" s="253"/>
      <c r="BK56" s="253"/>
      <c r="BL56" s="253"/>
      <c r="BM56" s="253"/>
      <c r="BN56" s="253"/>
      <c r="BO56" s="253"/>
      <c r="BP56" s="253"/>
      <c r="BQ56" s="253"/>
      <c r="BR56" s="253"/>
      <c r="BS56" s="253"/>
      <c r="BT56" s="253"/>
      <c r="BU56" s="253"/>
      <c r="BV56" s="253"/>
      <c r="BW56" s="253"/>
      <c r="BX56" s="253"/>
      <c r="BY56" s="253"/>
      <c r="BZ56" s="253"/>
      <c r="CA56" s="253"/>
      <c r="CB56" s="253"/>
      <c r="CC56" s="253"/>
      <c r="CD56" s="253"/>
      <c r="CE56" s="253"/>
      <c r="CF56" s="253"/>
      <c r="CG56" s="253"/>
      <c r="CH56" s="253"/>
      <c r="CI56" s="253"/>
      <c r="CJ56" s="253"/>
      <c r="CK56" s="253"/>
      <c r="CL56" s="253"/>
      <c r="CM56" s="253"/>
      <c r="CN56" s="253"/>
      <c r="CO56" s="253"/>
      <c r="CP56" s="253"/>
      <c r="CQ56" s="253"/>
      <c r="CR56" s="253"/>
      <c r="CS56" s="253"/>
      <c r="CT56" s="253"/>
      <c r="CU56" s="253"/>
      <c r="CV56" s="253"/>
      <c r="CW56" s="253"/>
      <c r="CX56" s="253"/>
      <c r="CY56" s="253"/>
      <c r="CZ56" s="253"/>
      <c r="DA56" s="253"/>
      <c r="DB56" s="253"/>
      <c r="DC56" s="253"/>
      <c r="DD56" s="253"/>
      <c r="DE56" s="253"/>
      <c r="DF56" s="253"/>
      <c r="DG56" s="253"/>
      <c r="DH56" s="253"/>
      <c r="DI56" s="253"/>
      <c r="DJ56" s="253"/>
      <c r="DK56" s="253"/>
      <c r="DL56" s="253"/>
      <c r="DM56" s="253"/>
      <c r="DN56" s="253"/>
      <c r="DO56" s="253"/>
      <c r="DP56" s="253"/>
      <c r="DQ56" s="253"/>
      <c r="DR56" s="253"/>
      <c r="DS56" s="253"/>
      <c r="DT56" s="253"/>
      <c r="DU56" s="253"/>
      <c r="DV56" s="253"/>
      <c r="DW56" s="253"/>
      <c r="DX56" s="253"/>
      <c r="DY56" s="253"/>
      <c r="DZ56" s="253"/>
      <c r="EA56" s="253"/>
      <c r="EB56" s="253"/>
      <c r="EC56" s="253"/>
      <c r="ED56" s="253"/>
      <c r="EE56" s="253"/>
      <c r="EF56" s="253"/>
      <c r="EG56" s="253"/>
      <c r="EH56" s="253"/>
      <c r="EI56" s="253"/>
      <c r="EJ56" s="253"/>
      <c r="EK56" s="253"/>
      <c r="EL56" s="253"/>
      <c r="EM56" s="253"/>
      <c r="EN56" s="253"/>
      <c r="EO56" s="253"/>
      <c r="EP56" s="253"/>
      <c r="EQ56" s="253"/>
      <c r="ER56" s="253"/>
      <c r="ES56" s="253"/>
      <c r="ET56" s="253"/>
      <c r="EU56" s="253"/>
      <c r="EV56" s="253"/>
      <c r="EW56" s="253"/>
      <c r="EX56" s="253"/>
      <c r="EY56" s="253"/>
      <c r="EZ56" s="253"/>
      <c r="FA56" s="253"/>
      <c r="FB56" s="253"/>
      <c r="FC56" s="253"/>
      <c r="FD56" s="253"/>
      <c r="FE56" s="253"/>
      <c r="FF56" s="253"/>
      <c r="FG56" s="256"/>
      <c r="FH56" s="257" t="s">
        <v>993</v>
      </c>
      <c r="FI56" s="258" t="s">
        <v>389</v>
      </c>
      <c r="FJ56" s="258"/>
      <c r="FK56" s="258" t="s">
        <v>902</v>
      </c>
      <c r="FL56" s="259">
        <f t="shared" si="3"/>
        <v>0</v>
      </c>
      <c r="FM56" s="260" t="s">
        <v>414</v>
      </c>
    </row>
    <row r="57" spans="1:169">
      <c r="A57" s="251" t="s">
        <v>393</v>
      </c>
      <c r="B57" s="251" t="s">
        <v>385</v>
      </c>
      <c r="C57" s="251" t="s">
        <v>411</v>
      </c>
      <c r="D57" s="251" t="s">
        <v>1</v>
      </c>
      <c r="E57" s="252" t="s">
        <v>901</v>
      </c>
      <c r="F57" s="251" t="s">
        <v>388</v>
      </c>
      <c r="G57" s="251"/>
      <c r="H57" s="253"/>
      <c r="I57" s="253"/>
      <c r="J57" s="253"/>
      <c r="K57" s="253"/>
      <c r="L57" s="253"/>
      <c r="M57" s="253"/>
      <c r="N57" s="253"/>
      <c r="O57" s="255">
        <f>200-200</f>
        <v>0</v>
      </c>
      <c r="P57" s="255">
        <f>200-200</f>
        <v>0</v>
      </c>
      <c r="Q57" s="253"/>
      <c r="R57" s="253"/>
      <c r="S57" s="253"/>
      <c r="T57" s="253"/>
      <c r="U57" s="253"/>
      <c r="V57" s="253"/>
      <c r="W57" s="253"/>
      <c r="X57" s="253"/>
      <c r="Y57" s="253"/>
      <c r="Z57" s="255">
        <f>200-200</f>
        <v>0</v>
      </c>
      <c r="AA57" s="253"/>
      <c r="AB57" s="255">
        <f>200-200</f>
        <v>0</v>
      </c>
      <c r="AC57" s="255">
        <f>200-200</f>
        <v>0</v>
      </c>
      <c r="AD57" s="255">
        <f>200-200</f>
        <v>0</v>
      </c>
      <c r="AE57" s="253"/>
      <c r="AF57" s="253"/>
      <c r="AG57" s="253"/>
      <c r="AH57" s="253"/>
      <c r="AI57" s="253"/>
      <c r="AJ57" s="253"/>
      <c r="AK57" s="253"/>
      <c r="AL57" s="253"/>
      <c r="AM57" s="253"/>
      <c r="AN57" s="253"/>
      <c r="AO57" s="255">
        <f>200-200</f>
        <v>0</v>
      </c>
      <c r="AP57" s="253"/>
      <c r="AQ57" s="253"/>
      <c r="AR57" s="253"/>
      <c r="AS57" s="253"/>
      <c r="AT57" s="255">
        <f>200-200</f>
        <v>0</v>
      </c>
      <c r="AU57" s="253"/>
      <c r="AV57" s="253"/>
      <c r="AW57" s="253"/>
      <c r="AX57" s="253"/>
      <c r="AY57" s="253"/>
      <c r="AZ57" s="253"/>
      <c r="BA57" s="253"/>
      <c r="BB57" s="253"/>
      <c r="BC57" s="253"/>
      <c r="BD57" s="253"/>
      <c r="BE57" s="253"/>
      <c r="BF57" s="253"/>
      <c r="BG57" s="253"/>
      <c r="BH57" s="253"/>
      <c r="BI57" s="253"/>
      <c r="BJ57" s="253"/>
      <c r="BK57" s="253"/>
      <c r="BL57" s="253"/>
      <c r="BM57" s="253"/>
      <c r="BN57" s="253"/>
      <c r="BO57" s="253"/>
      <c r="BP57" s="253"/>
      <c r="BQ57" s="253"/>
      <c r="BR57" s="253"/>
      <c r="BS57" s="253"/>
      <c r="BT57" s="253"/>
      <c r="BU57" s="253"/>
      <c r="BV57" s="253"/>
      <c r="BW57" s="253"/>
      <c r="BX57" s="253"/>
      <c r="BY57" s="253"/>
      <c r="BZ57" s="253"/>
      <c r="CA57" s="253"/>
      <c r="CB57" s="253"/>
      <c r="CC57" s="253"/>
      <c r="CD57" s="253"/>
      <c r="CE57" s="253"/>
      <c r="CF57" s="253"/>
      <c r="CG57" s="253"/>
      <c r="CH57" s="253"/>
      <c r="CI57" s="253"/>
      <c r="CJ57" s="253"/>
      <c r="CK57" s="253"/>
      <c r="CL57" s="253"/>
      <c r="CM57" s="253"/>
      <c r="CN57" s="253"/>
      <c r="CO57" s="253"/>
      <c r="CP57" s="253"/>
      <c r="CQ57" s="253"/>
      <c r="CR57" s="253"/>
      <c r="CS57" s="253"/>
      <c r="CT57" s="253"/>
      <c r="CU57" s="253"/>
      <c r="CV57" s="253"/>
      <c r="CW57" s="253"/>
      <c r="CX57" s="253"/>
      <c r="CY57" s="253"/>
      <c r="CZ57" s="253"/>
      <c r="DA57" s="253"/>
      <c r="DB57" s="253"/>
      <c r="DC57" s="253"/>
      <c r="DD57" s="253"/>
      <c r="DE57" s="253"/>
      <c r="DF57" s="253"/>
      <c r="DG57" s="253"/>
      <c r="DH57" s="253"/>
      <c r="DI57" s="253"/>
      <c r="DJ57" s="253"/>
      <c r="DK57" s="253"/>
      <c r="DL57" s="253"/>
      <c r="DM57" s="253"/>
      <c r="DN57" s="253"/>
      <c r="DO57" s="253"/>
      <c r="DP57" s="253"/>
      <c r="DQ57" s="253"/>
      <c r="DR57" s="253"/>
      <c r="DS57" s="253"/>
      <c r="DT57" s="253"/>
      <c r="DU57" s="253"/>
      <c r="DV57" s="253"/>
      <c r="DW57" s="253"/>
      <c r="DX57" s="253"/>
      <c r="DY57" s="253"/>
      <c r="DZ57" s="253"/>
      <c r="EA57" s="255">
        <f>200-200</f>
        <v>0</v>
      </c>
      <c r="EB57" s="255">
        <f>200-200</f>
        <v>0</v>
      </c>
      <c r="EC57" s="253"/>
      <c r="ED57" s="253"/>
      <c r="EE57" s="255">
        <f t="shared" ref="EE57:EJ57" si="4">200-200</f>
        <v>0</v>
      </c>
      <c r="EF57" s="255">
        <f t="shared" si="4"/>
        <v>0</v>
      </c>
      <c r="EG57" s="255">
        <f t="shared" si="4"/>
        <v>0</v>
      </c>
      <c r="EH57" s="255">
        <f t="shared" si="4"/>
        <v>0</v>
      </c>
      <c r="EI57" s="255">
        <f t="shared" si="4"/>
        <v>0</v>
      </c>
      <c r="EJ57" s="255">
        <f t="shared" si="4"/>
        <v>0</v>
      </c>
      <c r="EK57" s="253"/>
      <c r="EL57" s="253"/>
      <c r="EM57" s="253"/>
      <c r="EN57" s="253"/>
      <c r="EO57" s="253"/>
      <c r="EP57" s="253"/>
      <c r="EQ57" s="253"/>
      <c r="ER57" s="253"/>
      <c r="ES57" s="253"/>
      <c r="ET57" s="253"/>
      <c r="EU57" s="253"/>
      <c r="EV57" s="253"/>
      <c r="EW57" s="253"/>
      <c r="EX57" s="253"/>
      <c r="EY57" s="253"/>
      <c r="EZ57" s="253"/>
      <c r="FA57" s="253"/>
      <c r="FB57" s="253"/>
      <c r="FC57" s="253"/>
      <c r="FD57" s="253"/>
      <c r="FE57" s="253"/>
      <c r="FF57" s="253"/>
      <c r="FG57" s="256"/>
      <c r="FH57" s="257" t="s">
        <v>993</v>
      </c>
      <c r="FI57" s="258" t="s">
        <v>389</v>
      </c>
      <c r="FJ57" s="258"/>
      <c r="FK57" s="258" t="s">
        <v>902</v>
      </c>
      <c r="FL57" s="259">
        <f t="shared" si="3"/>
        <v>0</v>
      </c>
      <c r="FM57" s="260" t="s">
        <v>414</v>
      </c>
    </row>
    <row r="58" spans="1:169">
      <c r="A58" s="251" t="s">
        <v>417</v>
      </c>
      <c r="B58" s="251" t="s">
        <v>385</v>
      </c>
      <c r="C58" s="251" t="s">
        <v>411</v>
      </c>
      <c r="D58" s="251" t="s">
        <v>291</v>
      </c>
      <c r="E58" s="252" t="s">
        <v>418</v>
      </c>
      <c r="F58" s="251" t="s">
        <v>388</v>
      </c>
      <c r="G58" s="251"/>
      <c r="H58" s="253"/>
      <c r="I58" s="253"/>
      <c r="J58" s="253"/>
      <c r="K58" s="253"/>
      <c r="L58" s="253"/>
      <c r="M58" s="253"/>
      <c r="N58" s="253"/>
      <c r="O58" s="253"/>
      <c r="P58" s="253"/>
      <c r="Q58" s="253"/>
      <c r="R58" s="253"/>
      <c r="S58" s="253"/>
      <c r="T58" s="253"/>
      <c r="U58" s="253"/>
      <c r="V58" s="253"/>
      <c r="W58" s="253"/>
      <c r="X58" s="253"/>
      <c r="Y58" s="253"/>
      <c r="Z58" s="253"/>
      <c r="AA58" s="253"/>
      <c r="AB58" s="253"/>
      <c r="AC58" s="253"/>
      <c r="AD58" s="253"/>
      <c r="AE58" s="253"/>
      <c r="AF58" s="253"/>
      <c r="AG58" s="253"/>
      <c r="AH58" s="255">
        <f>40-40</f>
        <v>0</v>
      </c>
      <c r="AI58" s="253"/>
      <c r="AJ58" s="253"/>
      <c r="AK58" s="253"/>
      <c r="AL58" s="253"/>
      <c r="AM58" s="253"/>
      <c r="AN58" s="253"/>
      <c r="AO58" s="253"/>
      <c r="AP58" s="253"/>
      <c r="AQ58" s="253"/>
      <c r="AR58" s="253"/>
      <c r="AS58" s="253"/>
      <c r="AT58" s="253"/>
      <c r="AU58" s="253"/>
      <c r="AV58" s="253"/>
      <c r="AW58" s="253"/>
      <c r="AX58" s="253"/>
      <c r="AY58" s="253"/>
      <c r="AZ58" s="253"/>
      <c r="BA58" s="253"/>
      <c r="BB58" s="253"/>
      <c r="BC58" s="253"/>
      <c r="BD58" s="253"/>
      <c r="BE58" s="253"/>
      <c r="BF58" s="253"/>
      <c r="BG58" s="253"/>
      <c r="BH58" s="253"/>
      <c r="BI58" s="253"/>
      <c r="BJ58" s="253"/>
      <c r="BK58" s="253"/>
      <c r="BL58" s="253"/>
      <c r="BM58" s="253"/>
      <c r="BN58" s="253"/>
      <c r="BO58" s="253"/>
      <c r="BP58" s="253"/>
      <c r="BQ58" s="253"/>
      <c r="BR58" s="253"/>
      <c r="BS58" s="253"/>
      <c r="BT58" s="253"/>
      <c r="BU58" s="253"/>
      <c r="BV58" s="253"/>
      <c r="BW58" s="253"/>
      <c r="BX58" s="253"/>
      <c r="BY58" s="253"/>
      <c r="BZ58" s="253"/>
      <c r="CA58" s="253"/>
      <c r="CB58" s="253"/>
      <c r="CC58" s="253"/>
      <c r="CD58" s="253"/>
      <c r="CE58" s="253"/>
      <c r="CF58" s="253"/>
      <c r="CG58" s="253"/>
      <c r="CH58" s="253"/>
      <c r="CI58" s="253"/>
      <c r="CJ58" s="253"/>
      <c r="CK58" s="253"/>
      <c r="CL58" s="253"/>
      <c r="CM58" s="253"/>
      <c r="CN58" s="253"/>
      <c r="CO58" s="253"/>
      <c r="CP58" s="253"/>
      <c r="CQ58" s="253"/>
      <c r="CR58" s="253"/>
      <c r="CS58" s="253"/>
      <c r="CT58" s="253"/>
      <c r="CU58" s="253"/>
      <c r="CV58" s="253"/>
      <c r="CW58" s="253"/>
      <c r="CX58" s="253"/>
      <c r="CY58" s="253"/>
      <c r="CZ58" s="253"/>
      <c r="DA58" s="253"/>
      <c r="DB58" s="253"/>
      <c r="DC58" s="253"/>
      <c r="DD58" s="253"/>
      <c r="DE58" s="253"/>
      <c r="DF58" s="253"/>
      <c r="DG58" s="253"/>
      <c r="DH58" s="253"/>
      <c r="DI58" s="253"/>
      <c r="DJ58" s="253"/>
      <c r="DK58" s="253"/>
      <c r="DL58" s="253"/>
      <c r="DM58" s="253"/>
      <c r="DN58" s="253"/>
      <c r="DO58" s="253"/>
      <c r="DP58" s="253"/>
      <c r="DQ58" s="253"/>
      <c r="DR58" s="253"/>
      <c r="DS58" s="253"/>
      <c r="DT58" s="253"/>
      <c r="DU58" s="253"/>
      <c r="DV58" s="253"/>
      <c r="DW58" s="253"/>
      <c r="DX58" s="253"/>
      <c r="DY58" s="253"/>
      <c r="DZ58" s="253"/>
      <c r="EA58" s="253"/>
      <c r="EB58" s="253"/>
      <c r="EC58" s="253"/>
      <c r="ED58" s="253"/>
      <c r="EE58" s="253"/>
      <c r="EF58" s="253"/>
      <c r="EG58" s="253"/>
      <c r="EH58" s="253"/>
      <c r="EI58" s="253"/>
      <c r="EJ58" s="253"/>
      <c r="EK58" s="253"/>
      <c r="EL58" s="253"/>
      <c r="EM58" s="253"/>
      <c r="EN58" s="253"/>
      <c r="EO58" s="253"/>
      <c r="EP58" s="253"/>
      <c r="EQ58" s="253"/>
      <c r="ER58" s="253"/>
      <c r="ES58" s="253"/>
      <c r="ET58" s="253"/>
      <c r="EU58" s="253"/>
      <c r="EV58" s="253"/>
      <c r="EW58" s="253"/>
      <c r="EX58" s="253"/>
      <c r="EY58" s="253"/>
      <c r="EZ58" s="253"/>
      <c r="FA58" s="253"/>
      <c r="FB58" s="253"/>
      <c r="FC58" s="253"/>
      <c r="FD58" s="253"/>
      <c r="FE58" s="253"/>
      <c r="FF58" s="253"/>
      <c r="FG58" s="256"/>
      <c r="FH58" s="257" t="s">
        <v>993</v>
      </c>
      <c r="FI58" s="258" t="s">
        <v>389</v>
      </c>
      <c r="FJ58" s="258" t="s">
        <v>419</v>
      </c>
      <c r="FK58" s="258" t="s">
        <v>420</v>
      </c>
      <c r="FL58" s="259">
        <f t="shared" si="3"/>
        <v>0</v>
      </c>
      <c r="FM58" s="260" t="s">
        <v>433</v>
      </c>
    </row>
    <row r="59" spans="1:169">
      <c r="A59" s="251" t="s">
        <v>417</v>
      </c>
      <c r="B59" s="251" t="s">
        <v>385</v>
      </c>
      <c r="C59" s="251" t="s">
        <v>411</v>
      </c>
      <c r="D59" s="251" t="s">
        <v>1</v>
      </c>
      <c r="E59" s="252" t="s">
        <v>418</v>
      </c>
      <c r="F59" s="251" t="s">
        <v>388</v>
      </c>
      <c r="G59" s="251"/>
      <c r="H59" s="253"/>
      <c r="I59" s="253"/>
      <c r="J59" s="253"/>
      <c r="K59" s="253"/>
      <c r="L59" s="253"/>
      <c r="M59" s="253"/>
      <c r="N59" s="253"/>
      <c r="O59" s="253"/>
      <c r="P59" s="253"/>
      <c r="Q59" s="253"/>
      <c r="R59" s="253"/>
      <c r="S59" s="253"/>
      <c r="T59" s="253"/>
      <c r="U59" s="253"/>
      <c r="V59" s="253"/>
      <c r="W59" s="253"/>
      <c r="X59" s="253"/>
      <c r="Y59" s="253"/>
      <c r="Z59" s="253"/>
      <c r="AA59" s="253"/>
      <c r="AB59" s="253"/>
      <c r="AC59" s="253"/>
      <c r="AD59" s="253"/>
      <c r="AE59" s="253"/>
      <c r="AF59" s="253"/>
      <c r="AG59" s="253"/>
      <c r="AH59" s="253"/>
      <c r="AI59" s="253"/>
      <c r="AJ59" s="253"/>
      <c r="AK59" s="253"/>
      <c r="AL59" s="253"/>
      <c r="AM59" s="253"/>
      <c r="AN59" s="253"/>
      <c r="AO59" s="253"/>
      <c r="AP59" s="253"/>
      <c r="AQ59" s="253"/>
      <c r="AR59" s="253"/>
      <c r="AS59" s="253"/>
      <c r="AT59" s="255">
        <f>40-40</f>
        <v>0</v>
      </c>
      <c r="AU59" s="253"/>
      <c r="AV59" s="253"/>
      <c r="AW59" s="253"/>
      <c r="AX59" s="253"/>
      <c r="AY59" s="253"/>
      <c r="AZ59" s="253"/>
      <c r="BA59" s="253"/>
      <c r="BB59" s="253"/>
      <c r="BC59" s="253"/>
      <c r="BD59" s="253"/>
      <c r="BE59" s="253"/>
      <c r="BF59" s="253"/>
      <c r="BG59" s="253"/>
      <c r="BH59" s="253"/>
      <c r="BI59" s="253"/>
      <c r="BJ59" s="253"/>
      <c r="BK59" s="253"/>
      <c r="BL59" s="253"/>
      <c r="BM59" s="253"/>
      <c r="BN59" s="253"/>
      <c r="BO59" s="253"/>
      <c r="BP59" s="253"/>
      <c r="BQ59" s="253"/>
      <c r="BR59" s="253"/>
      <c r="BS59" s="253"/>
      <c r="BT59" s="253"/>
      <c r="BU59" s="253"/>
      <c r="BV59" s="253"/>
      <c r="BW59" s="253"/>
      <c r="BX59" s="253"/>
      <c r="BY59" s="253"/>
      <c r="BZ59" s="253"/>
      <c r="CA59" s="253"/>
      <c r="CB59" s="253"/>
      <c r="CC59" s="253"/>
      <c r="CD59" s="253"/>
      <c r="CE59" s="253"/>
      <c r="CF59" s="253"/>
      <c r="CG59" s="253"/>
      <c r="CH59" s="253"/>
      <c r="CI59" s="253"/>
      <c r="CJ59" s="253"/>
      <c r="CK59" s="253"/>
      <c r="CL59" s="253"/>
      <c r="CM59" s="253"/>
      <c r="CN59" s="253"/>
      <c r="CO59" s="253"/>
      <c r="CP59" s="253"/>
      <c r="CQ59" s="253"/>
      <c r="CR59" s="253"/>
      <c r="CS59" s="253"/>
      <c r="CT59" s="253"/>
      <c r="CU59" s="253"/>
      <c r="CV59" s="253"/>
      <c r="CW59" s="253"/>
      <c r="CX59" s="253"/>
      <c r="CY59" s="253"/>
      <c r="CZ59" s="253"/>
      <c r="DA59" s="253"/>
      <c r="DB59" s="253"/>
      <c r="DC59" s="253"/>
      <c r="DD59" s="253"/>
      <c r="DE59" s="253"/>
      <c r="DF59" s="253"/>
      <c r="DG59" s="253"/>
      <c r="DH59" s="253"/>
      <c r="DI59" s="253"/>
      <c r="DJ59" s="253"/>
      <c r="DK59" s="253"/>
      <c r="DL59" s="253"/>
      <c r="DM59" s="253"/>
      <c r="DN59" s="253"/>
      <c r="DO59" s="253"/>
      <c r="DP59" s="253"/>
      <c r="DQ59" s="253"/>
      <c r="DR59" s="253"/>
      <c r="DS59" s="253"/>
      <c r="DT59" s="253"/>
      <c r="DU59" s="253"/>
      <c r="DV59" s="253"/>
      <c r="DW59" s="253"/>
      <c r="DX59" s="253"/>
      <c r="DY59" s="253"/>
      <c r="DZ59" s="253"/>
      <c r="EA59" s="253"/>
      <c r="EB59" s="253"/>
      <c r="EC59" s="253"/>
      <c r="ED59" s="253"/>
      <c r="EE59" s="253"/>
      <c r="EF59" s="253"/>
      <c r="EG59" s="253"/>
      <c r="EH59" s="253"/>
      <c r="EI59" s="253"/>
      <c r="EJ59" s="253"/>
      <c r="EK59" s="253"/>
      <c r="EL59" s="253"/>
      <c r="EM59" s="253"/>
      <c r="EN59" s="253"/>
      <c r="EO59" s="253"/>
      <c r="EP59" s="253"/>
      <c r="EQ59" s="253"/>
      <c r="ER59" s="253"/>
      <c r="ES59" s="253"/>
      <c r="ET59" s="253"/>
      <c r="EU59" s="253"/>
      <c r="EV59" s="253"/>
      <c r="EW59" s="253"/>
      <c r="EX59" s="253"/>
      <c r="EY59" s="253"/>
      <c r="EZ59" s="253"/>
      <c r="FA59" s="253"/>
      <c r="FB59" s="253"/>
      <c r="FC59" s="253"/>
      <c r="FD59" s="253"/>
      <c r="FE59" s="253"/>
      <c r="FF59" s="253"/>
      <c r="FG59" s="256"/>
      <c r="FH59" s="257" t="s">
        <v>993</v>
      </c>
      <c r="FI59" s="258" t="s">
        <v>389</v>
      </c>
      <c r="FJ59" s="258" t="s">
        <v>419</v>
      </c>
      <c r="FK59" s="258" t="s">
        <v>420</v>
      </c>
      <c r="FL59" s="259">
        <f t="shared" si="3"/>
        <v>0</v>
      </c>
      <c r="FM59" s="260" t="s">
        <v>433</v>
      </c>
    </row>
    <row r="60" spans="1:169">
      <c r="A60" s="251" t="s">
        <v>393</v>
      </c>
      <c r="B60" s="251" t="s">
        <v>392</v>
      </c>
      <c r="C60" s="251" t="s">
        <v>411</v>
      </c>
      <c r="D60" s="251" t="s">
        <v>291</v>
      </c>
      <c r="E60" s="252" t="s">
        <v>904</v>
      </c>
      <c r="F60" s="251" t="s">
        <v>388</v>
      </c>
      <c r="G60" s="251"/>
      <c r="H60" s="253"/>
      <c r="I60" s="253"/>
      <c r="J60" s="253"/>
      <c r="K60" s="253"/>
      <c r="L60" s="253"/>
      <c r="M60" s="253"/>
      <c r="N60" s="255">
        <f>135-135</f>
        <v>0</v>
      </c>
      <c r="O60" s="253"/>
      <c r="P60" s="253"/>
      <c r="Q60" s="255">
        <f>50-50</f>
        <v>0</v>
      </c>
      <c r="R60" s="253"/>
      <c r="S60" s="253"/>
      <c r="T60" s="253"/>
      <c r="U60" s="253"/>
      <c r="V60" s="253"/>
      <c r="W60" s="253"/>
      <c r="X60" s="253"/>
      <c r="Y60" s="253"/>
      <c r="Z60" s="253"/>
      <c r="AA60" s="253"/>
      <c r="AB60" s="253"/>
      <c r="AC60" s="253"/>
      <c r="AD60" s="253"/>
      <c r="AE60" s="255">
        <f>35-35</f>
        <v>0</v>
      </c>
      <c r="AF60" s="253"/>
      <c r="AG60" s="255">
        <f>40-40</f>
        <v>0</v>
      </c>
      <c r="AH60" s="255">
        <f>160-160</f>
        <v>0</v>
      </c>
      <c r="AI60" s="253"/>
      <c r="AJ60" s="253"/>
      <c r="AK60" s="253"/>
      <c r="AL60" s="253"/>
      <c r="AM60" s="255">
        <f>20-20</f>
        <v>0</v>
      </c>
      <c r="AN60" s="253"/>
      <c r="AO60" s="253"/>
      <c r="AP60" s="255">
        <f>130-130</f>
        <v>0</v>
      </c>
      <c r="AQ60" s="255">
        <f>15-15</f>
        <v>0</v>
      </c>
      <c r="AR60" s="253"/>
      <c r="AS60" s="253"/>
      <c r="AT60" s="253"/>
      <c r="AU60" s="253"/>
      <c r="AV60" s="253"/>
      <c r="AW60" s="253"/>
      <c r="AX60" s="255">
        <f>30-30</f>
        <v>0</v>
      </c>
      <c r="AY60" s="253"/>
      <c r="AZ60" s="253"/>
      <c r="BA60" s="253"/>
      <c r="BB60" s="253"/>
      <c r="BC60" s="253"/>
      <c r="BD60" s="253"/>
      <c r="BE60" s="253"/>
      <c r="BF60" s="253"/>
      <c r="BG60" s="253"/>
      <c r="BH60" s="253"/>
      <c r="BI60" s="253"/>
      <c r="BJ60" s="253"/>
      <c r="BK60" s="253"/>
      <c r="BL60" s="253"/>
      <c r="BM60" s="253"/>
      <c r="BN60" s="253"/>
      <c r="BO60" s="253"/>
      <c r="BP60" s="253"/>
      <c r="BQ60" s="253"/>
      <c r="BR60" s="253"/>
      <c r="BS60" s="253"/>
      <c r="BT60" s="253"/>
      <c r="BU60" s="253"/>
      <c r="BV60" s="253"/>
      <c r="BW60" s="253"/>
      <c r="BX60" s="253"/>
      <c r="BY60" s="253"/>
      <c r="BZ60" s="253"/>
      <c r="CA60" s="253"/>
      <c r="CB60" s="253"/>
      <c r="CC60" s="253"/>
      <c r="CD60" s="253"/>
      <c r="CE60" s="253"/>
      <c r="CF60" s="253"/>
      <c r="CG60" s="253"/>
      <c r="CH60" s="253"/>
      <c r="CI60" s="253"/>
      <c r="CJ60" s="253"/>
      <c r="CK60" s="253"/>
      <c r="CL60" s="253"/>
      <c r="CM60" s="253"/>
      <c r="CN60" s="253"/>
      <c r="CO60" s="253"/>
      <c r="CP60" s="253"/>
      <c r="CQ60" s="253"/>
      <c r="CR60" s="253"/>
      <c r="CS60" s="253"/>
      <c r="CT60" s="253"/>
      <c r="CU60" s="253"/>
      <c r="CV60" s="253"/>
      <c r="CW60" s="253"/>
      <c r="CX60" s="253"/>
      <c r="CY60" s="253"/>
      <c r="CZ60" s="253"/>
      <c r="DA60" s="253"/>
      <c r="DB60" s="253"/>
      <c r="DC60" s="253"/>
      <c r="DD60" s="253"/>
      <c r="DE60" s="253"/>
      <c r="DF60" s="253"/>
      <c r="DG60" s="253"/>
      <c r="DH60" s="253"/>
      <c r="DI60" s="253"/>
      <c r="DJ60" s="253"/>
      <c r="DK60" s="253"/>
      <c r="DL60" s="253"/>
      <c r="DM60" s="253"/>
      <c r="DN60" s="253"/>
      <c r="DO60" s="253"/>
      <c r="DP60" s="253"/>
      <c r="DQ60" s="253"/>
      <c r="DR60" s="253"/>
      <c r="DS60" s="253"/>
      <c r="DT60" s="253"/>
      <c r="DU60" s="253"/>
      <c r="DV60" s="253"/>
      <c r="DW60" s="253"/>
      <c r="DX60" s="253"/>
      <c r="DY60" s="253"/>
      <c r="DZ60" s="253"/>
      <c r="EA60" s="253"/>
      <c r="EB60" s="253"/>
      <c r="EC60" s="253"/>
      <c r="ED60" s="253"/>
      <c r="EE60" s="253"/>
      <c r="EF60" s="253"/>
      <c r="EG60" s="253"/>
      <c r="EH60" s="253"/>
      <c r="EI60" s="253"/>
      <c r="EJ60" s="253"/>
      <c r="EK60" s="253"/>
      <c r="EL60" s="253"/>
      <c r="EM60" s="253"/>
      <c r="EN60" s="253"/>
      <c r="EO60" s="253"/>
      <c r="EP60" s="253"/>
      <c r="EQ60" s="253"/>
      <c r="ER60" s="253"/>
      <c r="ES60" s="253"/>
      <c r="ET60" s="253"/>
      <c r="EU60" s="253"/>
      <c r="EV60" s="253"/>
      <c r="EW60" s="253"/>
      <c r="EX60" s="253"/>
      <c r="EY60" s="253"/>
      <c r="EZ60" s="253"/>
      <c r="FA60" s="253"/>
      <c r="FB60" s="253"/>
      <c r="FC60" s="253"/>
      <c r="FD60" s="253"/>
      <c r="FE60" s="253"/>
      <c r="FF60" s="253"/>
      <c r="FG60" s="256"/>
      <c r="FH60" s="257" t="s">
        <v>993</v>
      </c>
      <c r="FI60" s="258" t="s">
        <v>389</v>
      </c>
      <c r="FJ60" s="258" t="s">
        <v>906</v>
      </c>
      <c r="FK60" s="258" t="s">
        <v>420</v>
      </c>
      <c r="FL60" s="259">
        <f t="shared" si="3"/>
        <v>0</v>
      </c>
      <c r="FM60" s="260" t="s">
        <v>421</v>
      </c>
    </row>
    <row r="61" spans="1:169">
      <c r="A61" s="251" t="s">
        <v>393</v>
      </c>
      <c r="B61" s="251" t="s">
        <v>392</v>
      </c>
      <c r="C61" s="251" t="s">
        <v>411</v>
      </c>
      <c r="D61" s="251" t="s">
        <v>1</v>
      </c>
      <c r="E61" s="252" t="s">
        <v>904</v>
      </c>
      <c r="F61" s="251" t="s">
        <v>388</v>
      </c>
      <c r="G61" s="251"/>
      <c r="H61" s="253"/>
      <c r="I61" s="253"/>
      <c r="J61" s="253"/>
      <c r="K61" s="253"/>
      <c r="L61" s="255">
        <f>60-60</f>
        <v>0</v>
      </c>
      <c r="M61" s="255">
        <f>50-50</f>
        <v>0</v>
      </c>
      <c r="N61" s="253"/>
      <c r="O61" s="253"/>
      <c r="P61" s="253"/>
      <c r="Q61" s="253"/>
      <c r="R61" s="253"/>
      <c r="S61" s="255">
        <f>40-40</f>
        <v>0</v>
      </c>
      <c r="T61" s="253"/>
      <c r="U61" s="255">
        <f>100-100</f>
        <v>0</v>
      </c>
      <c r="V61" s="253"/>
      <c r="W61" s="253"/>
      <c r="X61" s="253"/>
      <c r="Y61" s="253"/>
      <c r="Z61" s="255">
        <f>35-35</f>
        <v>0</v>
      </c>
      <c r="AA61" s="253"/>
      <c r="AB61" s="253"/>
      <c r="AC61" s="253"/>
      <c r="AD61" s="253"/>
      <c r="AE61" s="253"/>
      <c r="AF61" s="253"/>
      <c r="AG61" s="253"/>
      <c r="AH61" s="253"/>
      <c r="AI61" s="255">
        <f>70-70</f>
        <v>0</v>
      </c>
      <c r="AJ61" s="253"/>
      <c r="AK61" s="253"/>
      <c r="AL61" s="253"/>
      <c r="AM61" s="253"/>
      <c r="AN61" s="253"/>
      <c r="AO61" s="253"/>
      <c r="AP61" s="253"/>
      <c r="AQ61" s="253"/>
      <c r="AR61" s="253"/>
      <c r="AS61" s="253"/>
      <c r="AT61" s="255">
        <f>30-30</f>
        <v>0</v>
      </c>
      <c r="AU61" s="253"/>
      <c r="AV61" s="253"/>
      <c r="AW61" s="253"/>
      <c r="AX61" s="253"/>
      <c r="AY61" s="253"/>
      <c r="AZ61" s="253"/>
      <c r="BA61" s="253"/>
      <c r="BB61" s="253"/>
      <c r="BC61" s="253"/>
      <c r="BD61" s="255">
        <f>90-90</f>
        <v>0</v>
      </c>
      <c r="BE61" s="253"/>
      <c r="BF61" s="253"/>
      <c r="BG61" s="253"/>
      <c r="BH61" s="253"/>
      <c r="BI61" s="253"/>
      <c r="BJ61" s="253"/>
      <c r="BK61" s="253"/>
      <c r="BL61" s="253"/>
      <c r="BM61" s="253"/>
      <c r="BN61" s="253"/>
      <c r="BO61" s="253"/>
      <c r="BP61" s="253"/>
      <c r="BQ61" s="253"/>
      <c r="BR61" s="253"/>
      <c r="BS61" s="253"/>
      <c r="BT61" s="253"/>
      <c r="BU61" s="253"/>
      <c r="BV61" s="253"/>
      <c r="BW61" s="253"/>
      <c r="BX61" s="253"/>
      <c r="BY61" s="253"/>
      <c r="BZ61" s="253"/>
      <c r="CA61" s="253"/>
      <c r="CB61" s="253"/>
      <c r="CC61" s="253"/>
      <c r="CD61" s="253"/>
      <c r="CE61" s="253"/>
      <c r="CF61" s="253"/>
      <c r="CG61" s="253"/>
      <c r="CH61" s="253"/>
      <c r="CI61" s="253"/>
      <c r="CJ61" s="253"/>
      <c r="CK61" s="253"/>
      <c r="CL61" s="253"/>
      <c r="CM61" s="253"/>
      <c r="CN61" s="253"/>
      <c r="CO61" s="253"/>
      <c r="CP61" s="253"/>
      <c r="CQ61" s="253"/>
      <c r="CR61" s="253"/>
      <c r="CS61" s="253"/>
      <c r="CT61" s="253"/>
      <c r="CU61" s="253"/>
      <c r="CV61" s="253"/>
      <c r="CW61" s="253"/>
      <c r="CX61" s="253"/>
      <c r="CY61" s="253"/>
      <c r="CZ61" s="253"/>
      <c r="DA61" s="253"/>
      <c r="DB61" s="253"/>
      <c r="DC61" s="253"/>
      <c r="DD61" s="253"/>
      <c r="DE61" s="253"/>
      <c r="DF61" s="253"/>
      <c r="DG61" s="253"/>
      <c r="DH61" s="253"/>
      <c r="DI61" s="253"/>
      <c r="DJ61" s="253"/>
      <c r="DK61" s="253"/>
      <c r="DL61" s="253"/>
      <c r="DM61" s="253"/>
      <c r="DN61" s="253"/>
      <c r="DO61" s="253"/>
      <c r="DP61" s="253"/>
      <c r="DQ61" s="253"/>
      <c r="DR61" s="253"/>
      <c r="DS61" s="253"/>
      <c r="DT61" s="253"/>
      <c r="DU61" s="253"/>
      <c r="DV61" s="253"/>
      <c r="DW61" s="253"/>
      <c r="DX61" s="253"/>
      <c r="DY61" s="253"/>
      <c r="DZ61" s="253"/>
      <c r="EA61" s="255">
        <f>10-10</f>
        <v>0</v>
      </c>
      <c r="EB61" s="253"/>
      <c r="EC61" s="255">
        <f>10-10</f>
        <v>0</v>
      </c>
      <c r="ED61" s="253"/>
      <c r="EE61" s="255">
        <f>10-10</f>
        <v>0</v>
      </c>
      <c r="EF61" s="253"/>
      <c r="EG61" s="253"/>
      <c r="EH61" s="255">
        <f>10-10</f>
        <v>0</v>
      </c>
      <c r="EI61" s="255">
        <f>10-10</f>
        <v>0</v>
      </c>
      <c r="EJ61" s="255">
        <f>710-710</f>
        <v>0</v>
      </c>
      <c r="EK61" s="253"/>
      <c r="EL61" s="253"/>
      <c r="EM61" s="253"/>
      <c r="EN61" s="253"/>
      <c r="EO61" s="253"/>
      <c r="EP61" s="255">
        <f>30-30</f>
        <v>0</v>
      </c>
      <c r="EQ61" s="255">
        <f>10-10</f>
        <v>0</v>
      </c>
      <c r="ER61" s="253"/>
      <c r="ES61" s="255">
        <f>30-30</f>
        <v>0</v>
      </c>
      <c r="ET61" s="253"/>
      <c r="EU61" s="255">
        <f>10-10</f>
        <v>0</v>
      </c>
      <c r="EV61" s="253"/>
      <c r="EW61" s="255">
        <f>15-15</f>
        <v>0</v>
      </c>
      <c r="EX61" s="255">
        <f>5-5</f>
        <v>0</v>
      </c>
      <c r="EY61" s="253"/>
      <c r="EZ61" s="253"/>
      <c r="FA61" s="255">
        <f>10-10</f>
        <v>0</v>
      </c>
      <c r="FB61" s="253"/>
      <c r="FC61" s="253"/>
      <c r="FD61" s="255">
        <f>700-700</f>
        <v>0</v>
      </c>
      <c r="FE61" s="253"/>
      <c r="FF61" s="253"/>
      <c r="FG61" s="256"/>
      <c r="FH61" s="257" t="s">
        <v>993</v>
      </c>
      <c r="FI61" s="258" t="s">
        <v>389</v>
      </c>
      <c r="FJ61" s="258" t="s">
        <v>906</v>
      </c>
      <c r="FK61" s="258" t="s">
        <v>420</v>
      </c>
      <c r="FL61" s="259">
        <f t="shared" si="3"/>
        <v>0</v>
      </c>
      <c r="FM61" s="260" t="s">
        <v>421</v>
      </c>
    </row>
    <row r="62" spans="1:169">
      <c r="A62" s="251" t="s">
        <v>393</v>
      </c>
      <c r="B62" s="251" t="s">
        <v>385</v>
      </c>
      <c r="C62" s="251" t="s">
        <v>411</v>
      </c>
      <c r="D62" s="251" t="s">
        <v>291</v>
      </c>
      <c r="E62" s="252" t="s">
        <v>422</v>
      </c>
      <c r="F62" s="251" t="s">
        <v>388</v>
      </c>
      <c r="G62" s="251"/>
      <c r="H62" s="253"/>
      <c r="I62" s="255">
        <f>200-200</f>
        <v>0</v>
      </c>
      <c r="J62" s="253"/>
      <c r="K62" s="255">
        <f>500-500</f>
        <v>0</v>
      </c>
      <c r="L62" s="253"/>
      <c r="M62" s="253"/>
      <c r="N62" s="255">
        <f>600-600</f>
        <v>0</v>
      </c>
      <c r="O62" s="253"/>
      <c r="P62" s="253"/>
      <c r="Q62" s="255">
        <f>2000-2000</f>
        <v>0</v>
      </c>
      <c r="R62" s="253"/>
      <c r="S62" s="253"/>
      <c r="T62" s="255">
        <f>2000-2000</f>
        <v>0</v>
      </c>
      <c r="U62" s="253"/>
      <c r="V62" s="253"/>
      <c r="W62" s="253"/>
      <c r="X62" s="253"/>
      <c r="Y62" s="253"/>
      <c r="Z62" s="253"/>
      <c r="AA62" s="253"/>
      <c r="AB62" s="253"/>
      <c r="AC62" s="253"/>
      <c r="AD62" s="253"/>
      <c r="AE62" s="255">
        <f>2000-2000</f>
        <v>0</v>
      </c>
      <c r="AF62" s="253"/>
      <c r="AG62" s="255">
        <f>2000-2000</f>
        <v>0</v>
      </c>
      <c r="AH62" s="255">
        <f>2000-2000</f>
        <v>0</v>
      </c>
      <c r="AI62" s="253"/>
      <c r="AJ62" s="253"/>
      <c r="AK62" s="253"/>
      <c r="AL62" s="253"/>
      <c r="AM62" s="255">
        <f>1900-1900</f>
        <v>0</v>
      </c>
      <c r="AN62" s="253"/>
      <c r="AO62" s="253"/>
      <c r="AP62" s="255">
        <f>2000-2000</f>
        <v>0</v>
      </c>
      <c r="AQ62" s="253"/>
      <c r="AR62" s="253"/>
      <c r="AS62" s="253"/>
      <c r="AT62" s="253"/>
      <c r="AU62" s="253"/>
      <c r="AV62" s="253"/>
      <c r="AW62" s="253"/>
      <c r="AX62" s="255">
        <f>2000-2000</f>
        <v>0</v>
      </c>
      <c r="AY62" s="253"/>
      <c r="AZ62" s="253"/>
      <c r="BA62" s="253"/>
      <c r="BB62" s="253"/>
      <c r="BC62" s="253"/>
      <c r="BD62" s="253"/>
      <c r="BE62" s="253"/>
      <c r="BF62" s="253"/>
      <c r="BG62" s="253"/>
      <c r="BH62" s="253"/>
      <c r="BI62" s="253"/>
      <c r="BJ62" s="253"/>
      <c r="BK62" s="253"/>
      <c r="BL62" s="253"/>
      <c r="BM62" s="253"/>
      <c r="BN62" s="253"/>
      <c r="BO62" s="253"/>
      <c r="BP62" s="253"/>
      <c r="BQ62" s="253"/>
      <c r="BR62" s="253"/>
      <c r="BS62" s="253"/>
      <c r="BT62" s="253"/>
      <c r="BU62" s="253"/>
      <c r="BV62" s="253"/>
      <c r="BW62" s="253"/>
      <c r="BX62" s="253"/>
      <c r="BY62" s="253"/>
      <c r="BZ62" s="253"/>
      <c r="CA62" s="253"/>
      <c r="CB62" s="253"/>
      <c r="CC62" s="253"/>
      <c r="CD62" s="253"/>
      <c r="CE62" s="253"/>
      <c r="CF62" s="253"/>
      <c r="CG62" s="253"/>
      <c r="CH62" s="253"/>
      <c r="CI62" s="253"/>
      <c r="CJ62" s="253"/>
      <c r="CK62" s="253"/>
      <c r="CL62" s="253"/>
      <c r="CM62" s="253"/>
      <c r="CN62" s="253"/>
      <c r="CO62" s="253"/>
      <c r="CP62" s="253"/>
      <c r="CQ62" s="253"/>
      <c r="CR62" s="253"/>
      <c r="CS62" s="253"/>
      <c r="CT62" s="253"/>
      <c r="CU62" s="253"/>
      <c r="CV62" s="253"/>
      <c r="CW62" s="253"/>
      <c r="CX62" s="253"/>
      <c r="CY62" s="253"/>
      <c r="CZ62" s="253"/>
      <c r="DA62" s="253"/>
      <c r="DB62" s="253"/>
      <c r="DC62" s="253"/>
      <c r="DD62" s="253"/>
      <c r="DE62" s="253"/>
      <c r="DF62" s="253"/>
      <c r="DG62" s="253"/>
      <c r="DH62" s="253"/>
      <c r="DI62" s="253"/>
      <c r="DJ62" s="253"/>
      <c r="DK62" s="253"/>
      <c r="DL62" s="253"/>
      <c r="DM62" s="253"/>
      <c r="DN62" s="253"/>
      <c r="DO62" s="253"/>
      <c r="DP62" s="253"/>
      <c r="DQ62" s="253"/>
      <c r="DR62" s="253"/>
      <c r="DS62" s="253"/>
      <c r="DT62" s="253"/>
      <c r="DU62" s="253"/>
      <c r="DV62" s="253"/>
      <c r="DW62" s="253"/>
      <c r="DX62" s="253"/>
      <c r="DY62" s="253"/>
      <c r="DZ62" s="253"/>
      <c r="EA62" s="253"/>
      <c r="EB62" s="253"/>
      <c r="EC62" s="253"/>
      <c r="ED62" s="253"/>
      <c r="EE62" s="253"/>
      <c r="EF62" s="253"/>
      <c r="EG62" s="253"/>
      <c r="EH62" s="253"/>
      <c r="EI62" s="253"/>
      <c r="EJ62" s="253"/>
      <c r="EK62" s="253"/>
      <c r="EL62" s="253"/>
      <c r="EM62" s="253"/>
      <c r="EN62" s="253"/>
      <c r="EO62" s="253"/>
      <c r="EP62" s="253"/>
      <c r="EQ62" s="253"/>
      <c r="ER62" s="253"/>
      <c r="ES62" s="253"/>
      <c r="ET62" s="253"/>
      <c r="EU62" s="253"/>
      <c r="EV62" s="253"/>
      <c r="EW62" s="253"/>
      <c r="EX62" s="253"/>
      <c r="EY62" s="253"/>
      <c r="EZ62" s="253"/>
      <c r="FA62" s="253"/>
      <c r="FB62" s="253"/>
      <c r="FC62" s="253"/>
      <c r="FD62" s="253"/>
      <c r="FE62" s="253"/>
      <c r="FF62" s="253"/>
      <c r="FG62" s="256"/>
      <c r="FH62" s="257" t="s">
        <v>993</v>
      </c>
      <c r="FI62" s="258" t="s">
        <v>389</v>
      </c>
      <c r="FJ62" s="258"/>
      <c r="FK62" s="258" t="s">
        <v>423</v>
      </c>
      <c r="FL62" s="259">
        <f t="shared" si="3"/>
        <v>0</v>
      </c>
      <c r="FM62" s="260" t="s">
        <v>424</v>
      </c>
    </row>
    <row r="63" spans="1:169">
      <c r="A63" s="251" t="s">
        <v>393</v>
      </c>
      <c r="B63" s="251" t="s">
        <v>385</v>
      </c>
      <c r="C63" s="251" t="s">
        <v>411</v>
      </c>
      <c r="D63" s="251" t="s">
        <v>1</v>
      </c>
      <c r="E63" s="252" t="s">
        <v>422</v>
      </c>
      <c r="F63" s="251" t="s">
        <v>388</v>
      </c>
      <c r="G63" s="251"/>
      <c r="H63" s="255">
        <f>5-5</f>
        <v>0</v>
      </c>
      <c r="I63" s="253"/>
      <c r="J63" s="253"/>
      <c r="K63" s="253"/>
      <c r="L63" s="253"/>
      <c r="M63" s="253"/>
      <c r="N63" s="253"/>
      <c r="O63" s="255">
        <f>900-900</f>
        <v>0</v>
      </c>
      <c r="P63" s="255">
        <f>300-300</f>
        <v>0</v>
      </c>
      <c r="Q63" s="253"/>
      <c r="R63" s="253"/>
      <c r="S63" s="255">
        <f>2000-2000</f>
        <v>0</v>
      </c>
      <c r="T63" s="253"/>
      <c r="U63" s="255">
        <f>2000-2000</f>
        <v>0</v>
      </c>
      <c r="V63" s="255">
        <f>2000-2000</f>
        <v>0</v>
      </c>
      <c r="W63" s="255">
        <f>2000-2000</f>
        <v>0</v>
      </c>
      <c r="X63" s="253"/>
      <c r="Y63" s="255">
        <f>2000-2000</f>
        <v>0</v>
      </c>
      <c r="Z63" s="255">
        <f>2000-2000</f>
        <v>0</v>
      </c>
      <c r="AA63" s="253"/>
      <c r="AB63" s="255">
        <f>1990-1990</f>
        <v>0</v>
      </c>
      <c r="AC63" s="255">
        <f>2000-2000</f>
        <v>0</v>
      </c>
      <c r="AD63" s="255">
        <f>2000-2000</f>
        <v>0</v>
      </c>
      <c r="AE63" s="253"/>
      <c r="AF63" s="255">
        <f>2000-2000</f>
        <v>0</v>
      </c>
      <c r="AG63" s="253"/>
      <c r="AH63" s="253"/>
      <c r="AI63" s="255">
        <f>2000-2000</f>
        <v>0</v>
      </c>
      <c r="AJ63" s="255">
        <f>2000-2000</f>
        <v>0</v>
      </c>
      <c r="AK63" s="253"/>
      <c r="AL63" s="255">
        <f>2000-2000</f>
        <v>0</v>
      </c>
      <c r="AM63" s="253"/>
      <c r="AN63" s="253"/>
      <c r="AO63" s="255">
        <f>2000-2000</f>
        <v>0</v>
      </c>
      <c r="AP63" s="253"/>
      <c r="AQ63" s="253"/>
      <c r="AR63" s="255">
        <f>2000-2000</f>
        <v>0</v>
      </c>
      <c r="AS63" s="255">
        <f>2000-2000</f>
        <v>0</v>
      </c>
      <c r="AT63" s="255">
        <f>1890-1890</f>
        <v>0</v>
      </c>
      <c r="AU63" s="253"/>
      <c r="AV63" s="253"/>
      <c r="AW63" s="255">
        <f>2000-2000</f>
        <v>0</v>
      </c>
      <c r="AX63" s="253"/>
      <c r="AY63" s="253"/>
      <c r="AZ63" s="255">
        <f>460-460</f>
        <v>0</v>
      </c>
      <c r="BA63" s="253"/>
      <c r="BB63" s="253"/>
      <c r="BC63" s="253"/>
      <c r="BD63" s="255">
        <f>500-500</f>
        <v>0</v>
      </c>
      <c r="BE63" s="255">
        <f>500-500</f>
        <v>0</v>
      </c>
      <c r="BF63" s="253"/>
      <c r="BG63" s="253"/>
      <c r="BH63" s="253"/>
      <c r="BI63" s="253"/>
      <c r="BJ63" s="253"/>
      <c r="BK63" s="253"/>
      <c r="BL63" s="253"/>
      <c r="BM63" s="253"/>
      <c r="BN63" s="253"/>
      <c r="BO63" s="253"/>
      <c r="BP63" s="255">
        <f>2000-2000</f>
        <v>0</v>
      </c>
      <c r="BQ63" s="255">
        <f>2000-2000</f>
        <v>0</v>
      </c>
      <c r="BR63" s="255">
        <f>2000-2000</f>
        <v>0</v>
      </c>
      <c r="BS63" s="255">
        <f>1820-1820</f>
        <v>0</v>
      </c>
      <c r="BT63" s="255">
        <f>1980-1980</f>
        <v>0</v>
      </c>
      <c r="BU63" s="301">
        <f>2000-2000+40-40</f>
        <v>0</v>
      </c>
      <c r="BV63" s="255">
        <f>2000-2000</f>
        <v>0</v>
      </c>
      <c r="BW63" s="255">
        <f>1995-1995</f>
        <v>0</v>
      </c>
      <c r="BX63" s="255">
        <f>2000-2000</f>
        <v>0</v>
      </c>
      <c r="BY63" s="255">
        <f>1996-1996</f>
        <v>0</v>
      </c>
      <c r="BZ63" s="255">
        <f>2000-2000</f>
        <v>0</v>
      </c>
      <c r="CA63" s="255">
        <f>2000-2000</f>
        <v>0</v>
      </c>
      <c r="CB63" s="255">
        <f>2000-2000</f>
        <v>0</v>
      </c>
      <c r="CC63" s="255">
        <f>980-980</f>
        <v>0</v>
      </c>
      <c r="CD63" s="255">
        <f>1000-1000</f>
        <v>0</v>
      </c>
      <c r="CE63" s="255">
        <f>1000-1000</f>
        <v>0</v>
      </c>
      <c r="CF63" s="255">
        <f>850-850</f>
        <v>0</v>
      </c>
      <c r="CG63" s="255">
        <f>1000-1000</f>
        <v>0</v>
      </c>
      <c r="CH63" s="255">
        <f>200-200</f>
        <v>0</v>
      </c>
      <c r="CI63" s="255">
        <f>192-192</f>
        <v>0</v>
      </c>
      <c r="CJ63" s="255">
        <f>200-200</f>
        <v>0</v>
      </c>
      <c r="CK63" s="255">
        <f>200-200</f>
        <v>0</v>
      </c>
      <c r="CL63" s="255">
        <f>200-200</f>
        <v>0</v>
      </c>
      <c r="CM63" s="255">
        <f>200-200</f>
        <v>0</v>
      </c>
      <c r="CN63" s="253"/>
      <c r="CO63" s="255">
        <f>200-200</f>
        <v>0</v>
      </c>
      <c r="CP63" s="255">
        <f>198-198</f>
        <v>0</v>
      </c>
      <c r="CQ63" s="253"/>
      <c r="CR63" s="253"/>
      <c r="CS63" s="253"/>
      <c r="CT63" s="253"/>
      <c r="CU63" s="253"/>
      <c r="CV63" s="253"/>
      <c r="CW63" s="255">
        <f>30-30</f>
        <v>0</v>
      </c>
      <c r="CX63" s="255">
        <f>170-170</f>
        <v>0</v>
      </c>
      <c r="CY63" s="255">
        <f>50-50</f>
        <v>0</v>
      </c>
      <c r="CZ63" s="255">
        <f>50-50</f>
        <v>0</v>
      </c>
      <c r="DA63" s="255">
        <f>50-50</f>
        <v>0</v>
      </c>
      <c r="DB63" s="255">
        <f>40-40</f>
        <v>0</v>
      </c>
      <c r="DC63" s="255">
        <f>50-50</f>
        <v>0</v>
      </c>
      <c r="DD63" s="255">
        <f>50-50</f>
        <v>0</v>
      </c>
      <c r="DE63" s="255">
        <f>50-50</f>
        <v>0</v>
      </c>
      <c r="DF63" s="255">
        <f>50-50</f>
        <v>0</v>
      </c>
      <c r="DG63" s="253"/>
      <c r="DH63" s="253"/>
      <c r="DI63" s="253"/>
      <c r="DJ63" s="253"/>
      <c r="DK63" s="253"/>
      <c r="DL63" s="253"/>
      <c r="DM63" s="255">
        <f>50-50</f>
        <v>0</v>
      </c>
      <c r="DN63" s="253"/>
      <c r="DO63" s="253"/>
      <c r="DP63" s="253"/>
      <c r="DQ63" s="253"/>
      <c r="DR63" s="253"/>
      <c r="DS63" s="253"/>
      <c r="DT63" s="253"/>
      <c r="DU63" s="253"/>
      <c r="DV63" s="253"/>
      <c r="DW63" s="255">
        <f>1000-1000</f>
        <v>0</v>
      </c>
      <c r="DX63" s="255">
        <f>1000-1000</f>
        <v>0</v>
      </c>
      <c r="DY63" s="253"/>
      <c r="DZ63" s="253"/>
      <c r="EA63" s="255">
        <f>1000-1000</f>
        <v>0</v>
      </c>
      <c r="EB63" s="255">
        <f>1000-1000</f>
        <v>0</v>
      </c>
      <c r="EC63" s="255">
        <f>1000-1000</f>
        <v>0</v>
      </c>
      <c r="ED63" s="255">
        <f>1000-1000</f>
        <v>0</v>
      </c>
      <c r="EE63" s="255">
        <f>1000-1000</f>
        <v>0</v>
      </c>
      <c r="EF63" s="253"/>
      <c r="EG63" s="253"/>
      <c r="EH63" s="255">
        <f>1000-1000</f>
        <v>0</v>
      </c>
      <c r="EI63" s="255">
        <f>1000-1000</f>
        <v>0</v>
      </c>
      <c r="EJ63" s="255">
        <f>1000-1000</f>
        <v>0</v>
      </c>
      <c r="EK63" s="255">
        <f>2000-2000</f>
        <v>0</v>
      </c>
      <c r="EL63" s="255">
        <f>2000-2000</f>
        <v>0</v>
      </c>
      <c r="EM63" s="255">
        <f>980-980</f>
        <v>0</v>
      </c>
      <c r="EN63" s="253"/>
      <c r="EO63" s="255">
        <f>970-970</f>
        <v>0</v>
      </c>
      <c r="EP63" s="255">
        <f>980-980</f>
        <v>0</v>
      </c>
      <c r="EQ63" s="255">
        <f>300-300</f>
        <v>0</v>
      </c>
      <c r="ER63" s="253"/>
      <c r="ES63" s="255">
        <f>290-290</f>
        <v>0</v>
      </c>
      <c r="ET63" s="255">
        <f>300-300</f>
        <v>0</v>
      </c>
      <c r="EU63" s="255">
        <f>300-300</f>
        <v>0</v>
      </c>
      <c r="EV63" s="253"/>
      <c r="EW63" s="255">
        <f>300-300</f>
        <v>0</v>
      </c>
      <c r="EX63" s="255">
        <f>50-50</f>
        <v>0</v>
      </c>
      <c r="EY63" s="255">
        <f>15-15</f>
        <v>0</v>
      </c>
      <c r="EZ63" s="253"/>
      <c r="FA63" s="255">
        <f>50-50</f>
        <v>0</v>
      </c>
      <c r="FB63" s="253"/>
      <c r="FC63" s="255">
        <f>3000-3000</f>
        <v>0</v>
      </c>
      <c r="FD63" s="255">
        <f>3000-3000</f>
        <v>0</v>
      </c>
      <c r="FE63" s="253"/>
      <c r="FF63" s="253"/>
      <c r="FG63" s="256"/>
      <c r="FH63" s="257" t="s">
        <v>993</v>
      </c>
      <c r="FI63" s="258" t="s">
        <v>389</v>
      </c>
      <c r="FJ63" s="258"/>
      <c r="FK63" s="258" t="s">
        <v>423</v>
      </c>
      <c r="FL63" s="259">
        <f t="shared" si="3"/>
        <v>0</v>
      </c>
      <c r="FM63" s="260" t="s">
        <v>424</v>
      </c>
    </row>
    <row r="64" spans="1:169">
      <c r="A64" s="251" t="s">
        <v>393</v>
      </c>
      <c r="B64" s="251" t="s">
        <v>385</v>
      </c>
      <c r="C64" s="251" t="s">
        <v>411</v>
      </c>
      <c r="D64" s="251" t="s">
        <v>293</v>
      </c>
      <c r="E64" s="252" t="s">
        <v>422</v>
      </c>
      <c r="F64" s="251" t="s">
        <v>388</v>
      </c>
      <c r="G64" s="251"/>
      <c r="H64" s="253"/>
      <c r="I64" s="253"/>
      <c r="J64" s="253"/>
      <c r="K64" s="253"/>
      <c r="L64" s="253"/>
      <c r="M64" s="253"/>
      <c r="N64" s="253"/>
      <c r="O64" s="253"/>
      <c r="P64" s="253"/>
      <c r="Q64" s="253"/>
      <c r="R64" s="253"/>
      <c r="S64" s="253"/>
      <c r="T64" s="253"/>
      <c r="U64" s="253"/>
      <c r="V64" s="253"/>
      <c r="W64" s="253"/>
      <c r="X64" s="253"/>
      <c r="Y64" s="253"/>
      <c r="Z64" s="253"/>
      <c r="AA64" s="253"/>
      <c r="AB64" s="253"/>
      <c r="AC64" s="253"/>
      <c r="AD64" s="253"/>
      <c r="AE64" s="253"/>
      <c r="AF64" s="253"/>
      <c r="AG64" s="253"/>
      <c r="AH64" s="253"/>
      <c r="AI64" s="253"/>
      <c r="AJ64" s="253"/>
      <c r="AK64" s="253"/>
      <c r="AL64" s="253"/>
      <c r="AM64" s="253"/>
      <c r="AN64" s="253"/>
      <c r="AO64" s="253"/>
      <c r="AP64" s="253"/>
      <c r="AQ64" s="253"/>
      <c r="AR64" s="253"/>
      <c r="AS64" s="253"/>
      <c r="AT64" s="253"/>
      <c r="AU64" s="253"/>
      <c r="AV64" s="253"/>
      <c r="AW64" s="253"/>
      <c r="AX64" s="253"/>
      <c r="AY64" s="253"/>
      <c r="AZ64" s="253"/>
      <c r="BA64" s="253"/>
      <c r="BB64" s="253"/>
      <c r="BC64" s="253"/>
      <c r="BD64" s="253"/>
      <c r="BE64" s="253"/>
      <c r="BF64" s="253"/>
      <c r="BG64" s="253"/>
      <c r="BH64" s="253"/>
      <c r="BI64" s="253"/>
      <c r="BJ64" s="253"/>
      <c r="BK64" s="253"/>
      <c r="BL64" s="253"/>
      <c r="BM64" s="253"/>
      <c r="BN64" s="253"/>
      <c r="BO64" s="253"/>
      <c r="BP64" s="253"/>
      <c r="BQ64" s="253"/>
      <c r="BR64" s="253"/>
      <c r="BS64" s="253"/>
      <c r="BT64" s="253"/>
      <c r="BU64" s="253"/>
      <c r="BV64" s="253"/>
      <c r="BW64" s="253"/>
      <c r="BX64" s="253"/>
      <c r="BY64" s="253"/>
      <c r="BZ64" s="253"/>
      <c r="CA64" s="253"/>
      <c r="CB64" s="253"/>
      <c r="CC64" s="253"/>
      <c r="CD64" s="253"/>
      <c r="CE64" s="253"/>
      <c r="CF64" s="253"/>
      <c r="CG64" s="253"/>
      <c r="CH64" s="253"/>
      <c r="CI64" s="253"/>
      <c r="CJ64" s="253"/>
      <c r="CK64" s="253"/>
      <c r="CL64" s="253"/>
      <c r="CM64" s="253"/>
      <c r="CN64" s="255">
        <f>160-160</f>
        <v>0</v>
      </c>
      <c r="CO64" s="253"/>
      <c r="CP64" s="253"/>
      <c r="CQ64" s="253"/>
      <c r="CR64" s="253"/>
      <c r="CS64" s="253"/>
      <c r="CT64" s="253"/>
      <c r="CU64" s="253"/>
      <c r="CV64" s="253"/>
      <c r="CW64" s="253"/>
      <c r="CX64" s="253"/>
      <c r="CY64" s="253"/>
      <c r="CZ64" s="253"/>
      <c r="DA64" s="253"/>
      <c r="DB64" s="253"/>
      <c r="DC64" s="253"/>
      <c r="DD64" s="253"/>
      <c r="DE64" s="253"/>
      <c r="DF64" s="253"/>
      <c r="DG64" s="253"/>
      <c r="DH64" s="253"/>
      <c r="DI64" s="253"/>
      <c r="DJ64" s="253"/>
      <c r="DK64" s="253"/>
      <c r="DL64" s="253"/>
      <c r="DM64" s="253"/>
      <c r="DN64" s="253"/>
      <c r="DO64" s="253"/>
      <c r="DP64" s="253"/>
      <c r="DQ64" s="253"/>
      <c r="DR64" s="253"/>
      <c r="DS64" s="253"/>
      <c r="DT64" s="253"/>
      <c r="DU64" s="253"/>
      <c r="DV64" s="253"/>
      <c r="DW64" s="253"/>
      <c r="DX64" s="253"/>
      <c r="DY64" s="253"/>
      <c r="DZ64" s="253"/>
      <c r="EA64" s="253"/>
      <c r="EB64" s="253"/>
      <c r="EC64" s="253"/>
      <c r="ED64" s="253"/>
      <c r="EE64" s="253"/>
      <c r="EF64" s="253"/>
      <c r="EG64" s="253"/>
      <c r="EH64" s="253"/>
      <c r="EI64" s="253"/>
      <c r="EJ64" s="253"/>
      <c r="EK64" s="253"/>
      <c r="EL64" s="253"/>
      <c r="EM64" s="253"/>
      <c r="EN64" s="255">
        <f>1000-1000</f>
        <v>0</v>
      </c>
      <c r="EO64" s="253"/>
      <c r="EP64" s="253"/>
      <c r="EQ64" s="253"/>
      <c r="ER64" s="255">
        <f>300-300</f>
        <v>0</v>
      </c>
      <c r="ES64" s="253"/>
      <c r="ET64" s="253"/>
      <c r="EU64" s="253"/>
      <c r="EV64" s="255">
        <f>300-300</f>
        <v>0</v>
      </c>
      <c r="EW64" s="253"/>
      <c r="EX64" s="253"/>
      <c r="EY64" s="253"/>
      <c r="EZ64" s="255">
        <f>50-50</f>
        <v>0</v>
      </c>
      <c r="FA64" s="253"/>
      <c r="FB64" s="253"/>
      <c r="FC64" s="253"/>
      <c r="FD64" s="253"/>
      <c r="FE64" s="253"/>
      <c r="FF64" s="253"/>
      <c r="FG64" s="256"/>
      <c r="FH64" s="257" t="s">
        <v>993</v>
      </c>
      <c r="FI64" s="258" t="s">
        <v>389</v>
      </c>
      <c r="FJ64" s="258"/>
      <c r="FK64" s="258" t="s">
        <v>423</v>
      </c>
      <c r="FL64" s="259">
        <f t="shared" si="3"/>
        <v>0</v>
      </c>
      <c r="FM64" s="260" t="s">
        <v>424</v>
      </c>
    </row>
    <row r="65" spans="1:169">
      <c r="A65" s="251" t="s">
        <v>385</v>
      </c>
      <c r="B65" s="251" t="s">
        <v>385</v>
      </c>
      <c r="C65" s="251" t="s">
        <v>411</v>
      </c>
      <c r="D65" s="251" t="s">
        <v>291</v>
      </c>
      <c r="E65" s="252" t="s">
        <v>203</v>
      </c>
      <c r="F65" s="251" t="s">
        <v>388</v>
      </c>
      <c r="G65" s="251"/>
      <c r="H65" s="253"/>
      <c r="I65" s="253"/>
      <c r="J65" s="253"/>
      <c r="K65" s="253"/>
      <c r="L65" s="253"/>
      <c r="M65" s="253"/>
      <c r="N65" s="255">
        <f>200-200</f>
        <v>0</v>
      </c>
      <c r="O65" s="253"/>
      <c r="P65" s="253"/>
      <c r="Q65" s="253"/>
      <c r="R65" s="253"/>
      <c r="S65" s="253"/>
      <c r="T65" s="253"/>
      <c r="U65" s="253"/>
      <c r="V65" s="253"/>
      <c r="W65" s="253"/>
      <c r="X65" s="253"/>
      <c r="Y65" s="253"/>
      <c r="Z65" s="253"/>
      <c r="AA65" s="253"/>
      <c r="AB65" s="253"/>
      <c r="AC65" s="253"/>
      <c r="AD65" s="253"/>
      <c r="AE65" s="255">
        <f>200-200</f>
        <v>0</v>
      </c>
      <c r="AF65" s="253"/>
      <c r="AG65" s="255">
        <f>200-200</f>
        <v>0</v>
      </c>
      <c r="AH65" s="255">
        <f>200-200</f>
        <v>0</v>
      </c>
      <c r="AI65" s="253"/>
      <c r="AJ65" s="253"/>
      <c r="AK65" s="253"/>
      <c r="AL65" s="253"/>
      <c r="AM65" s="255">
        <f>200-200</f>
        <v>0</v>
      </c>
      <c r="AN65" s="253"/>
      <c r="AO65" s="253"/>
      <c r="AP65" s="253"/>
      <c r="AQ65" s="253"/>
      <c r="AR65" s="253"/>
      <c r="AS65" s="253"/>
      <c r="AT65" s="253"/>
      <c r="AU65" s="253"/>
      <c r="AV65" s="253"/>
      <c r="AW65" s="253"/>
      <c r="AX65" s="253"/>
      <c r="AY65" s="253"/>
      <c r="AZ65" s="253"/>
      <c r="BA65" s="253"/>
      <c r="BB65" s="253"/>
      <c r="BC65" s="253"/>
      <c r="BD65" s="253"/>
      <c r="BE65" s="253"/>
      <c r="BF65" s="253"/>
      <c r="BG65" s="253"/>
      <c r="BH65" s="253"/>
      <c r="BI65" s="253"/>
      <c r="BJ65" s="253"/>
      <c r="BK65" s="253"/>
      <c r="BL65" s="253"/>
      <c r="BM65" s="253"/>
      <c r="BN65" s="253"/>
      <c r="BO65" s="253"/>
      <c r="BP65" s="253"/>
      <c r="BQ65" s="253"/>
      <c r="BR65" s="253"/>
      <c r="BS65" s="253"/>
      <c r="BT65" s="253"/>
      <c r="BU65" s="253"/>
      <c r="BV65" s="253"/>
      <c r="BW65" s="253"/>
      <c r="BX65" s="253"/>
      <c r="BY65" s="253"/>
      <c r="BZ65" s="253"/>
      <c r="CA65" s="253"/>
      <c r="CB65" s="253"/>
      <c r="CC65" s="253"/>
      <c r="CD65" s="253"/>
      <c r="CE65" s="253"/>
      <c r="CF65" s="253"/>
      <c r="CG65" s="253"/>
      <c r="CH65" s="253"/>
      <c r="CI65" s="253"/>
      <c r="CJ65" s="253"/>
      <c r="CK65" s="253"/>
      <c r="CL65" s="253"/>
      <c r="CM65" s="253"/>
      <c r="CN65" s="253"/>
      <c r="CO65" s="253"/>
      <c r="CP65" s="253"/>
      <c r="CQ65" s="253"/>
      <c r="CR65" s="253"/>
      <c r="CS65" s="253"/>
      <c r="CT65" s="253"/>
      <c r="CU65" s="253"/>
      <c r="CV65" s="253"/>
      <c r="CW65" s="253"/>
      <c r="CX65" s="253"/>
      <c r="CY65" s="253"/>
      <c r="CZ65" s="253"/>
      <c r="DA65" s="253"/>
      <c r="DB65" s="253"/>
      <c r="DC65" s="253"/>
      <c r="DD65" s="253"/>
      <c r="DE65" s="253"/>
      <c r="DF65" s="253"/>
      <c r="DG65" s="253"/>
      <c r="DH65" s="253"/>
      <c r="DI65" s="253"/>
      <c r="DJ65" s="253"/>
      <c r="DK65" s="253"/>
      <c r="DL65" s="253"/>
      <c r="DM65" s="253"/>
      <c r="DN65" s="253"/>
      <c r="DO65" s="253"/>
      <c r="DP65" s="253"/>
      <c r="DQ65" s="253"/>
      <c r="DR65" s="253"/>
      <c r="DS65" s="253"/>
      <c r="DT65" s="253"/>
      <c r="DU65" s="253"/>
      <c r="DV65" s="253"/>
      <c r="DW65" s="253"/>
      <c r="DX65" s="253"/>
      <c r="DY65" s="253"/>
      <c r="DZ65" s="253"/>
      <c r="EA65" s="253"/>
      <c r="EB65" s="253"/>
      <c r="EC65" s="253"/>
      <c r="ED65" s="253"/>
      <c r="EE65" s="253"/>
      <c r="EF65" s="253"/>
      <c r="EG65" s="253"/>
      <c r="EH65" s="253"/>
      <c r="EI65" s="253"/>
      <c r="EJ65" s="253"/>
      <c r="EK65" s="253"/>
      <c r="EL65" s="253"/>
      <c r="EM65" s="253"/>
      <c r="EN65" s="253"/>
      <c r="EO65" s="253"/>
      <c r="EP65" s="253"/>
      <c r="EQ65" s="253"/>
      <c r="ER65" s="253"/>
      <c r="ES65" s="253"/>
      <c r="ET65" s="253"/>
      <c r="EU65" s="253"/>
      <c r="EV65" s="253"/>
      <c r="EW65" s="253"/>
      <c r="EX65" s="253"/>
      <c r="EY65" s="253"/>
      <c r="EZ65" s="253"/>
      <c r="FA65" s="253"/>
      <c r="FB65" s="253"/>
      <c r="FC65" s="253"/>
      <c r="FD65" s="253"/>
      <c r="FE65" s="253"/>
      <c r="FF65" s="253"/>
      <c r="FG65" s="256"/>
      <c r="FH65" s="257" t="s">
        <v>993</v>
      </c>
      <c r="FI65" s="258" t="s">
        <v>389</v>
      </c>
      <c r="FJ65" s="258" t="s">
        <v>839</v>
      </c>
      <c r="FK65" s="258" t="s">
        <v>426</v>
      </c>
      <c r="FL65" s="259">
        <f t="shared" si="3"/>
        <v>0</v>
      </c>
      <c r="FM65" s="260" t="s">
        <v>433</v>
      </c>
    </row>
    <row r="66" spans="1:169">
      <c r="A66" s="251" t="s">
        <v>385</v>
      </c>
      <c r="B66" s="251" t="s">
        <v>385</v>
      </c>
      <c r="C66" s="251" t="s">
        <v>411</v>
      </c>
      <c r="D66" s="251" t="s">
        <v>1</v>
      </c>
      <c r="E66" s="252" t="s">
        <v>203</v>
      </c>
      <c r="F66" s="251" t="s">
        <v>388</v>
      </c>
      <c r="G66" s="251"/>
      <c r="H66" s="253"/>
      <c r="I66" s="253"/>
      <c r="J66" s="253"/>
      <c r="K66" s="253"/>
      <c r="L66" s="255">
        <f>100-100</f>
        <v>0</v>
      </c>
      <c r="M66" s="253"/>
      <c r="N66" s="253"/>
      <c r="O66" s="255">
        <f>200-200</f>
        <v>0</v>
      </c>
      <c r="P66" s="255">
        <f>300-300</f>
        <v>0</v>
      </c>
      <c r="Q66" s="253"/>
      <c r="R66" s="253"/>
      <c r="S66" s="253"/>
      <c r="T66" s="253"/>
      <c r="U66" s="253"/>
      <c r="V66" s="253"/>
      <c r="W66" s="253"/>
      <c r="X66" s="253"/>
      <c r="Y66" s="253"/>
      <c r="Z66" s="253"/>
      <c r="AA66" s="253"/>
      <c r="AB66" s="255">
        <f>200-200</f>
        <v>0</v>
      </c>
      <c r="AC66" s="255">
        <f>200-200</f>
        <v>0</v>
      </c>
      <c r="AD66" s="253"/>
      <c r="AE66" s="253"/>
      <c r="AF66" s="253"/>
      <c r="AG66" s="253"/>
      <c r="AH66" s="253"/>
      <c r="AI66" s="253"/>
      <c r="AJ66" s="253"/>
      <c r="AK66" s="255">
        <f>200-200</f>
        <v>0</v>
      </c>
      <c r="AL66" s="253"/>
      <c r="AM66" s="253"/>
      <c r="AN66" s="253"/>
      <c r="AO66" s="253"/>
      <c r="AP66" s="253"/>
      <c r="AQ66" s="253"/>
      <c r="AR66" s="253"/>
      <c r="AS66" s="253"/>
      <c r="AT66" s="255">
        <f>300-300</f>
        <v>0</v>
      </c>
      <c r="AU66" s="253"/>
      <c r="AV66" s="253"/>
      <c r="AW66" s="253"/>
      <c r="AX66" s="253"/>
      <c r="AY66" s="253"/>
      <c r="AZ66" s="255">
        <f>200-200</f>
        <v>0</v>
      </c>
      <c r="BA66" s="253"/>
      <c r="BB66" s="253"/>
      <c r="BC66" s="253"/>
      <c r="BD66" s="255">
        <f>200-200</f>
        <v>0</v>
      </c>
      <c r="BE66" s="253"/>
      <c r="BF66" s="253"/>
      <c r="BG66" s="253"/>
      <c r="BH66" s="253"/>
      <c r="BI66" s="253"/>
      <c r="BJ66" s="253"/>
      <c r="BK66" s="253"/>
      <c r="BL66" s="253"/>
      <c r="BM66" s="253"/>
      <c r="BN66" s="253"/>
      <c r="BO66" s="253"/>
      <c r="BP66" s="253"/>
      <c r="BQ66" s="253"/>
      <c r="BR66" s="253"/>
      <c r="BS66" s="253"/>
      <c r="BT66" s="253"/>
      <c r="BU66" s="253"/>
      <c r="BV66" s="253"/>
      <c r="BW66" s="253"/>
      <c r="BX66" s="253"/>
      <c r="BY66" s="253"/>
      <c r="BZ66" s="253"/>
      <c r="CA66" s="253"/>
      <c r="CB66" s="253"/>
      <c r="CC66" s="253"/>
      <c r="CD66" s="253"/>
      <c r="CE66" s="253"/>
      <c r="CF66" s="253"/>
      <c r="CG66" s="253"/>
      <c r="CH66" s="253"/>
      <c r="CI66" s="253"/>
      <c r="CJ66" s="253"/>
      <c r="CK66" s="253"/>
      <c r="CL66" s="253"/>
      <c r="CM66" s="253"/>
      <c r="CN66" s="253"/>
      <c r="CO66" s="253"/>
      <c r="CP66" s="253"/>
      <c r="CQ66" s="253"/>
      <c r="CR66" s="253"/>
      <c r="CS66" s="253"/>
      <c r="CT66" s="253"/>
      <c r="CU66" s="253"/>
      <c r="CV66" s="253"/>
      <c r="CW66" s="253"/>
      <c r="CX66" s="253"/>
      <c r="CY66" s="253"/>
      <c r="CZ66" s="253"/>
      <c r="DA66" s="253"/>
      <c r="DB66" s="253"/>
      <c r="DC66" s="253"/>
      <c r="DD66" s="253"/>
      <c r="DE66" s="253"/>
      <c r="DF66" s="253"/>
      <c r="DG66" s="253"/>
      <c r="DH66" s="253"/>
      <c r="DI66" s="253"/>
      <c r="DJ66" s="253"/>
      <c r="DK66" s="253"/>
      <c r="DL66" s="253"/>
      <c r="DM66" s="253"/>
      <c r="DN66" s="253"/>
      <c r="DO66" s="253"/>
      <c r="DP66" s="253"/>
      <c r="DQ66" s="253"/>
      <c r="DR66" s="253"/>
      <c r="DS66" s="253"/>
      <c r="DT66" s="253"/>
      <c r="DU66" s="253"/>
      <c r="DV66" s="253"/>
      <c r="DW66" s="253"/>
      <c r="DX66" s="253"/>
      <c r="DY66" s="253"/>
      <c r="DZ66" s="253"/>
      <c r="EA66" s="255">
        <f>100-100</f>
        <v>0</v>
      </c>
      <c r="EB66" s="255">
        <f>100-100</f>
        <v>0</v>
      </c>
      <c r="EC66" s="253"/>
      <c r="ED66" s="253"/>
      <c r="EE66" s="255">
        <f>100-100</f>
        <v>0</v>
      </c>
      <c r="EF66" s="253"/>
      <c r="EG66" s="253"/>
      <c r="EH66" s="255">
        <f>100-100</f>
        <v>0</v>
      </c>
      <c r="EI66" s="253"/>
      <c r="EJ66" s="255">
        <f>200-200</f>
        <v>0</v>
      </c>
      <c r="EK66" s="253"/>
      <c r="EL66" s="253"/>
      <c r="EM66" s="253"/>
      <c r="EN66" s="253"/>
      <c r="EO66" s="253"/>
      <c r="EP66" s="253"/>
      <c r="EQ66" s="253"/>
      <c r="ER66" s="253"/>
      <c r="ES66" s="253"/>
      <c r="ET66" s="253"/>
      <c r="EU66" s="253"/>
      <c r="EV66" s="253"/>
      <c r="EW66" s="253"/>
      <c r="EX66" s="253"/>
      <c r="EY66" s="253"/>
      <c r="EZ66" s="253"/>
      <c r="FA66" s="253"/>
      <c r="FB66" s="253"/>
      <c r="FC66" s="253"/>
      <c r="FD66" s="253"/>
      <c r="FE66" s="253"/>
      <c r="FF66" s="253"/>
      <c r="FG66" s="256"/>
      <c r="FH66" s="257" t="s">
        <v>993</v>
      </c>
      <c r="FI66" s="258" t="s">
        <v>389</v>
      </c>
      <c r="FJ66" s="258" t="s">
        <v>839</v>
      </c>
      <c r="FK66" s="258" t="s">
        <v>426</v>
      </c>
      <c r="FL66" s="259">
        <f t="shared" si="3"/>
        <v>0</v>
      </c>
      <c r="FM66" s="260" t="s">
        <v>433</v>
      </c>
    </row>
    <row r="67" spans="1:169">
      <c r="A67" s="251" t="s">
        <v>393</v>
      </c>
      <c r="B67" s="251" t="s">
        <v>385</v>
      </c>
      <c r="C67" s="251" t="s">
        <v>411</v>
      </c>
      <c r="D67" s="251" t="s">
        <v>291</v>
      </c>
      <c r="E67" s="252" t="s">
        <v>427</v>
      </c>
      <c r="F67" s="251" t="s">
        <v>388</v>
      </c>
      <c r="G67" s="251"/>
      <c r="H67" s="253"/>
      <c r="I67" s="255">
        <f>200-200</f>
        <v>0</v>
      </c>
      <c r="J67" s="253"/>
      <c r="K67" s="255">
        <f>200-200</f>
        <v>0</v>
      </c>
      <c r="L67" s="253"/>
      <c r="M67" s="253"/>
      <c r="N67" s="255">
        <f>200-200</f>
        <v>0</v>
      </c>
      <c r="O67" s="253"/>
      <c r="P67" s="253"/>
      <c r="Q67" s="253"/>
      <c r="R67" s="253"/>
      <c r="S67" s="253"/>
      <c r="T67" s="253"/>
      <c r="U67" s="253"/>
      <c r="V67" s="253"/>
      <c r="W67" s="253"/>
      <c r="X67" s="253"/>
      <c r="Y67" s="253"/>
      <c r="Z67" s="253"/>
      <c r="AA67" s="253"/>
      <c r="AB67" s="253"/>
      <c r="AC67" s="253"/>
      <c r="AD67" s="253"/>
      <c r="AE67" s="255">
        <f>200-200</f>
        <v>0</v>
      </c>
      <c r="AF67" s="253"/>
      <c r="AG67" s="255">
        <f>200-200</f>
        <v>0</v>
      </c>
      <c r="AH67" s="255">
        <f>200-200</f>
        <v>0</v>
      </c>
      <c r="AI67" s="253"/>
      <c r="AJ67" s="253"/>
      <c r="AK67" s="253"/>
      <c r="AL67" s="253"/>
      <c r="AM67" s="253"/>
      <c r="AN67" s="253"/>
      <c r="AO67" s="253"/>
      <c r="AP67" s="255">
        <f>200-200</f>
        <v>0</v>
      </c>
      <c r="AQ67" s="255">
        <f>200-200</f>
        <v>0</v>
      </c>
      <c r="AR67" s="253"/>
      <c r="AS67" s="253"/>
      <c r="AT67" s="253"/>
      <c r="AU67" s="253"/>
      <c r="AV67" s="253"/>
      <c r="AW67" s="253"/>
      <c r="AX67" s="253"/>
      <c r="AY67" s="253"/>
      <c r="AZ67" s="253"/>
      <c r="BA67" s="253"/>
      <c r="BB67" s="253"/>
      <c r="BC67" s="253"/>
      <c r="BD67" s="253"/>
      <c r="BE67" s="253"/>
      <c r="BF67" s="253"/>
      <c r="BG67" s="253"/>
      <c r="BH67" s="253"/>
      <c r="BI67" s="253"/>
      <c r="BJ67" s="253"/>
      <c r="BK67" s="253"/>
      <c r="BL67" s="253"/>
      <c r="BM67" s="253"/>
      <c r="BN67" s="253"/>
      <c r="BO67" s="253"/>
      <c r="BP67" s="253"/>
      <c r="BQ67" s="253"/>
      <c r="BR67" s="253"/>
      <c r="BS67" s="253"/>
      <c r="BT67" s="253"/>
      <c r="BU67" s="253"/>
      <c r="BV67" s="253"/>
      <c r="BW67" s="253"/>
      <c r="BX67" s="253"/>
      <c r="BY67" s="253"/>
      <c r="BZ67" s="253"/>
      <c r="CA67" s="253"/>
      <c r="CB67" s="253"/>
      <c r="CC67" s="253"/>
      <c r="CD67" s="253"/>
      <c r="CE67" s="253"/>
      <c r="CF67" s="253"/>
      <c r="CG67" s="253"/>
      <c r="CH67" s="253"/>
      <c r="CI67" s="253"/>
      <c r="CJ67" s="253"/>
      <c r="CK67" s="253"/>
      <c r="CL67" s="253"/>
      <c r="CM67" s="253"/>
      <c r="CN67" s="253"/>
      <c r="CO67" s="253"/>
      <c r="CP67" s="253"/>
      <c r="CQ67" s="253"/>
      <c r="CR67" s="253"/>
      <c r="CS67" s="253"/>
      <c r="CT67" s="253"/>
      <c r="CU67" s="253"/>
      <c r="CV67" s="253"/>
      <c r="CW67" s="253"/>
      <c r="CX67" s="253"/>
      <c r="CY67" s="253"/>
      <c r="CZ67" s="253"/>
      <c r="DA67" s="253"/>
      <c r="DB67" s="253"/>
      <c r="DC67" s="253"/>
      <c r="DD67" s="253"/>
      <c r="DE67" s="253"/>
      <c r="DF67" s="253"/>
      <c r="DG67" s="253"/>
      <c r="DH67" s="253"/>
      <c r="DI67" s="253"/>
      <c r="DJ67" s="253"/>
      <c r="DK67" s="253"/>
      <c r="DL67" s="253"/>
      <c r="DM67" s="253"/>
      <c r="DN67" s="253"/>
      <c r="DO67" s="253"/>
      <c r="DP67" s="253"/>
      <c r="DQ67" s="255">
        <f>100-100</f>
        <v>0</v>
      </c>
      <c r="DR67" s="253"/>
      <c r="DS67" s="253"/>
      <c r="DT67" s="255">
        <f>200-200</f>
        <v>0</v>
      </c>
      <c r="DU67" s="253"/>
      <c r="DV67" s="253"/>
      <c r="DW67" s="253"/>
      <c r="DX67" s="253"/>
      <c r="DY67" s="253"/>
      <c r="DZ67" s="253"/>
      <c r="EA67" s="253"/>
      <c r="EB67" s="253"/>
      <c r="EC67" s="253"/>
      <c r="ED67" s="253"/>
      <c r="EE67" s="253"/>
      <c r="EF67" s="253"/>
      <c r="EG67" s="253"/>
      <c r="EH67" s="253"/>
      <c r="EI67" s="253"/>
      <c r="EJ67" s="253"/>
      <c r="EK67" s="253"/>
      <c r="EL67" s="253"/>
      <c r="EM67" s="253"/>
      <c r="EN67" s="253"/>
      <c r="EO67" s="253"/>
      <c r="EP67" s="253"/>
      <c r="EQ67" s="253"/>
      <c r="ER67" s="253"/>
      <c r="ES67" s="253"/>
      <c r="ET67" s="253"/>
      <c r="EU67" s="253"/>
      <c r="EV67" s="253"/>
      <c r="EW67" s="253"/>
      <c r="EX67" s="253"/>
      <c r="EY67" s="253"/>
      <c r="EZ67" s="253"/>
      <c r="FA67" s="253"/>
      <c r="FB67" s="253"/>
      <c r="FC67" s="253"/>
      <c r="FD67" s="253"/>
      <c r="FE67" s="253"/>
      <c r="FF67" s="253"/>
      <c r="FG67" s="256"/>
      <c r="FH67" s="257" t="s">
        <v>993</v>
      </c>
      <c r="FI67" s="258" t="s">
        <v>389</v>
      </c>
      <c r="FJ67" s="258"/>
      <c r="FK67" s="258" t="s">
        <v>423</v>
      </c>
      <c r="FL67" s="259">
        <f t="shared" si="3"/>
        <v>0</v>
      </c>
      <c r="FM67" s="260" t="s">
        <v>835</v>
      </c>
    </row>
    <row r="68" spans="1:169">
      <c r="A68" s="251" t="s">
        <v>393</v>
      </c>
      <c r="B68" s="251" t="s">
        <v>385</v>
      </c>
      <c r="C68" s="251" t="s">
        <v>411</v>
      </c>
      <c r="D68" s="251" t="s">
        <v>1</v>
      </c>
      <c r="E68" s="252" t="s">
        <v>427</v>
      </c>
      <c r="F68" s="251" t="s">
        <v>388</v>
      </c>
      <c r="G68" s="251"/>
      <c r="H68" s="253"/>
      <c r="I68" s="253"/>
      <c r="J68" s="253"/>
      <c r="K68" s="253"/>
      <c r="L68" s="255">
        <f>200-200</f>
        <v>0</v>
      </c>
      <c r="M68" s="253"/>
      <c r="N68" s="253"/>
      <c r="O68" s="255">
        <f>200-200</f>
        <v>0</v>
      </c>
      <c r="P68" s="255">
        <f>200-200</f>
        <v>0</v>
      </c>
      <c r="Q68" s="253"/>
      <c r="R68" s="253"/>
      <c r="S68" s="255">
        <f>100-100</f>
        <v>0</v>
      </c>
      <c r="T68" s="253"/>
      <c r="U68" s="255">
        <f>100-100</f>
        <v>0</v>
      </c>
      <c r="V68" s="253"/>
      <c r="W68" s="253"/>
      <c r="X68" s="253"/>
      <c r="Y68" s="253"/>
      <c r="Z68" s="253"/>
      <c r="AA68" s="255">
        <f>100-100</f>
        <v>0</v>
      </c>
      <c r="AB68" s="255">
        <f>200-200</f>
        <v>0</v>
      </c>
      <c r="AC68" s="255">
        <f>100-100</f>
        <v>0</v>
      </c>
      <c r="AD68" s="253"/>
      <c r="AE68" s="253"/>
      <c r="AF68" s="253"/>
      <c r="AG68" s="253"/>
      <c r="AH68" s="253"/>
      <c r="AI68" s="253"/>
      <c r="AJ68" s="253"/>
      <c r="AK68" s="253"/>
      <c r="AL68" s="253"/>
      <c r="AM68" s="253"/>
      <c r="AN68" s="253"/>
      <c r="AO68" s="253"/>
      <c r="AP68" s="253"/>
      <c r="AQ68" s="253"/>
      <c r="AR68" s="253"/>
      <c r="AS68" s="253"/>
      <c r="AT68" s="255">
        <f>200-200</f>
        <v>0</v>
      </c>
      <c r="AU68" s="253"/>
      <c r="AV68" s="253"/>
      <c r="AW68" s="253"/>
      <c r="AX68" s="253"/>
      <c r="AY68" s="253"/>
      <c r="AZ68" s="253"/>
      <c r="BA68" s="253"/>
      <c r="BB68" s="253"/>
      <c r="BC68" s="253"/>
      <c r="BD68" s="255">
        <f>100-100</f>
        <v>0</v>
      </c>
      <c r="BE68" s="253"/>
      <c r="BF68" s="255">
        <f>100-100</f>
        <v>0</v>
      </c>
      <c r="BG68" s="253"/>
      <c r="BH68" s="253"/>
      <c r="BI68" s="253"/>
      <c r="BJ68" s="253"/>
      <c r="BK68" s="253"/>
      <c r="BL68" s="253"/>
      <c r="BM68" s="253"/>
      <c r="BN68" s="253"/>
      <c r="BO68" s="253"/>
      <c r="BP68" s="255">
        <f>100-100</f>
        <v>0</v>
      </c>
      <c r="BQ68" s="255">
        <f>100-100</f>
        <v>0</v>
      </c>
      <c r="BR68" s="255">
        <f>100-100</f>
        <v>0</v>
      </c>
      <c r="BS68" s="255">
        <f>100-100</f>
        <v>0</v>
      </c>
      <c r="BT68" s="255">
        <f>100-100</f>
        <v>0</v>
      </c>
      <c r="BU68" s="253"/>
      <c r="BV68" s="255">
        <f>200-200</f>
        <v>0</v>
      </c>
      <c r="BW68" s="255">
        <f>200-200</f>
        <v>0</v>
      </c>
      <c r="BX68" s="255">
        <f>200-200</f>
        <v>0</v>
      </c>
      <c r="BY68" s="255">
        <f>200-200</f>
        <v>0</v>
      </c>
      <c r="BZ68" s="255">
        <f>200-200</f>
        <v>0</v>
      </c>
      <c r="CA68" s="253"/>
      <c r="CB68" s="255">
        <f>200-200</f>
        <v>0</v>
      </c>
      <c r="CC68" s="255">
        <f>200-200</f>
        <v>0</v>
      </c>
      <c r="CD68" s="255">
        <f>100-100</f>
        <v>0</v>
      </c>
      <c r="CE68" s="255">
        <f>200-200</f>
        <v>0</v>
      </c>
      <c r="CF68" s="255">
        <f>200-200</f>
        <v>0</v>
      </c>
      <c r="CG68" s="255">
        <f>200-200</f>
        <v>0</v>
      </c>
      <c r="CH68" s="255">
        <f>200-200</f>
        <v>0</v>
      </c>
      <c r="CI68" s="255">
        <f>40-40</f>
        <v>0</v>
      </c>
      <c r="CJ68" s="255">
        <f>40-40</f>
        <v>0</v>
      </c>
      <c r="CK68" s="255">
        <f>200-200</f>
        <v>0</v>
      </c>
      <c r="CL68" s="253"/>
      <c r="CM68" s="255">
        <f>200-200</f>
        <v>0</v>
      </c>
      <c r="CN68" s="253"/>
      <c r="CO68" s="253"/>
      <c r="CP68" s="253"/>
      <c r="CQ68" s="253"/>
      <c r="CR68" s="253"/>
      <c r="CS68" s="253"/>
      <c r="CT68" s="253"/>
      <c r="CU68" s="253"/>
      <c r="CV68" s="253"/>
      <c r="CW68" s="255">
        <f>200-200</f>
        <v>0</v>
      </c>
      <c r="CX68" s="255">
        <f>200-200</f>
        <v>0</v>
      </c>
      <c r="CY68" s="255">
        <f>20-20</f>
        <v>0</v>
      </c>
      <c r="CZ68" s="255">
        <f>5-5</f>
        <v>0</v>
      </c>
      <c r="DA68" s="255">
        <f>5-5</f>
        <v>0</v>
      </c>
      <c r="DB68" s="255">
        <f>20-20</f>
        <v>0</v>
      </c>
      <c r="DC68" s="253"/>
      <c r="DD68" s="255">
        <f>20-20</f>
        <v>0</v>
      </c>
      <c r="DE68" s="255">
        <f>20-20</f>
        <v>0</v>
      </c>
      <c r="DF68" s="253"/>
      <c r="DG68" s="253"/>
      <c r="DH68" s="253"/>
      <c r="DI68" s="253"/>
      <c r="DJ68" s="253"/>
      <c r="DK68" s="253"/>
      <c r="DL68" s="253"/>
      <c r="DM68" s="255">
        <f>20-20</f>
        <v>0</v>
      </c>
      <c r="DN68" s="253"/>
      <c r="DO68" s="253"/>
      <c r="DP68" s="253"/>
      <c r="DQ68" s="253"/>
      <c r="DR68" s="301">
        <f>100-100+100</f>
        <v>100</v>
      </c>
      <c r="DS68" s="253"/>
      <c r="DT68" s="253"/>
      <c r="DU68" s="253"/>
      <c r="DV68" s="253"/>
      <c r="DW68" s="253"/>
      <c r="DX68" s="253"/>
      <c r="DY68" s="253"/>
      <c r="DZ68" s="253"/>
      <c r="EA68" s="255">
        <f>200-200</f>
        <v>0</v>
      </c>
      <c r="EB68" s="255">
        <f>20-20</f>
        <v>0</v>
      </c>
      <c r="EC68" s="255">
        <f>200-200</f>
        <v>0</v>
      </c>
      <c r="ED68" s="253"/>
      <c r="EE68" s="255">
        <f>200-200</f>
        <v>0</v>
      </c>
      <c r="EF68" s="253"/>
      <c r="EG68" s="255">
        <f>200-200</f>
        <v>0</v>
      </c>
      <c r="EH68" s="255">
        <f>200-200</f>
        <v>0</v>
      </c>
      <c r="EI68" s="253"/>
      <c r="EJ68" s="255">
        <f>200-200</f>
        <v>0</v>
      </c>
      <c r="EK68" s="253"/>
      <c r="EL68" s="253"/>
      <c r="EM68" s="253"/>
      <c r="EN68" s="253"/>
      <c r="EO68" s="255">
        <f>100-100</f>
        <v>0</v>
      </c>
      <c r="EP68" s="255">
        <f>100-100</f>
        <v>0</v>
      </c>
      <c r="EQ68" s="255">
        <f>60-60</f>
        <v>0</v>
      </c>
      <c r="ER68" s="253"/>
      <c r="ES68" s="255">
        <f>60-60</f>
        <v>0</v>
      </c>
      <c r="ET68" s="255">
        <f>60-60</f>
        <v>0</v>
      </c>
      <c r="EU68" s="253"/>
      <c r="EV68" s="253"/>
      <c r="EW68" s="255">
        <f>60-60</f>
        <v>0</v>
      </c>
      <c r="EX68" s="255">
        <f>20-20</f>
        <v>0</v>
      </c>
      <c r="EY68" s="253"/>
      <c r="EZ68" s="253"/>
      <c r="FA68" s="255">
        <f>20-20</f>
        <v>0</v>
      </c>
      <c r="FB68" s="253"/>
      <c r="FC68" s="255">
        <f>300-300</f>
        <v>0</v>
      </c>
      <c r="FD68" s="255">
        <f>300-300</f>
        <v>0</v>
      </c>
      <c r="FE68" s="253"/>
      <c r="FF68" s="253"/>
      <c r="FG68" s="256"/>
      <c r="FH68" s="257" t="s">
        <v>993</v>
      </c>
      <c r="FI68" s="258" t="s">
        <v>389</v>
      </c>
      <c r="FJ68" s="258"/>
      <c r="FK68" s="258" t="s">
        <v>423</v>
      </c>
      <c r="FL68" s="259">
        <f t="shared" si="3"/>
        <v>100</v>
      </c>
      <c r="FM68" s="260" t="s">
        <v>835</v>
      </c>
    </row>
    <row r="69" spans="1:169">
      <c r="A69" s="251" t="s">
        <v>393</v>
      </c>
      <c r="B69" s="251" t="s">
        <v>385</v>
      </c>
      <c r="C69" s="251" t="s">
        <v>411</v>
      </c>
      <c r="D69" s="251" t="s">
        <v>293</v>
      </c>
      <c r="E69" s="252" t="s">
        <v>427</v>
      </c>
      <c r="F69" s="251" t="s">
        <v>388</v>
      </c>
      <c r="G69" s="251"/>
      <c r="H69" s="253"/>
      <c r="I69" s="253"/>
      <c r="J69" s="255">
        <f>200-200</f>
        <v>0</v>
      </c>
      <c r="K69" s="253"/>
      <c r="L69" s="253"/>
      <c r="M69" s="253"/>
      <c r="N69" s="253"/>
      <c r="O69" s="253"/>
      <c r="P69" s="253"/>
      <c r="Q69" s="253"/>
      <c r="R69" s="253"/>
      <c r="S69" s="253"/>
      <c r="T69" s="253"/>
      <c r="U69" s="253"/>
      <c r="V69" s="253"/>
      <c r="W69" s="253"/>
      <c r="X69" s="253"/>
      <c r="Y69" s="253"/>
      <c r="Z69" s="253"/>
      <c r="AA69" s="253"/>
      <c r="AB69" s="253"/>
      <c r="AC69" s="253"/>
      <c r="AD69" s="253"/>
      <c r="AE69" s="253"/>
      <c r="AF69" s="253"/>
      <c r="AG69" s="253"/>
      <c r="AH69" s="253"/>
      <c r="AI69" s="253"/>
      <c r="AJ69" s="253"/>
      <c r="AK69" s="253"/>
      <c r="AL69" s="253"/>
      <c r="AM69" s="253"/>
      <c r="AN69" s="253"/>
      <c r="AO69" s="253"/>
      <c r="AP69" s="253"/>
      <c r="AQ69" s="253"/>
      <c r="AR69" s="253"/>
      <c r="AS69" s="253"/>
      <c r="AT69" s="253"/>
      <c r="AU69" s="253"/>
      <c r="AV69" s="253"/>
      <c r="AW69" s="253"/>
      <c r="AX69" s="253"/>
      <c r="AY69" s="253"/>
      <c r="AZ69" s="253"/>
      <c r="BA69" s="253"/>
      <c r="BB69" s="253"/>
      <c r="BC69" s="253"/>
      <c r="BD69" s="253"/>
      <c r="BE69" s="253"/>
      <c r="BF69" s="253"/>
      <c r="BG69" s="253"/>
      <c r="BH69" s="253"/>
      <c r="BI69" s="253"/>
      <c r="BJ69" s="253"/>
      <c r="BK69" s="253"/>
      <c r="BL69" s="253"/>
      <c r="BM69" s="253"/>
      <c r="BN69" s="253"/>
      <c r="BO69" s="253"/>
      <c r="BP69" s="253"/>
      <c r="BQ69" s="253"/>
      <c r="BR69" s="253"/>
      <c r="BS69" s="253"/>
      <c r="BT69" s="253"/>
      <c r="BU69" s="253"/>
      <c r="BV69" s="253"/>
      <c r="BW69" s="253"/>
      <c r="BX69" s="253"/>
      <c r="BY69" s="253"/>
      <c r="BZ69" s="253"/>
      <c r="CA69" s="253"/>
      <c r="CB69" s="253"/>
      <c r="CC69" s="253"/>
      <c r="CD69" s="253"/>
      <c r="CE69" s="253"/>
      <c r="CF69" s="253"/>
      <c r="CG69" s="253"/>
      <c r="CH69" s="253"/>
      <c r="CI69" s="253"/>
      <c r="CJ69" s="253"/>
      <c r="CK69" s="253"/>
      <c r="CL69" s="253"/>
      <c r="CM69" s="253"/>
      <c r="CN69" s="255">
        <f>200-200</f>
        <v>0</v>
      </c>
      <c r="CO69" s="253"/>
      <c r="CP69" s="253"/>
      <c r="CQ69" s="253"/>
      <c r="CR69" s="253"/>
      <c r="CS69" s="253"/>
      <c r="CT69" s="253"/>
      <c r="CU69" s="253"/>
      <c r="CV69" s="253"/>
      <c r="CW69" s="253"/>
      <c r="CX69" s="253"/>
      <c r="CY69" s="253"/>
      <c r="CZ69" s="253"/>
      <c r="DA69" s="253"/>
      <c r="DB69" s="253"/>
      <c r="DC69" s="253"/>
      <c r="DD69" s="253"/>
      <c r="DE69" s="253"/>
      <c r="DF69" s="253"/>
      <c r="DG69" s="253"/>
      <c r="DH69" s="253"/>
      <c r="DI69" s="253"/>
      <c r="DJ69" s="253"/>
      <c r="DK69" s="253"/>
      <c r="DL69" s="253"/>
      <c r="DM69" s="253"/>
      <c r="DN69" s="253"/>
      <c r="DO69" s="253"/>
      <c r="DP69" s="253"/>
      <c r="DQ69" s="253"/>
      <c r="DR69" s="253"/>
      <c r="DS69" s="253"/>
      <c r="DT69" s="253"/>
      <c r="DU69" s="253"/>
      <c r="DV69" s="253"/>
      <c r="DW69" s="253"/>
      <c r="DX69" s="253"/>
      <c r="DY69" s="253"/>
      <c r="DZ69" s="253"/>
      <c r="EA69" s="253"/>
      <c r="EB69" s="253"/>
      <c r="EC69" s="253"/>
      <c r="ED69" s="253"/>
      <c r="EE69" s="253"/>
      <c r="EF69" s="253"/>
      <c r="EG69" s="253"/>
      <c r="EH69" s="253"/>
      <c r="EI69" s="253"/>
      <c r="EJ69" s="253"/>
      <c r="EK69" s="253"/>
      <c r="EL69" s="253"/>
      <c r="EM69" s="253"/>
      <c r="EN69" s="253"/>
      <c r="EO69" s="253"/>
      <c r="EP69" s="253"/>
      <c r="EQ69" s="253"/>
      <c r="ER69" s="255">
        <f>60-60</f>
        <v>0</v>
      </c>
      <c r="ES69" s="253"/>
      <c r="ET69" s="253"/>
      <c r="EU69" s="253"/>
      <c r="EV69" s="255">
        <f>60-60</f>
        <v>0</v>
      </c>
      <c r="EW69" s="253"/>
      <c r="EX69" s="253"/>
      <c r="EY69" s="253"/>
      <c r="EZ69" s="255">
        <f>20-20</f>
        <v>0</v>
      </c>
      <c r="FA69" s="253"/>
      <c r="FB69" s="253"/>
      <c r="FC69" s="253"/>
      <c r="FD69" s="253"/>
      <c r="FE69" s="253"/>
      <c r="FF69" s="253"/>
      <c r="FG69" s="256"/>
      <c r="FH69" s="257" t="s">
        <v>993</v>
      </c>
      <c r="FI69" s="258" t="s">
        <v>389</v>
      </c>
      <c r="FJ69" s="258"/>
      <c r="FK69" s="258" t="s">
        <v>423</v>
      </c>
      <c r="FL69" s="259">
        <f t="shared" si="3"/>
        <v>0</v>
      </c>
      <c r="FM69" s="260" t="s">
        <v>835</v>
      </c>
    </row>
    <row r="70" spans="1:169">
      <c r="A70" s="251" t="s">
        <v>393</v>
      </c>
      <c r="B70" s="251" t="s">
        <v>385</v>
      </c>
      <c r="C70" s="251" t="s">
        <v>411</v>
      </c>
      <c r="D70" s="251" t="s">
        <v>291</v>
      </c>
      <c r="E70" s="252" t="s">
        <v>430</v>
      </c>
      <c r="F70" s="251" t="s">
        <v>388</v>
      </c>
      <c r="G70" s="251"/>
      <c r="H70" s="253"/>
      <c r="I70" s="255">
        <f>40-40</f>
        <v>0</v>
      </c>
      <c r="J70" s="253"/>
      <c r="K70" s="255">
        <f>30-30</f>
        <v>0</v>
      </c>
      <c r="L70" s="253"/>
      <c r="M70" s="253"/>
      <c r="N70" s="253"/>
      <c r="O70" s="253"/>
      <c r="P70" s="253"/>
      <c r="Q70" s="253"/>
      <c r="R70" s="253"/>
      <c r="S70" s="253"/>
      <c r="T70" s="253"/>
      <c r="U70" s="253"/>
      <c r="V70" s="253"/>
      <c r="W70" s="253"/>
      <c r="X70" s="253"/>
      <c r="Y70" s="253"/>
      <c r="Z70" s="253"/>
      <c r="AA70" s="253"/>
      <c r="AB70" s="253"/>
      <c r="AC70" s="253"/>
      <c r="AD70" s="253"/>
      <c r="AE70" s="255">
        <f>10-10</f>
        <v>0</v>
      </c>
      <c r="AF70" s="253"/>
      <c r="AG70" s="255">
        <f>20-20</f>
        <v>0</v>
      </c>
      <c r="AH70" s="255">
        <f>30-30</f>
        <v>0</v>
      </c>
      <c r="AI70" s="253"/>
      <c r="AJ70" s="253"/>
      <c r="AK70" s="253"/>
      <c r="AL70" s="253"/>
      <c r="AM70" s="253"/>
      <c r="AN70" s="253"/>
      <c r="AO70" s="253"/>
      <c r="AP70" s="253"/>
      <c r="AQ70" s="255">
        <f>40-40</f>
        <v>0</v>
      </c>
      <c r="AR70" s="253"/>
      <c r="AS70" s="253"/>
      <c r="AT70" s="253"/>
      <c r="AU70" s="253"/>
      <c r="AV70" s="253"/>
      <c r="AW70" s="253"/>
      <c r="AX70" s="253"/>
      <c r="AY70" s="253"/>
      <c r="AZ70" s="253"/>
      <c r="BA70" s="253"/>
      <c r="BB70" s="253"/>
      <c r="BC70" s="253"/>
      <c r="BD70" s="253"/>
      <c r="BE70" s="253"/>
      <c r="BF70" s="253"/>
      <c r="BG70" s="253"/>
      <c r="BH70" s="253"/>
      <c r="BI70" s="253"/>
      <c r="BJ70" s="253"/>
      <c r="BK70" s="253"/>
      <c r="BL70" s="253"/>
      <c r="BM70" s="253"/>
      <c r="BN70" s="253"/>
      <c r="BO70" s="253"/>
      <c r="BP70" s="253"/>
      <c r="BQ70" s="253"/>
      <c r="BR70" s="253"/>
      <c r="BS70" s="253"/>
      <c r="BT70" s="253"/>
      <c r="BU70" s="253"/>
      <c r="BV70" s="253"/>
      <c r="BW70" s="253"/>
      <c r="BX70" s="253"/>
      <c r="BY70" s="253"/>
      <c r="BZ70" s="253"/>
      <c r="CA70" s="253"/>
      <c r="CB70" s="253"/>
      <c r="CC70" s="253"/>
      <c r="CD70" s="253"/>
      <c r="CE70" s="253"/>
      <c r="CF70" s="253"/>
      <c r="CG70" s="253"/>
      <c r="CH70" s="253"/>
      <c r="CI70" s="253"/>
      <c r="CJ70" s="253"/>
      <c r="CK70" s="253"/>
      <c r="CL70" s="253"/>
      <c r="CM70" s="253"/>
      <c r="CN70" s="253"/>
      <c r="CO70" s="253"/>
      <c r="CP70" s="253"/>
      <c r="CQ70" s="253"/>
      <c r="CR70" s="253"/>
      <c r="CS70" s="253"/>
      <c r="CT70" s="253"/>
      <c r="CU70" s="253"/>
      <c r="CV70" s="253"/>
      <c r="CW70" s="253"/>
      <c r="CX70" s="253"/>
      <c r="CY70" s="253"/>
      <c r="CZ70" s="253"/>
      <c r="DA70" s="253"/>
      <c r="DB70" s="253"/>
      <c r="DC70" s="253"/>
      <c r="DD70" s="253"/>
      <c r="DE70" s="253"/>
      <c r="DF70" s="253"/>
      <c r="DG70" s="253"/>
      <c r="DH70" s="253"/>
      <c r="DI70" s="253"/>
      <c r="DJ70" s="253"/>
      <c r="DK70" s="253"/>
      <c r="DL70" s="253"/>
      <c r="DM70" s="253"/>
      <c r="DN70" s="253"/>
      <c r="DO70" s="253"/>
      <c r="DP70" s="253"/>
      <c r="DQ70" s="253"/>
      <c r="DR70" s="253"/>
      <c r="DS70" s="253"/>
      <c r="DT70" s="253"/>
      <c r="DU70" s="253"/>
      <c r="DV70" s="253"/>
      <c r="DW70" s="253"/>
      <c r="DX70" s="253"/>
      <c r="DY70" s="253"/>
      <c r="DZ70" s="253"/>
      <c r="EA70" s="253"/>
      <c r="EB70" s="253"/>
      <c r="EC70" s="253"/>
      <c r="ED70" s="253"/>
      <c r="EE70" s="253"/>
      <c r="EF70" s="253"/>
      <c r="EG70" s="253"/>
      <c r="EH70" s="253"/>
      <c r="EI70" s="253"/>
      <c r="EJ70" s="253"/>
      <c r="EK70" s="253"/>
      <c r="EL70" s="253"/>
      <c r="EM70" s="253"/>
      <c r="EN70" s="253"/>
      <c r="EO70" s="253"/>
      <c r="EP70" s="253"/>
      <c r="EQ70" s="253"/>
      <c r="ER70" s="253"/>
      <c r="ES70" s="253"/>
      <c r="ET70" s="253"/>
      <c r="EU70" s="253"/>
      <c r="EV70" s="253"/>
      <c r="EW70" s="253"/>
      <c r="EX70" s="253"/>
      <c r="EY70" s="253"/>
      <c r="EZ70" s="253"/>
      <c r="FA70" s="253"/>
      <c r="FB70" s="253"/>
      <c r="FC70" s="253"/>
      <c r="FD70" s="253"/>
      <c r="FE70" s="253"/>
      <c r="FF70" s="253"/>
      <c r="FG70" s="256"/>
      <c r="FH70" s="257" t="s">
        <v>993</v>
      </c>
      <c r="FI70" s="258" t="s">
        <v>389</v>
      </c>
      <c r="FJ70" s="258" t="s">
        <v>431</v>
      </c>
      <c r="FK70" s="258" t="s">
        <v>432</v>
      </c>
      <c r="FL70" s="259">
        <f t="shared" si="3"/>
        <v>0</v>
      </c>
      <c r="FM70" s="260" t="s">
        <v>433</v>
      </c>
    </row>
    <row r="71" spans="1:169">
      <c r="A71" s="251" t="s">
        <v>393</v>
      </c>
      <c r="B71" s="251" t="s">
        <v>385</v>
      </c>
      <c r="C71" s="251" t="s">
        <v>411</v>
      </c>
      <c r="D71" s="251" t="s">
        <v>1</v>
      </c>
      <c r="E71" s="252" t="s">
        <v>430</v>
      </c>
      <c r="F71" s="251" t="s">
        <v>388</v>
      </c>
      <c r="G71" s="251"/>
      <c r="H71" s="253"/>
      <c r="I71" s="253"/>
      <c r="J71" s="253"/>
      <c r="K71" s="253"/>
      <c r="L71" s="253"/>
      <c r="M71" s="253"/>
      <c r="N71" s="253"/>
      <c r="O71" s="253"/>
      <c r="P71" s="253"/>
      <c r="Q71" s="253"/>
      <c r="R71" s="253"/>
      <c r="S71" s="255">
        <f>30-30</f>
        <v>0</v>
      </c>
      <c r="T71" s="253"/>
      <c r="U71" s="255">
        <f>60-60</f>
        <v>0</v>
      </c>
      <c r="V71" s="253"/>
      <c r="W71" s="253"/>
      <c r="X71" s="253"/>
      <c r="Y71" s="253"/>
      <c r="Z71" s="253"/>
      <c r="AA71" s="255">
        <f>10-10</f>
        <v>0</v>
      </c>
      <c r="AB71" s="253"/>
      <c r="AC71" s="255">
        <f>10-10</f>
        <v>0</v>
      </c>
      <c r="AD71" s="253"/>
      <c r="AE71" s="253"/>
      <c r="AF71" s="253"/>
      <c r="AG71" s="253"/>
      <c r="AH71" s="253"/>
      <c r="AI71" s="253"/>
      <c r="AJ71" s="253"/>
      <c r="AK71" s="253"/>
      <c r="AL71" s="253"/>
      <c r="AM71" s="253"/>
      <c r="AN71" s="253"/>
      <c r="AO71" s="255">
        <f>110-110</f>
        <v>0</v>
      </c>
      <c r="AP71" s="253"/>
      <c r="AQ71" s="253"/>
      <c r="AR71" s="253"/>
      <c r="AS71" s="253"/>
      <c r="AT71" s="255">
        <f>130-130</f>
        <v>0</v>
      </c>
      <c r="AU71" s="253"/>
      <c r="AV71" s="253"/>
      <c r="AW71" s="253"/>
      <c r="AX71" s="253"/>
      <c r="AY71" s="253"/>
      <c r="AZ71" s="253"/>
      <c r="BA71" s="253"/>
      <c r="BB71" s="253"/>
      <c r="BC71" s="253"/>
      <c r="BD71" s="255">
        <f>90-90</f>
        <v>0</v>
      </c>
      <c r="BE71" s="253"/>
      <c r="BF71" s="255">
        <f>30-30</f>
        <v>0</v>
      </c>
      <c r="BG71" s="253"/>
      <c r="BH71" s="253"/>
      <c r="BI71" s="253"/>
      <c r="BJ71" s="253"/>
      <c r="BK71" s="253"/>
      <c r="BL71" s="253"/>
      <c r="BM71" s="253"/>
      <c r="BN71" s="253"/>
      <c r="BO71" s="253"/>
      <c r="BP71" s="253"/>
      <c r="BQ71" s="253"/>
      <c r="BR71" s="253"/>
      <c r="BS71" s="253"/>
      <c r="BT71" s="253"/>
      <c r="BU71" s="253"/>
      <c r="BV71" s="253"/>
      <c r="BW71" s="253"/>
      <c r="BX71" s="253"/>
      <c r="BY71" s="253"/>
      <c r="BZ71" s="253"/>
      <c r="CA71" s="253"/>
      <c r="CB71" s="253"/>
      <c r="CC71" s="253"/>
      <c r="CD71" s="253"/>
      <c r="CE71" s="253"/>
      <c r="CF71" s="253"/>
      <c r="CG71" s="253"/>
      <c r="CH71" s="253"/>
      <c r="CI71" s="253"/>
      <c r="CJ71" s="253"/>
      <c r="CK71" s="253"/>
      <c r="CL71" s="253"/>
      <c r="CM71" s="253"/>
      <c r="CN71" s="253"/>
      <c r="CO71" s="253"/>
      <c r="CP71" s="253"/>
      <c r="CQ71" s="253"/>
      <c r="CR71" s="253"/>
      <c r="CS71" s="253"/>
      <c r="CT71" s="253"/>
      <c r="CU71" s="253"/>
      <c r="CV71" s="253"/>
      <c r="CW71" s="253"/>
      <c r="CX71" s="253"/>
      <c r="CY71" s="253"/>
      <c r="CZ71" s="253"/>
      <c r="DA71" s="253"/>
      <c r="DB71" s="253"/>
      <c r="DC71" s="253"/>
      <c r="DD71" s="253"/>
      <c r="DE71" s="253"/>
      <c r="DF71" s="253"/>
      <c r="DG71" s="253"/>
      <c r="DH71" s="253"/>
      <c r="DI71" s="253"/>
      <c r="DJ71" s="253"/>
      <c r="DK71" s="253"/>
      <c r="DL71" s="253"/>
      <c r="DM71" s="253"/>
      <c r="DN71" s="253"/>
      <c r="DO71" s="253"/>
      <c r="DP71" s="253"/>
      <c r="DQ71" s="253"/>
      <c r="DR71" s="253"/>
      <c r="DS71" s="255">
        <f>60-60</f>
        <v>0</v>
      </c>
      <c r="DT71" s="253"/>
      <c r="DU71" s="253"/>
      <c r="DV71" s="253"/>
      <c r="DW71" s="253"/>
      <c r="DX71" s="253"/>
      <c r="DY71" s="255">
        <f>70-70</f>
        <v>0</v>
      </c>
      <c r="DZ71" s="255">
        <f>20-20</f>
        <v>0</v>
      </c>
      <c r="EA71" s="255">
        <f>30-30</f>
        <v>0</v>
      </c>
      <c r="EB71" s="255">
        <f>10-10</f>
        <v>0</v>
      </c>
      <c r="EC71" s="255">
        <f>10-10</f>
        <v>0</v>
      </c>
      <c r="ED71" s="253"/>
      <c r="EE71" s="255">
        <f>20-20</f>
        <v>0</v>
      </c>
      <c r="EF71" s="253"/>
      <c r="EG71" s="255">
        <f>70-70</f>
        <v>0</v>
      </c>
      <c r="EH71" s="255">
        <f>40-40</f>
        <v>0</v>
      </c>
      <c r="EI71" s="253"/>
      <c r="EJ71" s="255">
        <f>85-85</f>
        <v>0</v>
      </c>
      <c r="EK71" s="253"/>
      <c r="EL71" s="253"/>
      <c r="EM71" s="253"/>
      <c r="EN71" s="253"/>
      <c r="EO71" s="253"/>
      <c r="EP71" s="253"/>
      <c r="EQ71" s="253"/>
      <c r="ER71" s="253"/>
      <c r="ES71" s="253"/>
      <c r="ET71" s="253"/>
      <c r="EU71" s="253"/>
      <c r="EV71" s="253"/>
      <c r="EW71" s="253"/>
      <c r="EX71" s="253"/>
      <c r="EY71" s="253"/>
      <c r="EZ71" s="253"/>
      <c r="FA71" s="253"/>
      <c r="FB71" s="253"/>
      <c r="FC71" s="253"/>
      <c r="FD71" s="253"/>
      <c r="FE71" s="253"/>
      <c r="FF71" s="253"/>
      <c r="FG71" s="256"/>
      <c r="FH71" s="257" t="s">
        <v>993</v>
      </c>
      <c r="FI71" s="258" t="s">
        <v>389</v>
      </c>
      <c r="FJ71" s="258" t="s">
        <v>431</v>
      </c>
      <c r="FK71" s="258" t="s">
        <v>432</v>
      </c>
      <c r="FL71" s="259">
        <f t="shared" si="3"/>
        <v>0</v>
      </c>
      <c r="FM71" s="260" t="s">
        <v>433</v>
      </c>
    </row>
    <row r="72" spans="1:169">
      <c r="A72" s="251" t="s">
        <v>393</v>
      </c>
      <c r="B72" s="251" t="s">
        <v>385</v>
      </c>
      <c r="C72" s="251" t="s">
        <v>411</v>
      </c>
      <c r="D72" s="251" t="s">
        <v>293</v>
      </c>
      <c r="E72" s="252" t="s">
        <v>430</v>
      </c>
      <c r="F72" s="251" t="s">
        <v>388</v>
      </c>
      <c r="G72" s="251"/>
      <c r="H72" s="253"/>
      <c r="I72" s="253"/>
      <c r="J72" s="255">
        <f>20-20</f>
        <v>0</v>
      </c>
      <c r="K72" s="253"/>
      <c r="L72" s="253"/>
      <c r="M72" s="253"/>
      <c r="N72" s="253"/>
      <c r="O72" s="253"/>
      <c r="P72" s="253"/>
      <c r="Q72" s="253"/>
      <c r="R72" s="253"/>
      <c r="S72" s="253"/>
      <c r="T72" s="253"/>
      <c r="U72" s="253"/>
      <c r="V72" s="253"/>
      <c r="W72" s="253"/>
      <c r="X72" s="253"/>
      <c r="Y72" s="253"/>
      <c r="Z72" s="253"/>
      <c r="AA72" s="253"/>
      <c r="AB72" s="253"/>
      <c r="AC72" s="253"/>
      <c r="AD72" s="253"/>
      <c r="AE72" s="253"/>
      <c r="AF72" s="253"/>
      <c r="AG72" s="253"/>
      <c r="AH72" s="253"/>
      <c r="AI72" s="253"/>
      <c r="AJ72" s="253"/>
      <c r="AK72" s="253"/>
      <c r="AL72" s="253"/>
      <c r="AM72" s="253"/>
      <c r="AN72" s="253"/>
      <c r="AO72" s="253"/>
      <c r="AP72" s="253"/>
      <c r="AQ72" s="253"/>
      <c r="AR72" s="253"/>
      <c r="AS72" s="253"/>
      <c r="AT72" s="253"/>
      <c r="AU72" s="253"/>
      <c r="AV72" s="253"/>
      <c r="AW72" s="253"/>
      <c r="AX72" s="253"/>
      <c r="AY72" s="253"/>
      <c r="AZ72" s="253"/>
      <c r="BA72" s="253"/>
      <c r="BB72" s="253"/>
      <c r="BC72" s="253"/>
      <c r="BD72" s="253"/>
      <c r="BE72" s="253"/>
      <c r="BF72" s="253"/>
      <c r="BG72" s="253"/>
      <c r="BH72" s="253"/>
      <c r="BI72" s="253"/>
      <c r="BJ72" s="253"/>
      <c r="BK72" s="253"/>
      <c r="BL72" s="253"/>
      <c r="BM72" s="253"/>
      <c r="BN72" s="253"/>
      <c r="BO72" s="253"/>
      <c r="BP72" s="253"/>
      <c r="BQ72" s="253"/>
      <c r="BR72" s="253"/>
      <c r="BS72" s="253"/>
      <c r="BT72" s="253"/>
      <c r="BU72" s="253"/>
      <c r="BV72" s="253"/>
      <c r="BW72" s="253"/>
      <c r="BX72" s="253"/>
      <c r="BY72" s="253"/>
      <c r="BZ72" s="253"/>
      <c r="CA72" s="253"/>
      <c r="CB72" s="253"/>
      <c r="CC72" s="253"/>
      <c r="CD72" s="253"/>
      <c r="CE72" s="253"/>
      <c r="CF72" s="253"/>
      <c r="CG72" s="253"/>
      <c r="CH72" s="253"/>
      <c r="CI72" s="253"/>
      <c r="CJ72" s="253"/>
      <c r="CK72" s="253"/>
      <c r="CL72" s="253"/>
      <c r="CM72" s="253"/>
      <c r="CN72" s="253"/>
      <c r="CO72" s="253"/>
      <c r="CP72" s="253"/>
      <c r="CQ72" s="253"/>
      <c r="CR72" s="253"/>
      <c r="CS72" s="253"/>
      <c r="CT72" s="253"/>
      <c r="CU72" s="253"/>
      <c r="CV72" s="253"/>
      <c r="CW72" s="253"/>
      <c r="CX72" s="253"/>
      <c r="CY72" s="253"/>
      <c r="CZ72" s="253"/>
      <c r="DA72" s="253"/>
      <c r="DB72" s="253"/>
      <c r="DC72" s="253"/>
      <c r="DD72" s="253"/>
      <c r="DE72" s="253"/>
      <c r="DF72" s="253"/>
      <c r="DG72" s="253"/>
      <c r="DH72" s="253"/>
      <c r="DI72" s="253"/>
      <c r="DJ72" s="253"/>
      <c r="DK72" s="253"/>
      <c r="DL72" s="253"/>
      <c r="DM72" s="253"/>
      <c r="DN72" s="253"/>
      <c r="DO72" s="253"/>
      <c r="DP72" s="253"/>
      <c r="DQ72" s="253"/>
      <c r="DR72" s="253"/>
      <c r="DS72" s="253"/>
      <c r="DT72" s="253"/>
      <c r="DU72" s="253"/>
      <c r="DV72" s="253"/>
      <c r="DW72" s="253"/>
      <c r="DX72" s="253"/>
      <c r="DY72" s="253"/>
      <c r="DZ72" s="253"/>
      <c r="EA72" s="253"/>
      <c r="EB72" s="253"/>
      <c r="EC72" s="253"/>
      <c r="ED72" s="253"/>
      <c r="EE72" s="253"/>
      <c r="EF72" s="253"/>
      <c r="EG72" s="253"/>
      <c r="EH72" s="253"/>
      <c r="EI72" s="253"/>
      <c r="EJ72" s="253"/>
      <c r="EK72" s="253"/>
      <c r="EL72" s="253"/>
      <c r="EM72" s="253"/>
      <c r="EN72" s="253"/>
      <c r="EO72" s="253"/>
      <c r="EP72" s="253"/>
      <c r="EQ72" s="253"/>
      <c r="ER72" s="253"/>
      <c r="ES72" s="253"/>
      <c r="ET72" s="253"/>
      <c r="EU72" s="253"/>
      <c r="EV72" s="253"/>
      <c r="EW72" s="253"/>
      <c r="EX72" s="253"/>
      <c r="EY72" s="253"/>
      <c r="EZ72" s="253"/>
      <c r="FA72" s="253"/>
      <c r="FB72" s="253"/>
      <c r="FC72" s="253"/>
      <c r="FD72" s="253"/>
      <c r="FE72" s="253"/>
      <c r="FF72" s="253"/>
      <c r="FG72" s="256"/>
      <c r="FH72" s="257" t="s">
        <v>993</v>
      </c>
      <c r="FI72" s="258" t="s">
        <v>389</v>
      </c>
      <c r="FJ72" s="258" t="s">
        <v>431</v>
      </c>
      <c r="FK72" s="258" t="s">
        <v>432</v>
      </c>
      <c r="FL72" s="259">
        <f t="shared" si="3"/>
        <v>0</v>
      </c>
      <c r="FM72" s="260" t="s">
        <v>433</v>
      </c>
    </row>
    <row r="73" spans="1:169">
      <c r="A73" s="251" t="s">
        <v>393</v>
      </c>
      <c r="B73" s="251" t="s">
        <v>392</v>
      </c>
      <c r="C73" s="251" t="s">
        <v>411</v>
      </c>
      <c r="D73" s="251" t="s">
        <v>291</v>
      </c>
      <c r="E73" s="252" t="s">
        <v>430</v>
      </c>
      <c r="F73" s="251" t="s">
        <v>388</v>
      </c>
      <c r="G73" s="251"/>
      <c r="H73" s="253"/>
      <c r="I73" s="255">
        <f>20-20</f>
        <v>0</v>
      </c>
      <c r="J73" s="253"/>
      <c r="K73" s="255">
        <f>50-50</f>
        <v>0</v>
      </c>
      <c r="L73" s="253"/>
      <c r="M73" s="253"/>
      <c r="N73" s="253"/>
      <c r="O73" s="253"/>
      <c r="P73" s="253"/>
      <c r="Q73" s="253"/>
      <c r="R73" s="253"/>
      <c r="S73" s="253"/>
      <c r="T73" s="253"/>
      <c r="U73" s="253"/>
      <c r="V73" s="253"/>
      <c r="W73" s="253"/>
      <c r="X73" s="253"/>
      <c r="Y73" s="253"/>
      <c r="Z73" s="253"/>
      <c r="AA73" s="253"/>
      <c r="AB73" s="253"/>
      <c r="AC73" s="253"/>
      <c r="AD73" s="253"/>
      <c r="AE73" s="255">
        <f>20-20</f>
        <v>0</v>
      </c>
      <c r="AF73" s="253"/>
      <c r="AG73" s="255">
        <f>40-40</f>
        <v>0</v>
      </c>
      <c r="AH73" s="255">
        <f>40-40</f>
        <v>0</v>
      </c>
      <c r="AI73" s="253"/>
      <c r="AJ73" s="253"/>
      <c r="AK73" s="253"/>
      <c r="AL73" s="253"/>
      <c r="AM73" s="253"/>
      <c r="AN73" s="253"/>
      <c r="AO73" s="253"/>
      <c r="AP73" s="253"/>
      <c r="AQ73" s="255">
        <f>90-90</f>
        <v>0</v>
      </c>
      <c r="AR73" s="253"/>
      <c r="AS73" s="253"/>
      <c r="AT73" s="253"/>
      <c r="AU73" s="253"/>
      <c r="AV73" s="253"/>
      <c r="AW73" s="253"/>
      <c r="AX73" s="253"/>
      <c r="AY73" s="253"/>
      <c r="AZ73" s="253"/>
      <c r="BA73" s="253"/>
      <c r="BB73" s="253"/>
      <c r="BC73" s="253"/>
      <c r="BD73" s="253"/>
      <c r="BE73" s="253"/>
      <c r="BF73" s="253"/>
      <c r="BG73" s="253"/>
      <c r="BH73" s="253"/>
      <c r="BI73" s="253"/>
      <c r="BJ73" s="253"/>
      <c r="BK73" s="253"/>
      <c r="BL73" s="253"/>
      <c r="BM73" s="253"/>
      <c r="BN73" s="253"/>
      <c r="BO73" s="253"/>
      <c r="BP73" s="253"/>
      <c r="BQ73" s="253"/>
      <c r="BR73" s="253"/>
      <c r="BS73" s="253"/>
      <c r="BT73" s="253"/>
      <c r="BU73" s="253"/>
      <c r="BV73" s="253"/>
      <c r="BW73" s="253"/>
      <c r="BX73" s="253"/>
      <c r="BY73" s="253"/>
      <c r="BZ73" s="253"/>
      <c r="CA73" s="253"/>
      <c r="CB73" s="253"/>
      <c r="CC73" s="253"/>
      <c r="CD73" s="253"/>
      <c r="CE73" s="253"/>
      <c r="CF73" s="253"/>
      <c r="CG73" s="253"/>
      <c r="CH73" s="253"/>
      <c r="CI73" s="253"/>
      <c r="CJ73" s="253"/>
      <c r="CK73" s="253"/>
      <c r="CL73" s="253"/>
      <c r="CM73" s="253"/>
      <c r="CN73" s="253"/>
      <c r="CO73" s="253"/>
      <c r="CP73" s="253"/>
      <c r="CQ73" s="253"/>
      <c r="CR73" s="253"/>
      <c r="CS73" s="253"/>
      <c r="CT73" s="253"/>
      <c r="CU73" s="253"/>
      <c r="CV73" s="253"/>
      <c r="CW73" s="253"/>
      <c r="CX73" s="253"/>
      <c r="CY73" s="253"/>
      <c r="CZ73" s="253"/>
      <c r="DA73" s="253"/>
      <c r="DB73" s="253"/>
      <c r="DC73" s="253"/>
      <c r="DD73" s="253"/>
      <c r="DE73" s="253"/>
      <c r="DF73" s="253"/>
      <c r="DG73" s="253"/>
      <c r="DH73" s="253"/>
      <c r="DI73" s="253"/>
      <c r="DJ73" s="253"/>
      <c r="DK73" s="253"/>
      <c r="DL73" s="253"/>
      <c r="DM73" s="253"/>
      <c r="DN73" s="253"/>
      <c r="DO73" s="253"/>
      <c r="DP73" s="253"/>
      <c r="DQ73" s="253"/>
      <c r="DR73" s="253"/>
      <c r="DS73" s="253"/>
      <c r="DT73" s="253"/>
      <c r="DU73" s="253"/>
      <c r="DV73" s="253"/>
      <c r="DW73" s="253"/>
      <c r="DX73" s="253"/>
      <c r="DY73" s="253"/>
      <c r="DZ73" s="253"/>
      <c r="EA73" s="253"/>
      <c r="EB73" s="253"/>
      <c r="EC73" s="253"/>
      <c r="ED73" s="253"/>
      <c r="EE73" s="253"/>
      <c r="EF73" s="253"/>
      <c r="EG73" s="253"/>
      <c r="EH73" s="253"/>
      <c r="EI73" s="253"/>
      <c r="EJ73" s="253"/>
      <c r="EK73" s="253"/>
      <c r="EL73" s="253"/>
      <c r="EM73" s="253"/>
      <c r="EN73" s="253"/>
      <c r="EO73" s="253"/>
      <c r="EP73" s="253"/>
      <c r="EQ73" s="253"/>
      <c r="ER73" s="253"/>
      <c r="ES73" s="253"/>
      <c r="ET73" s="253"/>
      <c r="EU73" s="253"/>
      <c r="EV73" s="253"/>
      <c r="EW73" s="253"/>
      <c r="EX73" s="253"/>
      <c r="EY73" s="253"/>
      <c r="EZ73" s="253"/>
      <c r="FA73" s="253"/>
      <c r="FB73" s="253"/>
      <c r="FC73" s="253"/>
      <c r="FD73" s="253"/>
      <c r="FE73" s="253"/>
      <c r="FF73" s="253"/>
      <c r="FG73" s="256"/>
      <c r="FH73" s="257" t="s">
        <v>993</v>
      </c>
      <c r="FI73" s="258" t="s">
        <v>389</v>
      </c>
      <c r="FJ73" s="258" t="s">
        <v>431</v>
      </c>
      <c r="FK73" s="258" t="s">
        <v>432</v>
      </c>
      <c r="FL73" s="259">
        <f t="shared" si="3"/>
        <v>0</v>
      </c>
      <c r="FM73" s="260" t="s">
        <v>433</v>
      </c>
    </row>
    <row r="74" spans="1:169">
      <c r="A74" s="251" t="s">
        <v>393</v>
      </c>
      <c r="B74" s="251" t="s">
        <v>392</v>
      </c>
      <c r="C74" s="251" t="s">
        <v>411</v>
      </c>
      <c r="D74" s="251" t="s">
        <v>1</v>
      </c>
      <c r="E74" s="252" t="s">
        <v>430</v>
      </c>
      <c r="F74" s="251" t="s">
        <v>388</v>
      </c>
      <c r="G74" s="251"/>
      <c r="H74" s="253"/>
      <c r="I74" s="253"/>
      <c r="J74" s="253"/>
      <c r="K74" s="253"/>
      <c r="L74" s="253"/>
      <c r="M74" s="253"/>
      <c r="N74" s="253"/>
      <c r="O74" s="253"/>
      <c r="P74" s="253"/>
      <c r="Q74" s="253"/>
      <c r="R74" s="253"/>
      <c r="S74" s="255">
        <f>80-80</f>
        <v>0</v>
      </c>
      <c r="T74" s="253"/>
      <c r="U74" s="255">
        <f>100-100</f>
        <v>0</v>
      </c>
      <c r="V74" s="253"/>
      <c r="W74" s="253"/>
      <c r="X74" s="253"/>
      <c r="Y74" s="253"/>
      <c r="Z74" s="253"/>
      <c r="AA74" s="255">
        <f>10-10</f>
        <v>0</v>
      </c>
      <c r="AB74" s="255">
        <f>50-50</f>
        <v>0</v>
      </c>
      <c r="AC74" s="255">
        <f>40-40</f>
        <v>0</v>
      </c>
      <c r="AD74" s="253"/>
      <c r="AE74" s="253"/>
      <c r="AF74" s="253"/>
      <c r="AG74" s="253"/>
      <c r="AH74" s="253"/>
      <c r="AI74" s="253"/>
      <c r="AJ74" s="253"/>
      <c r="AK74" s="253"/>
      <c r="AL74" s="253"/>
      <c r="AM74" s="253"/>
      <c r="AN74" s="253"/>
      <c r="AO74" s="255">
        <f>91-91</f>
        <v>0</v>
      </c>
      <c r="AP74" s="253"/>
      <c r="AQ74" s="253"/>
      <c r="AR74" s="253"/>
      <c r="AS74" s="253"/>
      <c r="AT74" s="255">
        <f>350-350</f>
        <v>0</v>
      </c>
      <c r="AU74" s="253"/>
      <c r="AV74" s="253"/>
      <c r="AW74" s="253"/>
      <c r="AX74" s="253"/>
      <c r="AY74" s="253"/>
      <c r="AZ74" s="253"/>
      <c r="BA74" s="253"/>
      <c r="BB74" s="253"/>
      <c r="BC74" s="253"/>
      <c r="BD74" s="255">
        <f>40-40</f>
        <v>0</v>
      </c>
      <c r="BE74" s="253"/>
      <c r="BF74" s="255">
        <f>40-40</f>
        <v>0</v>
      </c>
      <c r="BG74" s="253"/>
      <c r="BH74" s="253"/>
      <c r="BI74" s="253"/>
      <c r="BJ74" s="253"/>
      <c r="BK74" s="253"/>
      <c r="BL74" s="253"/>
      <c r="BM74" s="253"/>
      <c r="BN74" s="253"/>
      <c r="BO74" s="253"/>
      <c r="BP74" s="253"/>
      <c r="BQ74" s="253"/>
      <c r="BR74" s="253"/>
      <c r="BS74" s="253"/>
      <c r="BT74" s="253"/>
      <c r="BU74" s="253"/>
      <c r="BV74" s="253"/>
      <c r="BW74" s="253"/>
      <c r="BX74" s="253"/>
      <c r="BY74" s="253"/>
      <c r="BZ74" s="253"/>
      <c r="CA74" s="253"/>
      <c r="CB74" s="253"/>
      <c r="CC74" s="253"/>
      <c r="CD74" s="253"/>
      <c r="CE74" s="253"/>
      <c r="CF74" s="253"/>
      <c r="CG74" s="253"/>
      <c r="CH74" s="253"/>
      <c r="CI74" s="253"/>
      <c r="CJ74" s="253"/>
      <c r="CK74" s="253"/>
      <c r="CL74" s="253"/>
      <c r="CM74" s="253"/>
      <c r="CN74" s="253"/>
      <c r="CO74" s="253"/>
      <c r="CP74" s="253"/>
      <c r="CQ74" s="253"/>
      <c r="CR74" s="253"/>
      <c r="CS74" s="253"/>
      <c r="CT74" s="253"/>
      <c r="CU74" s="253"/>
      <c r="CV74" s="253"/>
      <c r="CW74" s="253"/>
      <c r="CX74" s="253"/>
      <c r="CY74" s="253"/>
      <c r="CZ74" s="253"/>
      <c r="DA74" s="253"/>
      <c r="DB74" s="253"/>
      <c r="DC74" s="253"/>
      <c r="DD74" s="253"/>
      <c r="DE74" s="253"/>
      <c r="DF74" s="253"/>
      <c r="DG74" s="253"/>
      <c r="DH74" s="253"/>
      <c r="DI74" s="253"/>
      <c r="DJ74" s="253"/>
      <c r="DK74" s="253"/>
      <c r="DL74" s="253"/>
      <c r="DM74" s="253"/>
      <c r="DN74" s="253"/>
      <c r="DO74" s="253"/>
      <c r="DP74" s="253"/>
      <c r="DQ74" s="253"/>
      <c r="DR74" s="253"/>
      <c r="DS74" s="255">
        <f>240-240</f>
        <v>0</v>
      </c>
      <c r="DT74" s="253"/>
      <c r="DU74" s="253"/>
      <c r="DV74" s="253"/>
      <c r="DW74" s="253"/>
      <c r="DX74" s="253"/>
      <c r="DY74" s="253"/>
      <c r="DZ74" s="253"/>
      <c r="EA74" s="255">
        <f>40-40</f>
        <v>0</v>
      </c>
      <c r="EB74" s="255">
        <f>10-10</f>
        <v>0</v>
      </c>
      <c r="EC74" s="255">
        <f>4-4</f>
        <v>0</v>
      </c>
      <c r="ED74" s="253"/>
      <c r="EE74" s="255">
        <f>20-20</f>
        <v>0</v>
      </c>
      <c r="EF74" s="253"/>
      <c r="EG74" s="255">
        <f>40-40</f>
        <v>0</v>
      </c>
      <c r="EH74" s="255">
        <f>30-30</f>
        <v>0</v>
      </c>
      <c r="EI74" s="253"/>
      <c r="EJ74" s="255">
        <f>95-95</f>
        <v>0</v>
      </c>
      <c r="EK74" s="253"/>
      <c r="EL74" s="253"/>
      <c r="EM74" s="253"/>
      <c r="EN74" s="253"/>
      <c r="EO74" s="253"/>
      <c r="EP74" s="253"/>
      <c r="EQ74" s="253"/>
      <c r="ER74" s="253"/>
      <c r="ES74" s="253"/>
      <c r="ET74" s="253"/>
      <c r="EU74" s="253"/>
      <c r="EV74" s="253"/>
      <c r="EW74" s="253"/>
      <c r="EX74" s="253"/>
      <c r="EY74" s="253"/>
      <c r="EZ74" s="253"/>
      <c r="FA74" s="253"/>
      <c r="FB74" s="253"/>
      <c r="FC74" s="253"/>
      <c r="FD74" s="253"/>
      <c r="FE74" s="253"/>
      <c r="FF74" s="253"/>
      <c r="FG74" s="256"/>
      <c r="FH74" s="257" t="s">
        <v>993</v>
      </c>
      <c r="FI74" s="258" t="s">
        <v>389</v>
      </c>
      <c r="FJ74" s="258" t="s">
        <v>431</v>
      </c>
      <c r="FK74" s="258" t="s">
        <v>432</v>
      </c>
      <c r="FL74" s="259">
        <f t="shared" si="3"/>
        <v>0</v>
      </c>
      <c r="FM74" s="260" t="s">
        <v>433</v>
      </c>
    </row>
    <row r="75" spans="1:169">
      <c r="A75" s="251" t="s">
        <v>393</v>
      </c>
      <c r="B75" s="251" t="s">
        <v>392</v>
      </c>
      <c r="C75" s="251" t="s">
        <v>411</v>
      </c>
      <c r="D75" s="251" t="s">
        <v>293</v>
      </c>
      <c r="E75" s="252" t="s">
        <v>430</v>
      </c>
      <c r="F75" s="251" t="s">
        <v>388</v>
      </c>
      <c r="G75" s="251"/>
      <c r="H75" s="253"/>
      <c r="I75" s="253"/>
      <c r="J75" s="255">
        <f>60-60</f>
        <v>0</v>
      </c>
      <c r="K75" s="253"/>
      <c r="L75" s="253"/>
      <c r="M75" s="253"/>
      <c r="N75" s="253"/>
      <c r="O75" s="253"/>
      <c r="P75" s="253"/>
      <c r="Q75" s="253"/>
      <c r="R75" s="253"/>
      <c r="S75" s="253"/>
      <c r="T75" s="253"/>
      <c r="U75" s="253"/>
      <c r="V75" s="253"/>
      <c r="W75" s="253"/>
      <c r="X75" s="253"/>
      <c r="Y75" s="253"/>
      <c r="Z75" s="253"/>
      <c r="AA75" s="253"/>
      <c r="AB75" s="253"/>
      <c r="AC75" s="253"/>
      <c r="AD75" s="253"/>
      <c r="AE75" s="253"/>
      <c r="AF75" s="253"/>
      <c r="AG75" s="253"/>
      <c r="AH75" s="253"/>
      <c r="AI75" s="253"/>
      <c r="AJ75" s="253"/>
      <c r="AK75" s="253"/>
      <c r="AL75" s="253"/>
      <c r="AM75" s="253"/>
      <c r="AN75" s="253"/>
      <c r="AO75" s="253"/>
      <c r="AP75" s="253"/>
      <c r="AQ75" s="253"/>
      <c r="AR75" s="253"/>
      <c r="AS75" s="253"/>
      <c r="AT75" s="253"/>
      <c r="AU75" s="253"/>
      <c r="AV75" s="253"/>
      <c r="AW75" s="253"/>
      <c r="AX75" s="253"/>
      <c r="AY75" s="253"/>
      <c r="AZ75" s="253"/>
      <c r="BA75" s="253"/>
      <c r="BB75" s="253"/>
      <c r="BC75" s="253"/>
      <c r="BD75" s="253"/>
      <c r="BE75" s="253"/>
      <c r="BF75" s="253"/>
      <c r="BG75" s="253"/>
      <c r="BH75" s="253"/>
      <c r="BI75" s="253"/>
      <c r="BJ75" s="253"/>
      <c r="BK75" s="253"/>
      <c r="BL75" s="253"/>
      <c r="BM75" s="253"/>
      <c r="BN75" s="253"/>
      <c r="BO75" s="253"/>
      <c r="BP75" s="253"/>
      <c r="BQ75" s="253"/>
      <c r="BR75" s="253"/>
      <c r="BS75" s="253"/>
      <c r="BT75" s="253"/>
      <c r="BU75" s="253"/>
      <c r="BV75" s="253"/>
      <c r="BW75" s="253"/>
      <c r="BX75" s="253"/>
      <c r="BY75" s="253"/>
      <c r="BZ75" s="253"/>
      <c r="CA75" s="253"/>
      <c r="CB75" s="253"/>
      <c r="CC75" s="253"/>
      <c r="CD75" s="253"/>
      <c r="CE75" s="253"/>
      <c r="CF75" s="253"/>
      <c r="CG75" s="253"/>
      <c r="CH75" s="253"/>
      <c r="CI75" s="253"/>
      <c r="CJ75" s="253"/>
      <c r="CK75" s="253"/>
      <c r="CL75" s="253"/>
      <c r="CM75" s="253"/>
      <c r="CN75" s="253"/>
      <c r="CO75" s="253"/>
      <c r="CP75" s="253"/>
      <c r="CQ75" s="253"/>
      <c r="CR75" s="253"/>
      <c r="CS75" s="253"/>
      <c r="CT75" s="253"/>
      <c r="CU75" s="253"/>
      <c r="CV75" s="253"/>
      <c r="CW75" s="253"/>
      <c r="CX75" s="253"/>
      <c r="CY75" s="253"/>
      <c r="CZ75" s="253"/>
      <c r="DA75" s="253"/>
      <c r="DB75" s="253"/>
      <c r="DC75" s="253"/>
      <c r="DD75" s="253"/>
      <c r="DE75" s="253"/>
      <c r="DF75" s="253"/>
      <c r="DG75" s="253"/>
      <c r="DH75" s="253"/>
      <c r="DI75" s="253"/>
      <c r="DJ75" s="253"/>
      <c r="DK75" s="253"/>
      <c r="DL75" s="253"/>
      <c r="DM75" s="253"/>
      <c r="DN75" s="253"/>
      <c r="DO75" s="253"/>
      <c r="DP75" s="253"/>
      <c r="DQ75" s="253"/>
      <c r="DR75" s="253"/>
      <c r="DS75" s="253"/>
      <c r="DT75" s="253"/>
      <c r="DU75" s="253"/>
      <c r="DV75" s="253"/>
      <c r="DW75" s="253"/>
      <c r="DX75" s="253"/>
      <c r="DY75" s="253"/>
      <c r="DZ75" s="253"/>
      <c r="EA75" s="253"/>
      <c r="EB75" s="253"/>
      <c r="EC75" s="253"/>
      <c r="ED75" s="253"/>
      <c r="EE75" s="253"/>
      <c r="EF75" s="253"/>
      <c r="EG75" s="253"/>
      <c r="EH75" s="253"/>
      <c r="EI75" s="253"/>
      <c r="EJ75" s="253"/>
      <c r="EK75" s="253"/>
      <c r="EL75" s="253"/>
      <c r="EM75" s="253"/>
      <c r="EN75" s="253"/>
      <c r="EO75" s="253"/>
      <c r="EP75" s="253"/>
      <c r="EQ75" s="253"/>
      <c r="ER75" s="253"/>
      <c r="ES75" s="253"/>
      <c r="ET75" s="253"/>
      <c r="EU75" s="253"/>
      <c r="EV75" s="253"/>
      <c r="EW75" s="253"/>
      <c r="EX75" s="253"/>
      <c r="EY75" s="253"/>
      <c r="EZ75" s="253"/>
      <c r="FA75" s="253"/>
      <c r="FB75" s="253"/>
      <c r="FC75" s="253"/>
      <c r="FD75" s="253"/>
      <c r="FE75" s="253"/>
      <c r="FF75" s="253"/>
      <c r="FG75" s="256"/>
      <c r="FH75" s="257" t="s">
        <v>993</v>
      </c>
      <c r="FI75" s="258" t="s">
        <v>389</v>
      </c>
      <c r="FJ75" s="258" t="s">
        <v>431</v>
      </c>
      <c r="FK75" s="258" t="s">
        <v>432</v>
      </c>
      <c r="FL75" s="259">
        <f t="shared" si="3"/>
        <v>0</v>
      </c>
      <c r="FM75" s="260" t="s">
        <v>433</v>
      </c>
    </row>
    <row r="76" spans="1:169">
      <c r="A76" s="251" t="s">
        <v>385</v>
      </c>
      <c r="B76" s="251" t="s">
        <v>385</v>
      </c>
      <c r="C76" s="251" t="s">
        <v>411</v>
      </c>
      <c r="D76" s="251" t="s">
        <v>291</v>
      </c>
      <c r="E76" s="252" t="s">
        <v>434</v>
      </c>
      <c r="F76" s="251" t="s">
        <v>388</v>
      </c>
      <c r="G76" s="251"/>
      <c r="H76" s="253"/>
      <c r="I76" s="253"/>
      <c r="J76" s="253"/>
      <c r="K76" s="253"/>
      <c r="L76" s="253"/>
      <c r="M76" s="253"/>
      <c r="N76" s="253"/>
      <c r="O76" s="253"/>
      <c r="P76" s="253"/>
      <c r="Q76" s="253"/>
      <c r="R76" s="253"/>
      <c r="S76" s="253"/>
      <c r="T76" s="253"/>
      <c r="U76" s="253"/>
      <c r="V76" s="253"/>
      <c r="W76" s="253"/>
      <c r="X76" s="253"/>
      <c r="Y76" s="253"/>
      <c r="Z76" s="253"/>
      <c r="AA76" s="253"/>
      <c r="AB76" s="253"/>
      <c r="AC76" s="253"/>
      <c r="AD76" s="253"/>
      <c r="AE76" s="255">
        <f>300-300</f>
        <v>0</v>
      </c>
      <c r="AF76" s="253"/>
      <c r="AG76" s="253"/>
      <c r="AH76" s="255">
        <f>300-300</f>
        <v>0</v>
      </c>
      <c r="AI76" s="253"/>
      <c r="AJ76" s="253"/>
      <c r="AK76" s="253"/>
      <c r="AL76" s="253"/>
      <c r="AM76" s="253"/>
      <c r="AN76" s="253"/>
      <c r="AO76" s="253"/>
      <c r="AP76" s="253"/>
      <c r="AQ76" s="253"/>
      <c r="AR76" s="253"/>
      <c r="AS76" s="253"/>
      <c r="AT76" s="253"/>
      <c r="AU76" s="253"/>
      <c r="AV76" s="253"/>
      <c r="AW76" s="253"/>
      <c r="AX76" s="253"/>
      <c r="AY76" s="253"/>
      <c r="AZ76" s="253"/>
      <c r="BA76" s="253"/>
      <c r="BB76" s="253"/>
      <c r="BC76" s="253"/>
      <c r="BD76" s="253"/>
      <c r="BE76" s="253"/>
      <c r="BF76" s="253"/>
      <c r="BG76" s="253"/>
      <c r="BH76" s="253"/>
      <c r="BI76" s="253"/>
      <c r="BJ76" s="253"/>
      <c r="BK76" s="253"/>
      <c r="BL76" s="253"/>
      <c r="BM76" s="253"/>
      <c r="BN76" s="253"/>
      <c r="BO76" s="253"/>
      <c r="BP76" s="253"/>
      <c r="BQ76" s="253"/>
      <c r="BR76" s="253"/>
      <c r="BS76" s="253"/>
      <c r="BT76" s="253"/>
      <c r="BU76" s="253"/>
      <c r="BV76" s="253"/>
      <c r="BW76" s="253"/>
      <c r="BX76" s="253"/>
      <c r="BY76" s="253"/>
      <c r="BZ76" s="253"/>
      <c r="CA76" s="253"/>
      <c r="CB76" s="253"/>
      <c r="CC76" s="253"/>
      <c r="CD76" s="253"/>
      <c r="CE76" s="253"/>
      <c r="CF76" s="253"/>
      <c r="CG76" s="253"/>
      <c r="CH76" s="253"/>
      <c r="CI76" s="253"/>
      <c r="CJ76" s="253"/>
      <c r="CK76" s="253"/>
      <c r="CL76" s="253"/>
      <c r="CM76" s="253"/>
      <c r="CN76" s="253"/>
      <c r="CO76" s="253"/>
      <c r="CP76" s="253"/>
      <c r="CQ76" s="253"/>
      <c r="CR76" s="253"/>
      <c r="CS76" s="253"/>
      <c r="CT76" s="253"/>
      <c r="CU76" s="253"/>
      <c r="CV76" s="253"/>
      <c r="CW76" s="253"/>
      <c r="CX76" s="253"/>
      <c r="CY76" s="253"/>
      <c r="CZ76" s="253"/>
      <c r="DA76" s="253"/>
      <c r="DB76" s="253"/>
      <c r="DC76" s="253"/>
      <c r="DD76" s="253"/>
      <c r="DE76" s="253"/>
      <c r="DF76" s="253"/>
      <c r="DG76" s="253"/>
      <c r="DH76" s="253"/>
      <c r="DI76" s="253"/>
      <c r="DJ76" s="253"/>
      <c r="DK76" s="253"/>
      <c r="DL76" s="253"/>
      <c r="DM76" s="253"/>
      <c r="DN76" s="253"/>
      <c r="DO76" s="253"/>
      <c r="DP76" s="253"/>
      <c r="DQ76" s="253"/>
      <c r="DR76" s="253"/>
      <c r="DS76" s="253"/>
      <c r="DT76" s="253"/>
      <c r="DU76" s="253"/>
      <c r="DV76" s="253"/>
      <c r="DW76" s="253"/>
      <c r="DX76" s="253"/>
      <c r="DY76" s="253"/>
      <c r="DZ76" s="253"/>
      <c r="EA76" s="253"/>
      <c r="EB76" s="253"/>
      <c r="EC76" s="253"/>
      <c r="ED76" s="253"/>
      <c r="EE76" s="253"/>
      <c r="EF76" s="253"/>
      <c r="EG76" s="253"/>
      <c r="EH76" s="253"/>
      <c r="EI76" s="253"/>
      <c r="EJ76" s="253"/>
      <c r="EK76" s="253"/>
      <c r="EL76" s="253"/>
      <c r="EM76" s="253"/>
      <c r="EN76" s="253"/>
      <c r="EO76" s="253"/>
      <c r="EP76" s="253"/>
      <c r="EQ76" s="253"/>
      <c r="ER76" s="253"/>
      <c r="ES76" s="253"/>
      <c r="ET76" s="253"/>
      <c r="EU76" s="253"/>
      <c r="EV76" s="253"/>
      <c r="EW76" s="253"/>
      <c r="EX76" s="253"/>
      <c r="EY76" s="253"/>
      <c r="EZ76" s="253"/>
      <c r="FA76" s="253"/>
      <c r="FB76" s="253"/>
      <c r="FC76" s="253"/>
      <c r="FD76" s="253"/>
      <c r="FE76" s="253"/>
      <c r="FF76" s="253"/>
      <c r="FG76" s="256"/>
      <c r="FH76" s="257" t="s">
        <v>993</v>
      </c>
      <c r="FI76" s="258" t="s">
        <v>389</v>
      </c>
      <c r="FJ76" s="258" t="s">
        <v>435</v>
      </c>
      <c r="FK76" s="258" t="s">
        <v>420</v>
      </c>
      <c r="FL76" s="259">
        <f t="shared" si="3"/>
        <v>0</v>
      </c>
      <c r="FM76" s="260" t="s">
        <v>421</v>
      </c>
    </row>
    <row r="77" spans="1:169">
      <c r="A77" s="251" t="s">
        <v>385</v>
      </c>
      <c r="B77" s="251" t="s">
        <v>385</v>
      </c>
      <c r="C77" s="251" t="s">
        <v>411</v>
      </c>
      <c r="D77" s="251" t="s">
        <v>1</v>
      </c>
      <c r="E77" s="252" t="s">
        <v>434</v>
      </c>
      <c r="F77" s="251" t="s">
        <v>388</v>
      </c>
      <c r="G77" s="251"/>
      <c r="H77" s="253"/>
      <c r="I77" s="253"/>
      <c r="J77" s="253"/>
      <c r="K77" s="253"/>
      <c r="L77" s="253"/>
      <c r="M77" s="253"/>
      <c r="N77" s="253"/>
      <c r="O77" s="253"/>
      <c r="P77" s="253"/>
      <c r="Q77" s="253"/>
      <c r="R77" s="253"/>
      <c r="S77" s="253"/>
      <c r="T77" s="253"/>
      <c r="U77" s="253"/>
      <c r="V77" s="253"/>
      <c r="W77" s="253"/>
      <c r="X77" s="253"/>
      <c r="Y77" s="255">
        <f>100-100</f>
        <v>0</v>
      </c>
      <c r="Z77" s="253"/>
      <c r="AA77" s="253"/>
      <c r="AB77" s="255">
        <f>200-200</f>
        <v>0</v>
      </c>
      <c r="AC77" s="255">
        <f>100-100</f>
        <v>0</v>
      </c>
      <c r="AD77" s="255">
        <f>100-100</f>
        <v>0</v>
      </c>
      <c r="AE77" s="253"/>
      <c r="AF77" s="253"/>
      <c r="AG77" s="253"/>
      <c r="AH77" s="253"/>
      <c r="AI77" s="253"/>
      <c r="AJ77" s="253"/>
      <c r="AK77" s="253"/>
      <c r="AL77" s="253"/>
      <c r="AM77" s="253"/>
      <c r="AN77" s="253"/>
      <c r="AO77" s="253"/>
      <c r="AP77" s="253"/>
      <c r="AQ77" s="253"/>
      <c r="AR77" s="253"/>
      <c r="AS77" s="253"/>
      <c r="AT77" s="255">
        <f>300-300</f>
        <v>0</v>
      </c>
      <c r="AU77" s="253"/>
      <c r="AV77" s="253"/>
      <c r="AW77" s="253"/>
      <c r="AX77" s="253"/>
      <c r="AY77" s="253"/>
      <c r="AZ77" s="255">
        <f>300-300</f>
        <v>0</v>
      </c>
      <c r="BA77" s="253"/>
      <c r="BB77" s="253"/>
      <c r="BC77" s="253"/>
      <c r="BD77" s="255">
        <f>300-300</f>
        <v>0</v>
      </c>
      <c r="BE77" s="253"/>
      <c r="BF77" s="253"/>
      <c r="BG77" s="253"/>
      <c r="BH77" s="253"/>
      <c r="BI77" s="253"/>
      <c r="BJ77" s="253"/>
      <c r="BK77" s="253"/>
      <c r="BL77" s="253"/>
      <c r="BM77" s="253"/>
      <c r="BN77" s="253"/>
      <c r="BO77" s="253"/>
      <c r="BP77" s="253"/>
      <c r="BQ77" s="253"/>
      <c r="BR77" s="253"/>
      <c r="BS77" s="253"/>
      <c r="BT77" s="253"/>
      <c r="BU77" s="253"/>
      <c r="BV77" s="253"/>
      <c r="BW77" s="253"/>
      <c r="BX77" s="253"/>
      <c r="BY77" s="253"/>
      <c r="BZ77" s="253"/>
      <c r="CA77" s="253"/>
      <c r="CB77" s="253"/>
      <c r="CC77" s="253"/>
      <c r="CD77" s="253"/>
      <c r="CE77" s="253"/>
      <c r="CF77" s="253"/>
      <c r="CG77" s="253"/>
      <c r="CH77" s="253"/>
      <c r="CI77" s="253"/>
      <c r="CJ77" s="253"/>
      <c r="CK77" s="253"/>
      <c r="CL77" s="253"/>
      <c r="CM77" s="253"/>
      <c r="CN77" s="253"/>
      <c r="CO77" s="253"/>
      <c r="CP77" s="253"/>
      <c r="CQ77" s="253"/>
      <c r="CR77" s="253"/>
      <c r="CS77" s="253"/>
      <c r="CT77" s="253"/>
      <c r="CU77" s="253"/>
      <c r="CV77" s="253"/>
      <c r="CW77" s="253"/>
      <c r="CX77" s="253"/>
      <c r="CY77" s="253"/>
      <c r="CZ77" s="253"/>
      <c r="DA77" s="253"/>
      <c r="DB77" s="253"/>
      <c r="DC77" s="253"/>
      <c r="DD77" s="253"/>
      <c r="DE77" s="253"/>
      <c r="DF77" s="253"/>
      <c r="DG77" s="253"/>
      <c r="DH77" s="253"/>
      <c r="DI77" s="253"/>
      <c r="DJ77" s="253"/>
      <c r="DK77" s="253"/>
      <c r="DL77" s="253"/>
      <c r="DM77" s="253"/>
      <c r="DN77" s="253"/>
      <c r="DO77" s="253"/>
      <c r="DP77" s="253"/>
      <c r="DQ77" s="253"/>
      <c r="DR77" s="253"/>
      <c r="DS77" s="253"/>
      <c r="DT77" s="253"/>
      <c r="DU77" s="253"/>
      <c r="DV77" s="253"/>
      <c r="DW77" s="253"/>
      <c r="DX77" s="253"/>
      <c r="DY77" s="253"/>
      <c r="DZ77" s="253"/>
      <c r="EA77" s="253"/>
      <c r="EB77" s="253"/>
      <c r="EC77" s="253"/>
      <c r="ED77" s="253"/>
      <c r="EE77" s="253"/>
      <c r="EF77" s="253"/>
      <c r="EG77" s="253"/>
      <c r="EH77" s="253"/>
      <c r="EI77" s="253"/>
      <c r="EJ77" s="253"/>
      <c r="EK77" s="253"/>
      <c r="EL77" s="253"/>
      <c r="EM77" s="253"/>
      <c r="EN77" s="253"/>
      <c r="EO77" s="253"/>
      <c r="EP77" s="253"/>
      <c r="EQ77" s="253"/>
      <c r="ER77" s="253"/>
      <c r="ES77" s="253"/>
      <c r="ET77" s="253"/>
      <c r="EU77" s="253"/>
      <c r="EV77" s="253"/>
      <c r="EW77" s="253"/>
      <c r="EX77" s="253"/>
      <c r="EY77" s="253"/>
      <c r="EZ77" s="253"/>
      <c r="FA77" s="253"/>
      <c r="FB77" s="253"/>
      <c r="FC77" s="253"/>
      <c r="FD77" s="253"/>
      <c r="FE77" s="253"/>
      <c r="FF77" s="253"/>
      <c r="FG77" s="256"/>
      <c r="FH77" s="257" t="s">
        <v>993</v>
      </c>
      <c r="FI77" s="258" t="s">
        <v>389</v>
      </c>
      <c r="FJ77" s="258" t="s">
        <v>435</v>
      </c>
      <c r="FK77" s="258" t="s">
        <v>420</v>
      </c>
      <c r="FL77" s="259">
        <f t="shared" si="3"/>
        <v>0</v>
      </c>
      <c r="FM77" s="260" t="s">
        <v>421</v>
      </c>
    </row>
    <row r="78" spans="1:169">
      <c r="A78" s="251" t="s">
        <v>393</v>
      </c>
      <c r="B78" s="251" t="s">
        <v>385</v>
      </c>
      <c r="C78" s="251" t="s">
        <v>411</v>
      </c>
      <c r="D78" s="251" t="s">
        <v>291</v>
      </c>
      <c r="E78" s="252" t="s">
        <v>437</v>
      </c>
      <c r="F78" s="251" t="s">
        <v>388</v>
      </c>
      <c r="G78" s="251"/>
      <c r="H78" s="253"/>
      <c r="I78" s="255">
        <f>100-100</f>
        <v>0</v>
      </c>
      <c r="J78" s="253"/>
      <c r="K78" s="253"/>
      <c r="L78" s="253"/>
      <c r="M78" s="253"/>
      <c r="N78" s="255">
        <f>100-100</f>
        <v>0</v>
      </c>
      <c r="O78" s="253"/>
      <c r="P78" s="253"/>
      <c r="Q78" s="253"/>
      <c r="R78" s="253"/>
      <c r="S78" s="253"/>
      <c r="T78" s="253"/>
      <c r="U78" s="253"/>
      <c r="V78" s="253"/>
      <c r="W78" s="253"/>
      <c r="X78" s="253"/>
      <c r="Y78" s="253"/>
      <c r="Z78" s="253"/>
      <c r="AA78" s="253"/>
      <c r="AB78" s="253"/>
      <c r="AC78" s="253"/>
      <c r="AD78" s="253"/>
      <c r="AE78" s="255">
        <f>100-100</f>
        <v>0</v>
      </c>
      <c r="AF78" s="253"/>
      <c r="AG78" s="255">
        <f>250-250</f>
        <v>0</v>
      </c>
      <c r="AH78" s="255">
        <f>150-150</f>
        <v>0</v>
      </c>
      <c r="AI78" s="253"/>
      <c r="AJ78" s="253"/>
      <c r="AK78" s="253"/>
      <c r="AL78" s="253"/>
      <c r="AM78" s="253"/>
      <c r="AN78" s="253"/>
      <c r="AO78" s="253"/>
      <c r="AP78" s="253"/>
      <c r="AQ78" s="253"/>
      <c r="AR78" s="253"/>
      <c r="AS78" s="253"/>
      <c r="AT78" s="253"/>
      <c r="AU78" s="253"/>
      <c r="AV78" s="253"/>
      <c r="AW78" s="253"/>
      <c r="AX78" s="253"/>
      <c r="AY78" s="253"/>
      <c r="AZ78" s="253"/>
      <c r="BA78" s="253"/>
      <c r="BB78" s="253"/>
      <c r="BC78" s="253"/>
      <c r="BD78" s="253"/>
      <c r="BE78" s="253"/>
      <c r="BF78" s="253"/>
      <c r="BG78" s="253"/>
      <c r="BH78" s="253"/>
      <c r="BI78" s="253"/>
      <c r="BJ78" s="253"/>
      <c r="BK78" s="253"/>
      <c r="BL78" s="253"/>
      <c r="BM78" s="253"/>
      <c r="BN78" s="253"/>
      <c r="BO78" s="253"/>
      <c r="BP78" s="253"/>
      <c r="BQ78" s="253"/>
      <c r="BR78" s="253"/>
      <c r="BS78" s="253"/>
      <c r="BT78" s="253"/>
      <c r="BU78" s="253"/>
      <c r="BV78" s="253"/>
      <c r="BW78" s="253"/>
      <c r="BX78" s="253"/>
      <c r="BY78" s="253"/>
      <c r="BZ78" s="253"/>
      <c r="CA78" s="253"/>
      <c r="CB78" s="253"/>
      <c r="CC78" s="253"/>
      <c r="CD78" s="253"/>
      <c r="CE78" s="253"/>
      <c r="CF78" s="253"/>
      <c r="CG78" s="253"/>
      <c r="CH78" s="253"/>
      <c r="CI78" s="253"/>
      <c r="CJ78" s="253"/>
      <c r="CK78" s="253"/>
      <c r="CL78" s="253"/>
      <c r="CM78" s="253"/>
      <c r="CN78" s="253"/>
      <c r="CO78" s="253"/>
      <c r="CP78" s="253"/>
      <c r="CQ78" s="253"/>
      <c r="CR78" s="253"/>
      <c r="CS78" s="253"/>
      <c r="CT78" s="253"/>
      <c r="CU78" s="253"/>
      <c r="CV78" s="253"/>
      <c r="CW78" s="253"/>
      <c r="CX78" s="253"/>
      <c r="CY78" s="253"/>
      <c r="CZ78" s="253"/>
      <c r="DA78" s="253"/>
      <c r="DB78" s="253"/>
      <c r="DC78" s="253"/>
      <c r="DD78" s="253"/>
      <c r="DE78" s="253"/>
      <c r="DF78" s="253"/>
      <c r="DG78" s="253"/>
      <c r="DH78" s="253"/>
      <c r="DI78" s="253"/>
      <c r="DJ78" s="253"/>
      <c r="DK78" s="253"/>
      <c r="DL78" s="253"/>
      <c r="DM78" s="253"/>
      <c r="DN78" s="253"/>
      <c r="DO78" s="253"/>
      <c r="DP78" s="253"/>
      <c r="DQ78" s="253"/>
      <c r="DR78" s="253"/>
      <c r="DS78" s="253"/>
      <c r="DT78" s="253"/>
      <c r="DU78" s="253"/>
      <c r="DV78" s="253"/>
      <c r="DW78" s="253"/>
      <c r="DX78" s="253"/>
      <c r="DY78" s="253"/>
      <c r="DZ78" s="253"/>
      <c r="EA78" s="253"/>
      <c r="EB78" s="253"/>
      <c r="EC78" s="253"/>
      <c r="ED78" s="253"/>
      <c r="EE78" s="253"/>
      <c r="EF78" s="253"/>
      <c r="EG78" s="253"/>
      <c r="EH78" s="253"/>
      <c r="EI78" s="253"/>
      <c r="EJ78" s="253"/>
      <c r="EK78" s="253"/>
      <c r="EL78" s="253"/>
      <c r="EM78" s="253"/>
      <c r="EN78" s="253"/>
      <c r="EO78" s="253"/>
      <c r="EP78" s="253"/>
      <c r="EQ78" s="253"/>
      <c r="ER78" s="253"/>
      <c r="ES78" s="253"/>
      <c r="ET78" s="253"/>
      <c r="EU78" s="253"/>
      <c r="EV78" s="253"/>
      <c r="EW78" s="253"/>
      <c r="EX78" s="253"/>
      <c r="EY78" s="253"/>
      <c r="EZ78" s="253"/>
      <c r="FA78" s="253"/>
      <c r="FB78" s="253"/>
      <c r="FC78" s="253"/>
      <c r="FD78" s="253"/>
      <c r="FE78" s="253"/>
      <c r="FF78" s="253"/>
      <c r="FG78" s="256"/>
      <c r="FH78" s="257" t="s">
        <v>993</v>
      </c>
      <c r="FI78" s="258" t="s">
        <v>389</v>
      </c>
      <c r="FJ78" s="258" t="s">
        <v>438</v>
      </c>
      <c r="FK78" s="258" t="s">
        <v>439</v>
      </c>
      <c r="FL78" s="259">
        <f t="shared" si="3"/>
        <v>0</v>
      </c>
      <c r="FM78" s="260" t="s">
        <v>421</v>
      </c>
    </row>
    <row r="79" spans="1:169">
      <c r="A79" s="251" t="s">
        <v>393</v>
      </c>
      <c r="B79" s="251" t="s">
        <v>385</v>
      </c>
      <c r="C79" s="251" t="s">
        <v>411</v>
      </c>
      <c r="D79" s="251" t="s">
        <v>1</v>
      </c>
      <c r="E79" s="252" t="s">
        <v>437</v>
      </c>
      <c r="F79" s="251" t="s">
        <v>388</v>
      </c>
      <c r="G79" s="251"/>
      <c r="H79" s="253"/>
      <c r="I79" s="253"/>
      <c r="J79" s="253"/>
      <c r="K79" s="253"/>
      <c r="L79" s="253"/>
      <c r="M79" s="253"/>
      <c r="N79" s="253"/>
      <c r="O79" s="253"/>
      <c r="P79" s="253"/>
      <c r="Q79" s="253"/>
      <c r="R79" s="253"/>
      <c r="S79" s="253"/>
      <c r="T79" s="253"/>
      <c r="U79" s="255">
        <f>100-100</f>
        <v>0</v>
      </c>
      <c r="V79" s="253"/>
      <c r="W79" s="253"/>
      <c r="X79" s="253"/>
      <c r="Y79" s="255">
        <f>100-100</f>
        <v>0</v>
      </c>
      <c r="Z79" s="255">
        <f>100-100</f>
        <v>0</v>
      </c>
      <c r="AA79" s="253"/>
      <c r="AB79" s="255">
        <f>400-400</f>
        <v>0</v>
      </c>
      <c r="AC79" s="253"/>
      <c r="AD79" s="253"/>
      <c r="AE79" s="253"/>
      <c r="AF79" s="255">
        <f>150-150</f>
        <v>0</v>
      </c>
      <c r="AG79" s="253"/>
      <c r="AH79" s="253"/>
      <c r="AI79" s="253"/>
      <c r="AJ79" s="253"/>
      <c r="AK79" s="253"/>
      <c r="AL79" s="253"/>
      <c r="AM79" s="253"/>
      <c r="AN79" s="253"/>
      <c r="AO79" s="255">
        <f>100-100</f>
        <v>0</v>
      </c>
      <c r="AP79" s="253"/>
      <c r="AQ79" s="253"/>
      <c r="AR79" s="253"/>
      <c r="AS79" s="253"/>
      <c r="AT79" s="255">
        <f>200-200</f>
        <v>0</v>
      </c>
      <c r="AU79" s="253"/>
      <c r="AV79" s="253"/>
      <c r="AW79" s="253"/>
      <c r="AX79" s="253"/>
      <c r="AY79" s="253"/>
      <c r="AZ79" s="253"/>
      <c r="BA79" s="253"/>
      <c r="BB79" s="253"/>
      <c r="BC79" s="253"/>
      <c r="BD79" s="255">
        <f>50-50</f>
        <v>0</v>
      </c>
      <c r="BE79" s="253"/>
      <c r="BF79" s="253"/>
      <c r="BG79" s="253"/>
      <c r="BH79" s="253"/>
      <c r="BI79" s="253"/>
      <c r="BJ79" s="253"/>
      <c r="BK79" s="253"/>
      <c r="BL79" s="253"/>
      <c r="BM79" s="253"/>
      <c r="BN79" s="253"/>
      <c r="BO79" s="253"/>
      <c r="BP79" s="253"/>
      <c r="BQ79" s="253"/>
      <c r="BR79" s="253"/>
      <c r="BS79" s="253"/>
      <c r="BT79" s="253"/>
      <c r="BU79" s="253"/>
      <c r="BV79" s="253"/>
      <c r="BW79" s="253"/>
      <c r="BX79" s="253"/>
      <c r="BY79" s="253"/>
      <c r="BZ79" s="253"/>
      <c r="CA79" s="253"/>
      <c r="CB79" s="253"/>
      <c r="CC79" s="253"/>
      <c r="CD79" s="253"/>
      <c r="CE79" s="253"/>
      <c r="CF79" s="253"/>
      <c r="CG79" s="253"/>
      <c r="CH79" s="253"/>
      <c r="CI79" s="253"/>
      <c r="CJ79" s="253"/>
      <c r="CK79" s="253"/>
      <c r="CL79" s="253"/>
      <c r="CM79" s="253"/>
      <c r="CN79" s="253"/>
      <c r="CO79" s="253"/>
      <c r="CP79" s="253"/>
      <c r="CQ79" s="253"/>
      <c r="CR79" s="253"/>
      <c r="CS79" s="253"/>
      <c r="CT79" s="253"/>
      <c r="CU79" s="253"/>
      <c r="CV79" s="253"/>
      <c r="CW79" s="253"/>
      <c r="CX79" s="253"/>
      <c r="CY79" s="253"/>
      <c r="CZ79" s="253"/>
      <c r="DA79" s="253"/>
      <c r="DB79" s="253"/>
      <c r="DC79" s="253"/>
      <c r="DD79" s="253"/>
      <c r="DE79" s="253"/>
      <c r="DF79" s="253"/>
      <c r="DG79" s="253"/>
      <c r="DH79" s="253"/>
      <c r="DI79" s="253"/>
      <c r="DJ79" s="253"/>
      <c r="DK79" s="253"/>
      <c r="DL79" s="253"/>
      <c r="DM79" s="253"/>
      <c r="DN79" s="253"/>
      <c r="DO79" s="253"/>
      <c r="DP79" s="253"/>
      <c r="DQ79" s="253"/>
      <c r="DR79" s="253"/>
      <c r="DS79" s="253"/>
      <c r="DT79" s="253"/>
      <c r="DU79" s="253"/>
      <c r="DV79" s="253"/>
      <c r="DW79" s="253"/>
      <c r="DX79" s="253"/>
      <c r="DY79" s="253"/>
      <c r="DZ79" s="253"/>
      <c r="EA79" s="253"/>
      <c r="EB79" s="253"/>
      <c r="EC79" s="253"/>
      <c r="ED79" s="253"/>
      <c r="EE79" s="253"/>
      <c r="EF79" s="253"/>
      <c r="EG79" s="253"/>
      <c r="EH79" s="255">
        <f>40-40</f>
        <v>0</v>
      </c>
      <c r="EI79" s="253"/>
      <c r="EJ79" s="255">
        <f>40-40</f>
        <v>0</v>
      </c>
      <c r="EK79" s="253"/>
      <c r="EL79" s="253"/>
      <c r="EM79" s="253"/>
      <c r="EN79" s="253"/>
      <c r="EO79" s="253"/>
      <c r="EP79" s="253"/>
      <c r="EQ79" s="253"/>
      <c r="ER79" s="253"/>
      <c r="ES79" s="253"/>
      <c r="ET79" s="253"/>
      <c r="EU79" s="253"/>
      <c r="EV79" s="253"/>
      <c r="EW79" s="253"/>
      <c r="EX79" s="253"/>
      <c r="EY79" s="253"/>
      <c r="EZ79" s="253"/>
      <c r="FA79" s="253"/>
      <c r="FB79" s="253"/>
      <c r="FC79" s="253"/>
      <c r="FD79" s="253"/>
      <c r="FE79" s="253"/>
      <c r="FF79" s="253"/>
      <c r="FG79" s="256"/>
      <c r="FH79" s="257" t="s">
        <v>993</v>
      </c>
      <c r="FI79" s="258" t="s">
        <v>389</v>
      </c>
      <c r="FJ79" s="258" t="s">
        <v>438</v>
      </c>
      <c r="FK79" s="258" t="s">
        <v>439</v>
      </c>
      <c r="FL79" s="259">
        <f t="shared" si="3"/>
        <v>0</v>
      </c>
      <c r="FM79" s="260" t="s">
        <v>421</v>
      </c>
    </row>
    <row r="80" spans="1:169">
      <c r="A80" s="251" t="s">
        <v>393</v>
      </c>
      <c r="B80" s="251" t="s">
        <v>385</v>
      </c>
      <c r="C80" s="251" t="s">
        <v>411</v>
      </c>
      <c r="D80" s="251" t="s">
        <v>291</v>
      </c>
      <c r="E80" s="252" t="s">
        <v>440</v>
      </c>
      <c r="F80" s="251" t="s">
        <v>388</v>
      </c>
      <c r="G80" s="251"/>
      <c r="H80" s="253"/>
      <c r="I80" s="255">
        <f>300-300</f>
        <v>0</v>
      </c>
      <c r="J80" s="253"/>
      <c r="K80" s="253"/>
      <c r="L80" s="253"/>
      <c r="M80" s="253"/>
      <c r="N80" s="253"/>
      <c r="O80" s="253"/>
      <c r="P80" s="253"/>
      <c r="Q80" s="253"/>
      <c r="R80" s="253"/>
      <c r="S80" s="253"/>
      <c r="T80" s="253"/>
      <c r="U80" s="253"/>
      <c r="V80" s="253"/>
      <c r="W80" s="253"/>
      <c r="X80" s="253"/>
      <c r="Y80" s="253"/>
      <c r="Z80" s="253"/>
      <c r="AA80" s="253"/>
      <c r="AB80" s="253"/>
      <c r="AC80" s="253"/>
      <c r="AD80" s="253"/>
      <c r="AE80" s="253"/>
      <c r="AF80" s="253"/>
      <c r="AG80" s="253"/>
      <c r="AH80" s="255">
        <f>500-500</f>
        <v>0</v>
      </c>
      <c r="AI80" s="253"/>
      <c r="AJ80" s="253"/>
      <c r="AK80" s="253"/>
      <c r="AL80" s="253"/>
      <c r="AM80" s="255">
        <f>500-500</f>
        <v>0</v>
      </c>
      <c r="AN80" s="253"/>
      <c r="AO80" s="253"/>
      <c r="AP80" s="253"/>
      <c r="AQ80" s="253"/>
      <c r="AR80" s="253"/>
      <c r="AS80" s="253"/>
      <c r="AT80" s="253"/>
      <c r="AU80" s="253"/>
      <c r="AV80" s="253"/>
      <c r="AW80" s="253"/>
      <c r="AX80" s="253"/>
      <c r="AY80" s="253"/>
      <c r="AZ80" s="253"/>
      <c r="BA80" s="253"/>
      <c r="BB80" s="253"/>
      <c r="BC80" s="253"/>
      <c r="BD80" s="253"/>
      <c r="BE80" s="253"/>
      <c r="BF80" s="253"/>
      <c r="BG80" s="253"/>
      <c r="BH80" s="253"/>
      <c r="BI80" s="253"/>
      <c r="BJ80" s="253"/>
      <c r="BK80" s="253"/>
      <c r="BL80" s="253"/>
      <c r="BM80" s="253"/>
      <c r="BN80" s="253"/>
      <c r="BO80" s="253"/>
      <c r="BP80" s="253"/>
      <c r="BQ80" s="253"/>
      <c r="BR80" s="253"/>
      <c r="BS80" s="253"/>
      <c r="BT80" s="253"/>
      <c r="BU80" s="253"/>
      <c r="BV80" s="253"/>
      <c r="BW80" s="253"/>
      <c r="BX80" s="253"/>
      <c r="BY80" s="253"/>
      <c r="BZ80" s="253"/>
      <c r="CA80" s="253"/>
      <c r="CB80" s="253"/>
      <c r="CC80" s="253"/>
      <c r="CD80" s="253"/>
      <c r="CE80" s="253"/>
      <c r="CF80" s="253"/>
      <c r="CG80" s="253"/>
      <c r="CH80" s="253"/>
      <c r="CI80" s="253"/>
      <c r="CJ80" s="253"/>
      <c r="CK80" s="253"/>
      <c r="CL80" s="253"/>
      <c r="CM80" s="253"/>
      <c r="CN80" s="253"/>
      <c r="CO80" s="253"/>
      <c r="CP80" s="253"/>
      <c r="CQ80" s="253"/>
      <c r="CR80" s="253"/>
      <c r="CS80" s="253"/>
      <c r="CT80" s="253"/>
      <c r="CU80" s="253"/>
      <c r="CV80" s="253"/>
      <c r="CW80" s="253"/>
      <c r="CX80" s="253"/>
      <c r="CY80" s="253"/>
      <c r="CZ80" s="253"/>
      <c r="DA80" s="253"/>
      <c r="DB80" s="253"/>
      <c r="DC80" s="253"/>
      <c r="DD80" s="253"/>
      <c r="DE80" s="253"/>
      <c r="DF80" s="253"/>
      <c r="DG80" s="253"/>
      <c r="DH80" s="253"/>
      <c r="DI80" s="253"/>
      <c r="DJ80" s="253"/>
      <c r="DK80" s="253"/>
      <c r="DL80" s="253"/>
      <c r="DM80" s="253"/>
      <c r="DN80" s="253"/>
      <c r="DO80" s="253"/>
      <c r="DP80" s="253"/>
      <c r="DQ80" s="253"/>
      <c r="DR80" s="253"/>
      <c r="DS80" s="253"/>
      <c r="DT80" s="255">
        <f>120-120</f>
        <v>0</v>
      </c>
      <c r="DU80" s="301">
        <f>200-200+200</f>
        <v>200</v>
      </c>
      <c r="DV80" s="253"/>
      <c r="DW80" s="253"/>
      <c r="DX80" s="253"/>
      <c r="DY80" s="253"/>
      <c r="DZ80" s="253"/>
      <c r="EA80" s="253"/>
      <c r="EB80" s="253"/>
      <c r="EC80" s="253"/>
      <c r="ED80" s="253"/>
      <c r="EE80" s="253"/>
      <c r="EF80" s="253"/>
      <c r="EG80" s="253"/>
      <c r="EH80" s="253"/>
      <c r="EI80" s="253"/>
      <c r="EJ80" s="253"/>
      <c r="EK80" s="253"/>
      <c r="EL80" s="253"/>
      <c r="EM80" s="253"/>
      <c r="EN80" s="253"/>
      <c r="EO80" s="253"/>
      <c r="EP80" s="253"/>
      <c r="EQ80" s="253"/>
      <c r="ER80" s="253"/>
      <c r="ES80" s="253"/>
      <c r="ET80" s="253"/>
      <c r="EU80" s="253"/>
      <c r="EV80" s="253"/>
      <c r="EW80" s="253"/>
      <c r="EX80" s="253"/>
      <c r="EY80" s="253"/>
      <c r="EZ80" s="253"/>
      <c r="FA80" s="253"/>
      <c r="FB80" s="253"/>
      <c r="FC80" s="253"/>
      <c r="FD80" s="253"/>
      <c r="FE80" s="253"/>
      <c r="FF80" s="253"/>
      <c r="FG80" s="256"/>
      <c r="FH80" s="257" t="s">
        <v>993</v>
      </c>
      <c r="FI80" s="258" t="s">
        <v>389</v>
      </c>
      <c r="FJ80" s="258"/>
      <c r="FK80" s="258" t="s">
        <v>423</v>
      </c>
      <c r="FL80" s="259">
        <f t="shared" si="3"/>
        <v>200</v>
      </c>
      <c r="FM80" s="260" t="s">
        <v>424</v>
      </c>
    </row>
    <row r="81" spans="1:169">
      <c r="A81" s="251" t="s">
        <v>393</v>
      </c>
      <c r="B81" s="251" t="s">
        <v>385</v>
      </c>
      <c r="C81" s="251" t="s">
        <v>411</v>
      </c>
      <c r="D81" s="251" t="s">
        <v>1</v>
      </c>
      <c r="E81" s="252" t="s">
        <v>440</v>
      </c>
      <c r="F81" s="251" t="s">
        <v>388</v>
      </c>
      <c r="G81" s="251"/>
      <c r="H81" s="253"/>
      <c r="I81" s="253"/>
      <c r="J81" s="253"/>
      <c r="K81" s="253"/>
      <c r="L81" s="253"/>
      <c r="M81" s="253"/>
      <c r="N81" s="253"/>
      <c r="O81" s="253"/>
      <c r="P81" s="253"/>
      <c r="Q81" s="253"/>
      <c r="R81" s="253"/>
      <c r="S81" s="253"/>
      <c r="T81" s="253"/>
      <c r="U81" s="253"/>
      <c r="V81" s="253"/>
      <c r="W81" s="253"/>
      <c r="X81" s="253"/>
      <c r="Y81" s="253"/>
      <c r="Z81" s="253"/>
      <c r="AA81" s="253"/>
      <c r="AB81" s="255">
        <f>500-500</f>
        <v>0</v>
      </c>
      <c r="AC81" s="255">
        <f>500-500</f>
        <v>0</v>
      </c>
      <c r="AD81" s="253"/>
      <c r="AE81" s="253"/>
      <c r="AF81" s="253"/>
      <c r="AG81" s="253"/>
      <c r="AH81" s="253"/>
      <c r="AI81" s="253"/>
      <c r="AJ81" s="253"/>
      <c r="AK81" s="253"/>
      <c r="AL81" s="253"/>
      <c r="AM81" s="253"/>
      <c r="AN81" s="253"/>
      <c r="AO81" s="253"/>
      <c r="AP81" s="253"/>
      <c r="AQ81" s="253"/>
      <c r="AR81" s="253"/>
      <c r="AS81" s="253"/>
      <c r="AT81" s="255">
        <f>500-500</f>
        <v>0</v>
      </c>
      <c r="AU81" s="253"/>
      <c r="AV81" s="253"/>
      <c r="AW81" s="253"/>
      <c r="AX81" s="253"/>
      <c r="AY81" s="253"/>
      <c r="AZ81" s="255">
        <f>500-500</f>
        <v>0</v>
      </c>
      <c r="BA81" s="253"/>
      <c r="BB81" s="253"/>
      <c r="BC81" s="253"/>
      <c r="BD81" s="255">
        <f>500-500</f>
        <v>0</v>
      </c>
      <c r="BE81" s="253"/>
      <c r="BF81" s="253"/>
      <c r="BG81" s="253"/>
      <c r="BH81" s="253"/>
      <c r="BI81" s="253"/>
      <c r="BJ81" s="253"/>
      <c r="BK81" s="253"/>
      <c r="BL81" s="253"/>
      <c r="BM81" s="253"/>
      <c r="BN81" s="253"/>
      <c r="BO81" s="253"/>
      <c r="BP81" s="255">
        <f>800-800</f>
        <v>0</v>
      </c>
      <c r="BQ81" s="255">
        <f>800-800</f>
        <v>0</v>
      </c>
      <c r="BR81" s="253"/>
      <c r="BS81" s="255">
        <f>800-800</f>
        <v>0</v>
      </c>
      <c r="BT81" s="253"/>
      <c r="BU81" s="253"/>
      <c r="BV81" s="253"/>
      <c r="BW81" s="253"/>
      <c r="BX81" s="253"/>
      <c r="BY81" s="253"/>
      <c r="BZ81" s="255">
        <f>800-800</f>
        <v>0</v>
      </c>
      <c r="CA81" s="253"/>
      <c r="CB81" s="253"/>
      <c r="CC81" s="255">
        <f>800-800</f>
        <v>0</v>
      </c>
      <c r="CD81" s="255">
        <f>800-800</f>
        <v>0</v>
      </c>
      <c r="CE81" s="255">
        <f>800-800</f>
        <v>0</v>
      </c>
      <c r="CF81" s="255">
        <f>800-800</f>
        <v>0</v>
      </c>
      <c r="CG81" s="255">
        <f>800-800</f>
        <v>0</v>
      </c>
      <c r="CH81" s="253"/>
      <c r="CI81" s="253"/>
      <c r="CJ81" s="253"/>
      <c r="CK81" s="253"/>
      <c r="CL81" s="253"/>
      <c r="CM81" s="253"/>
      <c r="CN81" s="253"/>
      <c r="CO81" s="253"/>
      <c r="CP81" s="253"/>
      <c r="CQ81" s="253"/>
      <c r="CR81" s="253"/>
      <c r="CS81" s="253"/>
      <c r="CT81" s="253"/>
      <c r="CU81" s="253"/>
      <c r="CV81" s="253"/>
      <c r="CW81" s="253"/>
      <c r="CX81" s="255">
        <f>800-800</f>
        <v>0</v>
      </c>
      <c r="CY81" s="255">
        <f>100-100</f>
        <v>0</v>
      </c>
      <c r="CZ81" s="255">
        <f>100-100</f>
        <v>0</v>
      </c>
      <c r="DA81" s="253"/>
      <c r="DB81" s="255">
        <f>100-100</f>
        <v>0</v>
      </c>
      <c r="DC81" s="253"/>
      <c r="DD81" s="253"/>
      <c r="DE81" s="255">
        <f>100-100</f>
        <v>0</v>
      </c>
      <c r="DF81" s="253"/>
      <c r="DG81" s="253"/>
      <c r="DH81" s="253"/>
      <c r="DI81" s="253"/>
      <c r="DJ81" s="253"/>
      <c r="DK81" s="255">
        <f>100-100</f>
        <v>0</v>
      </c>
      <c r="DL81" s="253"/>
      <c r="DM81" s="255">
        <f>100-100</f>
        <v>0</v>
      </c>
      <c r="DN81" s="253"/>
      <c r="DO81" s="253"/>
      <c r="DP81" s="253"/>
      <c r="DQ81" s="253"/>
      <c r="DR81" s="253"/>
      <c r="DS81" s="253"/>
      <c r="DT81" s="253"/>
      <c r="DU81" s="253"/>
      <c r="DV81" s="253"/>
      <c r="DW81" s="253"/>
      <c r="DX81" s="253"/>
      <c r="DY81" s="253"/>
      <c r="DZ81" s="253"/>
      <c r="EA81" s="253"/>
      <c r="EB81" s="253"/>
      <c r="EC81" s="253"/>
      <c r="ED81" s="253"/>
      <c r="EE81" s="253"/>
      <c r="EF81" s="253"/>
      <c r="EG81" s="253"/>
      <c r="EH81" s="253"/>
      <c r="EI81" s="253"/>
      <c r="EJ81" s="255">
        <f>600-600</f>
        <v>0</v>
      </c>
      <c r="EK81" s="253"/>
      <c r="EL81" s="253"/>
      <c r="EM81" s="253"/>
      <c r="EN81" s="253"/>
      <c r="EO81" s="255">
        <f>600-600</f>
        <v>0</v>
      </c>
      <c r="EP81" s="255">
        <f>600-600</f>
        <v>0</v>
      </c>
      <c r="EQ81" s="253"/>
      <c r="ER81" s="253"/>
      <c r="ES81" s="253"/>
      <c r="ET81" s="253"/>
      <c r="EU81" s="253"/>
      <c r="EV81" s="253"/>
      <c r="EW81" s="255">
        <f>600-600</f>
        <v>0</v>
      </c>
      <c r="EX81" s="253"/>
      <c r="EY81" s="253"/>
      <c r="EZ81" s="253"/>
      <c r="FA81" s="253"/>
      <c r="FB81" s="253"/>
      <c r="FC81" s="253"/>
      <c r="FD81" s="253"/>
      <c r="FE81" s="253"/>
      <c r="FF81" s="253"/>
      <c r="FG81" s="256"/>
      <c r="FH81" s="257" t="s">
        <v>993</v>
      </c>
      <c r="FI81" s="258" t="s">
        <v>389</v>
      </c>
      <c r="FJ81" s="258"/>
      <c r="FK81" s="258" t="s">
        <v>423</v>
      </c>
      <c r="FL81" s="259">
        <f t="shared" si="3"/>
        <v>0</v>
      </c>
      <c r="FM81" s="260" t="s">
        <v>424</v>
      </c>
    </row>
    <row r="82" spans="1:169">
      <c r="A82" s="251" t="s">
        <v>393</v>
      </c>
      <c r="B82" s="251" t="s">
        <v>385</v>
      </c>
      <c r="C82" s="251" t="s">
        <v>411</v>
      </c>
      <c r="D82" s="251" t="s">
        <v>777</v>
      </c>
      <c r="E82" s="252" t="s">
        <v>440</v>
      </c>
      <c r="F82" s="251" t="s">
        <v>388</v>
      </c>
      <c r="G82" s="251"/>
      <c r="H82" s="253"/>
      <c r="I82" s="253"/>
      <c r="J82" s="253"/>
      <c r="K82" s="253"/>
      <c r="L82" s="253"/>
      <c r="M82" s="253"/>
      <c r="N82" s="253"/>
      <c r="O82" s="253"/>
      <c r="P82" s="253"/>
      <c r="Q82" s="253"/>
      <c r="R82" s="253"/>
      <c r="S82" s="253"/>
      <c r="T82" s="253"/>
      <c r="U82" s="253"/>
      <c r="V82" s="253"/>
      <c r="W82" s="253"/>
      <c r="X82" s="253"/>
      <c r="Y82" s="253"/>
      <c r="Z82" s="253"/>
      <c r="AA82" s="253"/>
      <c r="AB82" s="253"/>
      <c r="AC82" s="253"/>
      <c r="AD82" s="253"/>
      <c r="AE82" s="253"/>
      <c r="AF82" s="253"/>
      <c r="AG82" s="253"/>
      <c r="AH82" s="253"/>
      <c r="AI82" s="253"/>
      <c r="AJ82" s="253"/>
      <c r="AK82" s="253"/>
      <c r="AL82" s="253"/>
      <c r="AM82" s="253"/>
      <c r="AN82" s="253"/>
      <c r="AO82" s="253"/>
      <c r="AP82" s="253"/>
      <c r="AQ82" s="253"/>
      <c r="AR82" s="253"/>
      <c r="AS82" s="253"/>
      <c r="AT82" s="253"/>
      <c r="AU82" s="253"/>
      <c r="AV82" s="253"/>
      <c r="AW82" s="253"/>
      <c r="AX82" s="253"/>
      <c r="AY82" s="253"/>
      <c r="AZ82" s="253"/>
      <c r="BA82" s="253"/>
      <c r="BB82" s="253"/>
      <c r="BC82" s="253"/>
      <c r="BD82" s="253"/>
      <c r="BE82" s="253"/>
      <c r="BF82" s="253"/>
      <c r="BG82" s="253"/>
      <c r="BH82" s="253"/>
      <c r="BI82" s="253"/>
      <c r="BJ82" s="253"/>
      <c r="BK82" s="253"/>
      <c r="BL82" s="253"/>
      <c r="BM82" s="253"/>
      <c r="BN82" s="253"/>
      <c r="BO82" s="253"/>
      <c r="BP82" s="253"/>
      <c r="BQ82" s="253"/>
      <c r="BR82" s="253"/>
      <c r="BS82" s="253"/>
      <c r="BT82" s="253"/>
      <c r="BU82" s="253"/>
      <c r="BV82" s="253"/>
      <c r="BW82" s="253"/>
      <c r="BX82" s="253"/>
      <c r="BY82" s="253"/>
      <c r="BZ82" s="253"/>
      <c r="CA82" s="253"/>
      <c r="CB82" s="253"/>
      <c r="CC82" s="253"/>
      <c r="CD82" s="253"/>
      <c r="CE82" s="253"/>
      <c r="CF82" s="253"/>
      <c r="CG82" s="253"/>
      <c r="CH82" s="253"/>
      <c r="CI82" s="253"/>
      <c r="CJ82" s="253"/>
      <c r="CK82" s="253"/>
      <c r="CL82" s="253"/>
      <c r="CM82" s="253"/>
      <c r="CN82" s="255">
        <f>800-800</f>
        <v>0</v>
      </c>
      <c r="CO82" s="253"/>
      <c r="CP82" s="253"/>
      <c r="CQ82" s="253"/>
      <c r="CR82" s="253"/>
      <c r="CS82" s="253"/>
      <c r="CT82" s="253"/>
      <c r="CU82" s="253"/>
      <c r="CV82" s="253"/>
      <c r="CW82" s="253"/>
      <c r="CX82" s="253"/>
      <c r="CY82" s="253"/>
      <c r="CZ82" s="253"/>
      <c r="DA82" s="253"/>
      <c r="DB82" s="253"/>
      <c r="DC82" s="253"/>
      <c r="DD82" s="253"/>
      <c r="DE82" s="253"/>
      <c r="DF82" s="253"/>
      <c r="DG82" s="253"/>
      <c r="DH82" s="253"/>
      <c r="DI82" s="253"/>
      <c r="DJ82" s="253"/>
      <c r="DK82" s="253"/>
      <c r="DL82" s="253"/>
      <c r="DM82" s="253"/>
      <c r="DN82" s="253"/>
      <c r="DO82" s="253"/>
      <c r="DP82" s="253"/>
      <c r="DQ82" s="253"/>
      <c r="DR82" s="253"/>
      <c r="DS82" s="253"/>
      <c r="DT82" s="253"/>
      <c r="DU82" s="253"/>
      <c r="DV82" s="253"/>
      <c r="DW82" s="253"/>
      <c r="DX82" s="253"/>
      <c r="DY82" s="253"/>
      <c r="DZ82" s="253"/>
      <c r="EA82" s="253"/>
      <c r="EB82" s="253"/>
      <c r="EC82" s="253"/>
      <c r="ED82" s="253"/>
      <c r="EE82" s="253"/>
      <c r="EF82" s="253"/>
      <c r="EG82" s="253"/>
      <c r="EH82" s="253"/>
      <c r="EI82" s="253"/>
      <c r="EJ82" s="253"/>
      <c r="EK82" s="253"/>
      <c r="EL82" s="253"/>
      <c r="EM82" s="253"/>
      <c r="EN82" s="253"/>
      <c r="EO82" s="253"/>
      <c r="EP82" s="253"/>
      <c r="EQ82" s="253"/>
      <c r="ER82" s="253"/>
      <c r="ES82" s="253"/>
      <c r="ET82" s="253"/>
      <c r="EU82" s="253"/>
      <c r="EV82" s="253"/>
      <c r="EW82" s="253"/>
      <c r="EX82" s="253"/>
      <c r="EY82" s="253"/>
      <c r="EZ82" s="253"/>
      <c r="FA82" s="253"/>
      <c r="FB82" s="253"/>
      <c r="FC82" s="253"/>
      <c r="FD82" s="253"/>
      <c r="FE82" s="253"/>
      <c r="FF82" s="253"/>
      <c r="FG82" s="256"/>
      <c r="FH82" s="257" t="s">
        <v>993</v>
      </c>
      <c r="FI82" s="258" t="s">
        <v>389</v>
      </c>
      <c r="FJ82" s="258"/>
      <c r="FK82" s="258" t="s">
        <v>423</v>
      </c>
      <c r="FL82" s="259">
        <f t="shared" si="3"/>
        <v>0</v>
      </c>
      <c r="FM82" s="260" t="s">
        <v>424</v>
      </c>
    </row>
    <row r="83" spans="1:169">
      <c r="A83" s="251" t="s">
        <v>393</v>
      </c>
      <c r="B83" s="251" t="s">
        <v>385</v>
      </c>
      <c r="C83" s="251" t="s">
        <v>411</v>
      </c>
      <c r="D83" s="251" t="s">
        <v>291</v>
      </c>
      <c r="E83" s="252" t="s">
        <v>441</v>
      </c>
      <c r="F83" s="251" t="s">
        <v>388</v>
      </c>
      <c r="G83" s="251"/>
      <c r="H83" s="253"/>
      <c r="I83" s="253"/>
      <c r="J83" s="253"/>
      <c r="K83" s="253"/>
      <c r="L83" s="253"/>
      <c r="M83" s="253"/>
      <c r="N83" s="255">
        <f>50-50</f>
        <v>0</v>
      </c>
      <c r="O83" s="253"/>
      <c r="P83" s="253"/>
      <c r="Q83" s="255">
        <f>100-100</f>
        <v>0</v>
      </c>
      <c r="R83" s="253"/>
      <c r="S83" s="253"/>
      <c r="T83" s="255">
        <f>20-20</f>
        <v>0</v>
      </c>
      <c r="U83" s="253"/>
      <c r="V83" s="253"/>
      <c r="W83" s="253"/>
      <c r="X83" s="253"/>
      <c r="Y83" s="253"/>
      <c r="Z83" s="253"/>
      <c r="AA83" s="253"/>
      <c r="AB83" s="253"/>
      <c r="AC83" s="253"/>
      <c r="AD83" s="253"/>
      <c r="AE83" s="255">
        <f>200-200</f>
        <v>0</v>
      </c>
      <c r="AF83" s="253"/>
      <c r="AG83" s="255">
        <f>300-300</f>
        <v>0</v>
      </c>
      <c r="AH83" s="255">
        <f>300-300</f>
        <v>0</v>
      </c>
      <c r="AI83" s="253"/>
      <c r="AJ83" s="253"/>
      <c r="AK83" s="253"/>
      <c r="AL83" s="253"/>
      <c r="AM83" s="255">
        <f>100-100</f>
        <v>0</v>
      </c>
      <c r="AN83" s="253"/>
      <c r="AO83" s="253"/>
      <c r="AP83" s="253"/>
      <c r="AQ83" s="253"/>
      <c r="AR83" s="253"/>
      <c r="AS83" s="253"/>
      <c r="AT83" s="253"/>
      <c r="AU83" s="253"/>
      <c r="AV83" s="253"/>
      <c r="AW83" s="253"/>
      <c r="AX83" s="253"/>
      <c r="AY83" s="253"/>
      <c r="AZ83" s="253"/>
      <c r="BA83" s="253"/>
      <c r="BB83" s="253"/>
      <c r="BC83" s="253"/>
      <c r="BD83" s="253"/>
      <c r="BE83" s="253"/>
      <c r="BF83" s="253"/>
      <c r="BG83" s="253"/>
      <c r="BH83" s="253"/>
      <c r="BI83" s="253"/>
      <c r="BJ83" s="253"/>
      <c r="BK83" s="253"/>
      <c r="BL83" s="253"/>
      <c r="BM83" s="253"/>
      <c r="BN83" s="253"/>
      <c r="BO83" s="253"/>
      <c r="BP83" s="253"/>
      <c r="BQ83" s="253"/>
      <c r="BR83" s="253"/>
      <c r="BS83" s="253"/>
      <c r="BT83" s="253"/>
      <c r="BU83" s="253"/>
      <c r="BV83" s="253"/>
      <c r="BW83" s="253"/>
      <c r="BX83" s="253"/>
      <c r="BY83" s="253"/>
      <c r="BZ83" s="253"/>
      <c r="CA83" s="253"/>
      <c r="CB83" s="253"/>
      <c r="CC83" s="253"/>
      <c r="CD83" s="253"/>
      <c r="CE83" s="253"/>
      <c r="CF83" s="253"/>
      <c r="CG83" s="253"/>
      <c r="CH83" s="253"/>
      <c r="CI83" s="253"/>
      <c r="CJ83" s="253"/>
      <c r="CK83" s="253"/>
      <c r="CL83" s="253"/>
      <c r="CM83" s="253"/>
      <c r="CN83" s="253"/>
      <c r="CO83" s="253"/>
      <c r="CP83" s="253"/>
      <c r="CQ83" s="253"/>
      <c r="CR83" s="253"/>
      <c r="CS83" s="253"/>
      <c r="CT83" s="253"/>
      <c r="CU83" s="253"/>
      <c r="CV83" s="253"/>
      <c r="CW83" s="253"/>
      <c r="CX83" s="253"/>
      <c r="CY83" s="253"/>
      <c r="CZ83" s="253"/>
      <c r="DA83" s="253"/>
      <c r="DB83" s="253"/>
      <c r="DC83" s="253"/>
      <c r="DD83" s="253"/>
      <c r="DE83" s="253"/>
      <c r="DF83" s="253"/>
      <c r="DG83" s="253"/>
      <c r="DH83" s="253"/>
      <c r="DI83" s="253"/>
      <c r="DJ83" s="253"/>
      <c r="DK83" s="253"/>
      <c r="DL83" s="253"/>
      <c r="DM83" s="253"/>
      <c r="DN83" s="253"/>
      <c r="DO83" s="253"/>
      <c r="DP83" s="253"/>
      <c r="DQ83" s="253"/>
      <c r="DR83" s="253"/>
      <c r="DS83" s="253"/>
      <c r="DT83" s="253"/>
      <c r="DU83" s="253"/>
      <c r="DV83" s="253"/>
      <c r="DW83" s="253"/>
      <c r="DX83" s="253"/>
      <c r="DY83" s="253"/>
      <c r="DZ83" s="253"/>
      <c r="EA83" s="253"/>
      <c r="EB83" s="253"/>
      <c r="EC83" s="253"/>
      <c r="ED83" s="253"/>
      <c r="EE83" s="253"/>
      <c r="EF83" s="253"/>
      <c r="EG83" s="253"/>
      <c r="EH83" s="253"/>
      <c r="EI83" s="253"/>
      <c r="EJ83" s="253"/>
      <c r="EK83" s="253"/>
      <c r="EL83" s="253"/>
      <c r="EM83" s="253"/>
      <c r="EN83" s="253"/>
      <c r="EO83" s="253"/>
      <c r="EP83" s="253"/>
      <c r="EQ83" s="253"/>
      <c r="ER83" s="253"/>
      <c r="ES83" s="253"/>
      <c r="ET83" s="253"/>
      <c r="EU83" s="253"/>
      <c r="EV83" s="253"/>
      <c r="EW83" s="253"/>
      <c r="EX83" s="253"/>
      <c r="EY83" s="253"/>
      <c r="EZ83" s="253"/>
      <c r="FA83" s="253"/>
      <c r="FB83" s="253"/>
      <c r="FC83" s="253"/>
      <c r="FD83" s="253"/>
      <c r="FE83" s="253"/>
      <c r="FF83" s="253"/>
      <c r="FG83" s="256"/>
      <c r="FH83" s="257" t="s">
        <v>993</v>
      </c>
      <c r="FI83" s="258" t="s">
        <v>389</v>
      </c>
      <c r="FJ83" s="258"/>
      <c r="FK83" s="258" t="s">
        <v>423</v>
      </c>
      <c r="FL83" s="259">
        <f t="shared" si="3"/>
        <v>0</v>
      </c>
      <c r="FM83" s="260" t="s">
        <v>424</v>
      </c>
    </row>
    <row r="84" spans="1:169">
      <c r="A84" s="251" t="s">
        <v>393</v>
      </c>
      <c r="B84" s="251" t="s">
        <v>385</v>
      </c>
      <c r="C84" s="251" t="s">
        <v>411</v>
      </c>
      <c r="D84" s="251" t="s">
        <v>1</v>
      </c>
      <c r="E84" s="252" t="s">
        <v>441</v>
      </c>
      <c r="F84" s="251" t="s">
        <v>388</v>
      </c>
      <c r="G84" s="251"/>
      <c r="H84" s="253"/>
      <c r="I84" s="253"/>
      <c r="J84" s="253"/>
      <c r="K84" s="253"/>
      <c r="L84" s="253"/>
      <c r="M84" s="253"/>
      <c r="N84" s="253"/>
      <c r="O84" s="255">
        <f>50-50</f>
        <v>0</v>
      </c>
      <c r="P84" s="255">
        <f>50-50</f>
        <v>0</v>
      </c>
      <c r="Q84" s="253"/>
      <c r="R84" s="253"/>
      <c r="S84" s="255">
        <f>20-20</f>
        <v>0</v>
      </c>
      <c r="T84" s="253"/>
      <c r="U84" s="255">
        <f>100-100</f>
        <v>0</v>
      </c>
      <c r="V84" s="255">
        <f>100-100</f>
        <v>0</v>
      </c>
      <c r="W84" s="253"/>
      <c r="X84" s="253"/>
      <c r="Y84" s="255">
        <f>100-100</f>
        <v>0</v>
      </c>
      <c r="Z84" s="255">
        <f>100-100</f>
        <v>0</v>
      </c>
      <c r="AA84" s="255">
        <f>200-200</f>
        <v>0</v>
      </c>
      <c r="AB84" s="255">
        <f>200-200</f>
        <v>0</v>
      </c>
      <c r="AC84" s="255">
        <f>100-100</f>
        <v>0</v>
      </c>
      <c r="AD84" s="255">
        <f>100-100</f>
        <v>0</v>
      </c>
      <c r="AE84" s="253"/>
      <c r="AF84" s="255">
        <f>100-100</f>
        <v>0</v>
      </c>
      <c r="AG84" s="253"/>
      <c r="AH84" s="253"/>
      <c r="AI84" s="255">
        <f>100-100</f>
        <v>0</v>
      </c>
      <c r="AJ84" s="253"/>
      <c r="AK84" s="253"/>
      <c r="AL84" s="253"/>
      <c r="AM84" s="253"/>
      <c r="AN84" s="253"/>
      <c r="AO84" s="255">
        <f>100-100</f>
        <v>0</v>
      </c>
      <c r="AP84" s="253"/>
      <c r="AQ84" s="253"/>
      <c r="AR84" s="253"/>
      <c r="AS84" s="253"/>
      <c r="AT84" s="255">
        <f>500-500</f>
        <v>0</v>
      </c>
      <c r="AU84" s="253"/>
      <c r="AV84" s="253"/>
      <c r="AW84" s="253"/>
      <c r="AX84" s="253"/>
      <c r="AY84" s="253"/>
      <c r="AZ84" s="255">
        <f>200-200</f>
        <v>0</v>
      </c>
      <c r="BA84" s="253"/>
      <c r="BB84" s="253"/>
      <c r="BC84" s="253"/>
      <c r="BD84" s="255">
        <f>300-300</f>
        <v>0</v>
      </c>
      <c r="BE84" s="253"/>
      <c r="BF84" s="253"/>
      <c r="BG84" s="253"/>
      <c r="BH84" s="253"/>
      <c r="BI84" s="253"/>
      <c r="BJ84" s="253"/>
      <c r="BK84" s="253"/>
      <c r="BL84" s="253"/>
      <c r="BM84" s="253"/>
      <c r="BN84" s="253"/>
      <c r="BO84" s="253"/>
      <c r="BP84" s="253"/>
      <c r="BQ84" s="255">
        <f>300-300</f>
        <v>0</v>
      </c>
      <c r="BR84" s="255">
        <f>300-300</f>
        <v>0</v>
      </c>
      <c r="BS84" s="255">
        <f>300-300</f>
        <v>0</v>
      </c>
      <c r="BT84" s="255">
        <f>300-300</f>
        <v>0</v>
      </c>
      <c r="BU84" s="253"/>
      <c r="BV84" s="255">
        <f>300-300</f>
        <v>0</v>
      </c>
      <c r="BW84" s="255">
        <f>300-300</f>
        <v>0</v>
      </c>
      <c r="BX84" s="255">
        <f>300-300</f>
        <v>0</v>
      </c>
      <c r="BY84" s="255">
        <f>300-300</f>
        <v>0</v>
      </c>
      <c r="BZ84" s="255">
        <f>300-300</f>
        <v>0</v>
      </c>
      <c r="CA84" s="253"/>
      <c r="CB84" s="255">
        <f>300-300</f>
        <v>0</v>
      </c>
      <c r="CC84" s="255">
        <f>200-200</f>
        <v>0</v>
      </c>
      <c r="CD84" s="255">
        <f>200-200</f>
        <v>0</v>
      </c>
      <c r="CE84" s="255">
        <f>200-200</f>
        <v>0</v>
      </c>
      <c r="CF84" s="255">
        <f>300-300</f>
        <v>0</v>
      </c>
      <c r="CG84" s="255">
        <f>200-200</f>
        <v>0</v>
      </c>
      <c r="CH84" s="255">
        <f>100-100</f>
        <v>0</v>
      </c>
      <c r="CI84" s="253"/>
      <c r="CJ84" s="253"/>
      <c r="CK84" s="255">
        <f>50-50</f>
        <v>0</v>
      </c>
      <c r="CL84" s="255">
        <f>100-100</f>
        <v>0</v>
      </c>
      <c r="CM84" s="255">
        <f>100-100</f>
        <v>0</v>
      </c>
      <c r="CN84" s="253"/>
      <c r="CO84" s="253"/>
      <c r="CP84" s="253"/>
      <c r="CQ84" s="253"/>
      <c r="CR84" s="253"/>
      <c r="CS84" s="253"/>
      <c r="CT84" s="253"/>
      <c r="CU84" s="253"/>
      <c r="CV84" s="253"/>
      <c r="CW84" s="253"/>
      <c r="CX84" s="255">
        <f>100-100</f>
        <v>0</v>
      </c>
      <c r="CY84" s="255">
        <f>50-50</f>
        <v>0</v>
      </c>
      <c r="CZ84" s="253"/>
      <c r="DA84" s="253"/>
      <c r="DB84" s="253"/>
      <c r="DC84" s="255">
        <f>30-30</f>
        <v>0</v>
      </c>
      <c r="DD84" s="255">
        <f>30-30</f>
        <v>0</v>
      </c>
      <c r="DE84" s="255">
        <f>30-30</f>
        <v>0</v>
      </c>
      <c r="DF84" s="253"/>
      <c r="DG84" s="253"/>
      <c r="DH84" s="253"/>
      <c r="DI84" s="253"/>
      <c r="DJ84" s="253"/>
      <c r="DK84" s="253"/>
      <c r="DL84" s="253"/>
      <c r="DM84" s="255">
        <f>10-10</f>
        <v>0</v>
      </c>
      <c r="DN84" s="253"/>
      <c r="DO84" s="253"/>
      <c r="DP84" s="253"/>
      <c r="DQ84" s="253"/>
      <c r="DR84" s="253"/>
      <c r="DS84" s="253"/>
      <c r="DT84" s="253"/>
      <c r="DU84" s="253"/>
      <c r="DV84" s="253"/>
      <c r="DW84" s="255">
        <f>50-50</f>
        <v>0</v>
      </c>
      <c r="DX84" s="255">
        <f>50-50</f>
        <v>0</v>
      </c>
      <c r="DY84" s="253"/>
      <c r="DZ84" s="253"/>
      <c r="EA84" s="255">
        <f>100-100</f>
        <v>0</v>
      </c>
      <c r="EB84" s="255">
        <f>50-50</f>
        <v>0</v>
      </c>
      <c r="EC84" s="253"/>
      <c r="ED84" s="253"/>
      <c r="EE84" s="253"/>
      <c r="EF84" s="255">
        <f>50-50</f>
        <v>0</v>
      </c>
      <c r="EG84" s="255">
        <f>50-50</f>
        <v>0</v>
      </c>
      <c r="EH84" s="255">
        <f>50-50</f>
        <v>0</v>
      </c>
      <c r="EI84" s="255">
        <f>50-50</f>
        <v>0</v>
      </c>
      <c r="EJ84" s="255">
        <f>50-50</f>
        <v>0</v>
      </c>
      <c r="EK84" s="253"/>
      <c r="EL84" s="253"/>
      <c r="EM84" s="253"/>
      <c r="EN84" s="253"/>
      <c r="EO84" s="253"/>
      <c r="EP84" s="255">
        <f>50-50</f>
        <v>0</v>
      </c>
      <c r="EQ84" s="255">
        <f>30-30</f>
        <v>0</v>
      </c>
      <c r="ER84" s="253"/>
      <c r="ES84" s="255">
        <f>30-30</f>
        <v>0</v>
      </c>
      <c r="ET84" s="255">
        <f>30-30</f>
        <v>0</v>
      </c>
      <c r="EU84" s="255">
        <f>30-30</f>
        <v>0</v>
      </c>
      <c r="EV84" s="253"/>
      <c r="EW84" s="255">
        <f>30-30</f>
        <v>0</v>
      </c>
      <c r="EX84" s="255">
        <f>20-20</f>
        <v>0</v>
      </c>
      <c r="EY84" s="253"/>
      <c r="EZ84" s="253"/>
      <c r="FA84" s="255">
        <f>20-20</f>
        <v>0</v>
      </c>
      <c r="FB84" s="253"/>
      <c r="FC84" s="253"/>
      <c r="FD84" s="253"/>
      <c r="FE84" s="253"/>
      <c r="FF84" s="253"/>
      <c r="FG84" s="256"/>
      <c r="FH84" s="257" t="s">
        <v>993</v>
      </c>
      <c r="FI84" s="258" t="s">
        <v>389</v>
      </c>
      <c r="FJ84" s="258"/>
      <c r="FK84" s="258" t="s">
        <v>423</v>
      </c>
      <c r="FL84" s="259">
        <f t="shared" si="3"/>
        <v>0</v>
      </c>
      <c r="FM84" s="260" t="s">
        <v>424</v>
      </c>
    </row>
    <row r="85" spans="1:169">
      <c r="A85" s="251" t="s">
        <v>393</v>
      </c>
      <c r="B85" s="251" t="s">
        <v>385</v>
      </c>
      <c r="C85" s="251" t="s">
        <v>411</v>
      </c>
      <c r="D85" s="251" t="s">
        <v>293</v>
      </c>
      <c r="E85" s="252" t="s">
        <v>441</v>
      </c>
      <c r="F85" s="251" t="s">
        <v>388</v>
      </c>
      <c r="G85" s="251"/>
      <c r="H85" s="253"/>
      <c r="I85" s="253"/>
      <c r="J85" s="253"/>
      <c r="K85" s="253"/>
      <c r="L85" s="253"/>
      <c r="M85" s="253"/>
      <c r="N85" s="253"/>
      <c r="O85" s="253"/>
      <c r="P85" s="253"/>
      <c r="Q85" s="253"/>
      <c r="R85" s="253"/>
      <c r="S85" s="253"/>
      <c r="T85" s="253"/>
      <c r="U85" s="253"/>
      <c r="V85" s="253"/>
      <c r="W85" s="253"/>
      <c r="X85" s="253"/>
      <c r="Y85" s="253"/>
      <c r="Z85" s="253"/>
      <c r="AA85" s="253"/>
      <c r="AB85" s="253"/>
      <c r="AC85" s="253"/>
      <c r="AD85" s="253"/>
      <c r="AE85" s="253"/>
      <c r="AF85" s="253"/>
      <c r="AG85" s="253"/>
      <c r="AH85" s="253"/>
      <c r="AI85" s="253"/>
      <c r="AJ85" s="253"/>
      <c r="AK85" s="253"/>
      <c r="AL85" s="253"/>
      <c r="AM85" s="253"/>
      <c r="AN85" s="253"/>
      <c r="AO85" s="253"/>
      <c r="AP85" s="253"/>
      <c r="AQ85" s="253"/>
      <c r="AR85" s="253"/>
      <c r="AS85" s="253"/>
      <c r="AT85" s="253"/>
      <c r="AU85" s="253"/>
      <c r="AV85" s="253"/>
      <c r="AW85" s="253"/>
      <c r="AX85" s="253"/>
      <c r="AY85" s="253"/>
      <c r="AZ85" s="253"/>
      <c r="BA85" s="253"/>
      <c r="BB85" s="253"/>
      <c r="BC85" s="253"/>
      <c r="BD85" s="253"/>
      <c r="BE85" s="253"/>
      <c r="BF85" s="253"/>
      <c r="BG85" s="253"/>
      <c r="BH85" s="253"/>
      <c r="BI85" s="253"/>
      <c r="BJ85" s="253"/>
      <c r="BK85" s="253"/>
      <c r="BL85" s="253"/>
      <c r="BM85" s="253"/>
      <c r="BN85" s="253"/>
      <c r="BO85" s="253"/>
      <c r="BP85" s="253"/>
      <c r="BQ85" s="253"/>
      <c r="BR85" s="253"/>
      <c r="BS85" s="253"/>
      <c r="BT85" s="253"/>
      <c r="BU85" s="253"/>
      <c r="BV85" s="253"/>
      <c r="BW85" s="253"/>
      <c r="BX85" s="253"/>
      <c r="BY85" s="253"/>
      <c r="BZ85" s="253"/>
      <c r="CA85" s="253"/>
      <c r="CB85" s="253"/>
      <c r="CC85" s="253"/>
      <c r="CD85" s="253"/>
      <c r="CE85" s="253"/>
      <c r="CF85" s="253"/>
      <c r="CG85" s="253"/>
      <c r="CH85" s="253"/>
      <c r="CI85" s="253"/>
      <c r="CJ85" s="253"/>
      <c r="CK85" s="253"/>
      <c r="CL85" s="253"/>
      <c r="CM85" s="253"/>
      <c r="CN85" s="255">
        <f>100-100</f>
        <v>0</v>
      </c>
      <c r="CO85" s="253"/>
      <c r="CP85" s="253"/>
      <c r="CQ85" s="253"/>
      <c r="CR85" s="253"/>
      <c r="CS85" s="253"/>
      <c r="CT85" s="253"/>
      <c r="CU85" s="253"/>
      <c r="CV85" s="253"/>
      <c r="CW85" s="253"/>
      <c r="CX85" s="253"/>
      <c r="CY85" s="253"/>
      <c r="CZ85" s="253"/>
      <c r="DA85" s="253"/>
      <c r="DB85" s="253"/>
      <c r="DC85" s="253"/>
      <c r="DD85" s="253"/>
      <c r="DE85" s="253"/>
      <c r="DF85" s="253"/>
      <c r="DG85" s="253"/>
      <c r="DH85" s="253"/>
      <c r="DI85" s="253"/>
      <c r="DJ85" s="253"/>
      <c r="DK85" s="253"/>
      <c r="DL85" s="253"/>
      <c r="DM85" s="253"/>
      <c r="DN85" s="253"/>
      <c r="DO85" s="253"/>
      <c r="DP85" s="253"/>
      <c r="DQ85" s="253"/>
      <c r="DR85" s="253"/>
      <c r="DS85" s="253"/>
      <c r="DT85" s="253"/>
      <c r="DU85" s="253"/>
      <c r="DV85" s="253"/>
      <c r="DW85" s="253"/>
      <c r="DX85" s="253"/>
      <c r="DY85" s="253"/>
      <c r="DZ85" s="253"/>
      <c r="EA85" s="253"/>
      <c r="EB85" s="253"/>
      <c r="EC85" s="253"/>
      <c r="ED85" s="253"/>
      <c r="EE85" s="253"/>
      <c r="EF85" s="253"/>
      <c r="EG85" s="253"/>
      <c r="EH85" s="253"/>
      <c r="EI85" s="253"/>
      <c r="EJ85" s="253"/>
      <c r="EK85" s="253"/>
      <c r="EL85" s="253"/>
      <c r="EM85" s="253"/>
      <c r="EN85" s="253"/>
      <c r="EO85" s="253"/>
      <c r="EP85" s="253"/>
      <c r="EQ85" s="253"/>
      <c r="ER85" s="255">
        <f>30-30</f>
        <v>0</v>
      </c>
      <c r="ES85" s="253"/>
      <c r="ET85" s="253"/>
      <c r="EU85" s="253"/>
      <c r="EV85" s="255">
        <f>30-30</f>
        <v>0</v>
      </c>
      <c r="EW85" s="253"/>
      <c r="EX85" s="253"/>
      <c r="EY85" s="253"/>
      <c r="EZ85" s="255">
        <f>20-20</f>
        <v>0</v>
      </c>
      <c r="FA85" s="253"/>
      <c r="FB85" s="253"/>
      <c r="FC85" s="253"/>
      <c r="FD85" s="253"/>
      <c r="FE85" s="253"/>
      <c r="FF85" s="253"/>
      <c r="FG85" s="256"/>
      <c r="FH85" s="257" t="s">
        <v>993</v>
      </c>
      <c r="FI85" s="258" t="s">
        <v>389</v>
      </c>
      <c r="FJ85" s="258"/>
      <c r="FK85" s="258" t="s">
        <v>423</v>
      </c>
      <c r="FL85" s="259">
        <f t="shared" si="3"/>
        <v>0</v>
      </c>
      <c r="FM85" s="260" t="s">
        <v>424</v>
      </c>
    </row>
    <row r="86" spans="1:169">
      <c r="A86" s="251" t="s">
        <v>393</v>
      </c>
      <c r="B86" s="251" t="s">
        <v>385</v>
      </c>
      <c r="C86" s="251" t="s">
        <v>411</v>
      </c>
      <c r="D86" s="251" t="s">
        <v>291</v>
      </c>
      <c r="E86" s="252" t="s">
        <v>849</v>
      </c>
      <c r="F86" s="251" t="s">
        <v>388</v>
      </c>
      <c r="G86" s="251"/>
      <c r="H86" s="253"/>
      <c r="I86" s="255">
        <f>20-20</f>
        <v>0</v>
      </c>
      <c r="J86" s="253"/>
      <c r="K86" s="255">
        <f>20-20</f>
        <v>0</v>
      </c>
      <c r="L86" s="253"/>
      <c r="M86" s="253"/>
      <c r="N86" s="255">
        <f>40-40</f>
        <v>0</v>
      </c>
      <c r="O86" s="253"/>
      <c r="P86" s="253"/>
      <c r="Q86" s="253"/>
      <c r="R86" s="253"/>
      <c r="S86" s="253"/>
      <c r="T86" s="253"/>
      <c r="U86" s="253"/>
      <c r="V86" s="253"/>
      <c r="W86" s="253"/>
      <c r="X86" s="253"/>
      <c r="Y86" s="253"/>
      <c r="Z86" s="253"/>
      <c r="AA86" s="253"/>
      <c r="AB86" s="253"/>
      <c r="AC86" s="253"/>
      <c r="AD86" s="253"/>
      <c r="AE86" s="255">
        <f>50-50</f>
        <v>0</v>
      </c>
      <c r="AF86" s="253"/>
      <c r="AG86" s="255">
        <f>50-50</f>
        <v>0</v>
      </c>
      <c r="AH86" s="255">
        <f>50-50</f>
        <v>0</v>
      </c>
      <c r="AI86" s="253"/>
      <c r="AJ86" s="253"/>
      <c r="AK86" s="253"/>
      <c r="AL86" s="253"/>
      <c r="AM86" s="255">
        <f>50-50</f>
        <v>0</v>
      </c>
      <c r="AN86" s="253"/>
      <c r="AO86" s="253"/>
      <c r="AP86" s="255">
        <f>100-100</f>
        <v>0</v>
      </c>
      <c r="AQ86" s="255">
        <f>100-100</f>
        <v>0</v>
      </c>
      <c r="AR86" s="253"/>
      <c r="AS86" s="253"/>
      <c r="AT86" s="253"/>
      <c r="AU86" s="253"/>
      <c r="AV86" s="253"/>
      <c r="AW86" s="253"/>
      <c r="AX86" s="255">
        <f>100-100</f>
        <v>0</v>
      </c>
      <c r="AY86" s="253"/>
      <c r="AZ86" s="253"/>
      <c r="BA86" s="253"/>
      <c r="BB86" s="253"/>
      <c r="BC86" s="253"/>
      <c r="BD86" s="253"/>
      <c r="BE86" s="253"/>
      <c r="BF86" s="253"/>
      <c r="BG86" s="253"/>
      <c r="BH86" s="253"/>
      <c r="BI86" s="253"/>
      <c r="BJ86" s="253"/>
      <c r="BK86" s="253"/>
      <c r="BL86" s="253"/>
      <c r="BM86" s="253"/>
      <c r="BN86" s="253"/>
      <c r="BO86" s="253"/>
      <c r="BP86" s="253"/>
      <c r="BQ86" s="253"/>
      <c r="BR86" s="253"/>
      <c r="BS86" s="253"/>
      <c r="BT86" s="253"/>
      <c r="BU86" s="253"/>
      <c r="BV86" s="253"/>
      <c r="BW86" s="253"/>
      <c r="BX86" s="253"/>
      <c r="BY86" s="253"/>
      <c r="BZ86" s="253"/>
      <c r="CA86" s="253"/>
      <c r="CB86" s="253"/>
      <c r="CC86" s="253"/>
      <c r="CD86" s="253"/>
      <c r="CE86" s="253"/>
      <c r="CF86" s="253"/>
      <c r="CG86" s="253"/>
      <c r="CH86" s="253"/>
      <c r="CI86" s="253"/>
      <c r="CJ86" s="253"/>
      <c r="CK86" s="253"/>
      <c r="CL86" s="253"/>
      <c r="CM86" s="253"/>
      <c r="CN86" s="253"/>
      <c r="CO86" s="253"/>
      <c r="CP86" s="253"/>
      <c r="CQ86" s="253"/>
      <c r="CR86" s="253"/>
      <c r="CS86" s="253"/>
      <c r="CT86" s="253"/>
      <c r="CU86" s="253"/>
      <c r="CV86" s="253"/>
      <c r="CW86" s="253"/>
      <c r="CX86" s="253"/>
      <c r="CY86" s="253"/>
      <c r="CZ86" s="253"/>
      <c r="DA86" s="253"/>
      <c r="DB86" s="253"/>
      <c r="DC86" s="253"/>
      <c r="DD86" s="253"/>
      <c r="DE86" s="253"/>
      <c r="DF86" s="253"/>
      <c r="DG86" s="253"/>
      <c r="DH86" s="253"/>
      <c r="DI86" s="253"/>
      <c r="DJ86" s="253"/>
      <c r="DK86" s="253"/>
      <c r="DL86" s="253"/>
      <c r="DM86" s="253"/>
      <c r="DN86" s="253"/>
      <c r="DO86" s="253"/>
      <c r="DP86" s="253"/>
      <c r="DQ86" s="253"/>
      <c r="DR86" s="253"/>
      <c r="DS86" s="253"/>
      <c r="DT86" s="253"/>
      <c r="DU86" s="253"/>
      <c r="DV86" s="253"/>
      <c r="DW86" s="253"/>
      <c r="DX86" s="253"/>
      <c r="DY86" s="253"/>
      <c r="DZ86" s="253"/>
      <c r="EA86" s="253"/>
      <c r="EB86" s="253"/>
      <c r="EC86" s="253"/>
      <c r="ED86" s="253"/>
      <c r="EE86" s="253"/>
      <c r="EF86" s="253"/>
      <c r="EG86" s="253"/>
      <c r="EH86" s="253"/>
      <c r="EI86" s="253"/>
      <c r="EJ86" s="253"/>
      <c r="EK86" s="253"/>
      <c r="EL86" s="253"/>
      <c r="EM86" s="253"/>
      <c r="EN86" s="253"/>
      <c r="EO86" s="253"/>
      <c r="EP86" s="253"/>
      <c r="EQ86" s="253"/>
      <c r="ER86" s="253"/>
      <c r="ES86" s="253"/>
      <c r="ET86" s="253"/>
      <c r="EU86" s="253"/>
      <c r="EV86" s="253"/>
      <c r="EW86" s="253"/>
      <c r="EX86" s="253"/>
      <c r="EY86" s="253"/>
      <c r="EZ86" s="253"/>
      <c r="FA86" s="253"/>
      <c r="FB86" s="253"/>
      <c r="FC86" s="253"/>
      <c r="FD86" s="253"/>
      <c r="FE86" s="253"/>
      <c r="FF86" s="253"/>
      <c r="FG86" s="256"/>
      <c r="FH86" s="257" t="s">
        <v>993</v>
      </c>
      <c r="FI86" s="258" t="s">
        <v>389</v>
      </c>
      <c r="FJ86" s="258"/>
      <c r="FK86" s="258" t="s">
        <v>429</v>
      </c>
      <c r="FL86" s="259">
        <f t="shared" si="3"/>
        <v>0</v>
      </c>
      <c r="FM86" s="260" t="s">
        <v>414</v>
      </c>
    </row>
    <row r="87" spans="1:169">
      <c r="A87" s="251" t="s">
        <v>393</v>
      </c>
      <c r="B87" s="251" t="s">
        <v>385</v>
      </c>
      <c r="C87" s="251" t="s">
        <v>411</v>
      </c>
      <c r="D87" s="251" t="s">
        <v>1</v>
      </c>
      <c r="E87" s="252" t="s">
        <v>849</v>
      </c>
      <c r="F87" s="251" t="s">
        <v>388</v>
      </c>
      <c r="G87" s="251"/>
      <c r="H87" s="253"/>
      <c r="I87" s="253"/>
      <c r="J87" s="253"/>
      <c r="K87" s="253"/>
      <c r="L87" s="253"/>
      <c r="M87" s="253"/>
      <c r="N87" s="253"/>
      <c r="O87" s="255">
        <f>40-40</f>
        <v>0</v>
      </c>
      <c r="P87" s="255">
        <f>40-40</f>
        <v>0</v>
      </c>
      <c r="Q87" s="253"/>
      <c r="R87" s="253"/>
      <c r="S87" s="255">
        <f>50-50</f>
        <v>0</v>
      </c>
      <c r="T87" s="253"/>
      <c r="U87" s="255">
        <f>50-50</f>
        <v>0</v>
      </c>
      <c r="V87" s="255">
        <f>50-50</f>
        <v>0</v>
      </c>
      <c r="W87" s="253"/>
      <c r="X87" s="255">
        <f>50-50</f>
        <v>0</v>
      </c>
      <c r="Y87" s="253"/>
      <c r="Z87" s="255">
        <f>50-50</f>
        <v>0</v>
      </c>
      <c r="AA87" s="255">
        <f>50-50</f>
        <v>0</v>
      </c>
      <c r="AB87" s="255">
        <f>50-50</f>
        <v>0</v>
      </c>
      <c r="AC87" s="255">
        <f>50-50</f>
        <v>0</v>
      </c>
      <c r="AD87" s="255">
        <f>50-50</f>
        <v>0</v>
      </c>
      <c r="AE87" s="253"/>
      <c r="AF87" s="255">
        <f>50-50</f>
        <v>0</v>
      </c>
      <c r="AG87" s="253"/>
      <c r="AH87" s="253"/>
      <c r="AI87" s="255">
        <f>50-50</f>
        <v>0</v>
      </c>
      <c r="AJ87" s="255">
        <f>50-50</f>
        <v>0</v>
      </c>
      <c r="AK87" s="255">
        <f>50-50</f>
        <v>0</v>
      </c>
      <c r="AL87" s="253"/>
      <c r="AM87" s="253"/>
      <c r="AN87" s="253"/>
      <c r="AO87" s="253"/>
      <c r="AP87" s="253"/>
      <c r="AQ87" s="253"/>
      <c r="AR87" s="253"/>
      <c r="AS87" s="253"/>
      <c r="AT87" s="255">
        <f>100-100</f>
        <v>0</v>
      </c>
      <c r="AU87" s="253"/>
      <c r="AV87" s="253"/>
      <c r="AW87" s="253"/>
      <c r="AX87" s="253"/>
      <c r="AY87" s="253"/>
      <c r="AZ87" s="255">
        <f>50-50</f>
        <v>0</v>
      </c>
      <c r="BA87" s="253"/>
      <c r="BB87" s="253"/>
      <c r="BC87" s="253"/>
      <c r="BD87" s="255">
        <f>80-80</f>
        <v>0</v>
      </c>
      <c r="BE87" s="255">
        <f>80-80</f>
        <v>0</v>
      </c>
      <c r="BF87" s="255">
        <f>80-80</f>
        <v>0</v>
      </c>
      <c r="BG87" s="253"/>
      <c r="BH87" s="253"/>
      <c r="BI87" s="253"/>
      <c r="BJ87" s="253"/>
      <c r="BK87" s="253"/>
      <c r="BL87" s="253"/>
      <c r="BM87" s="253"/>
      <c r="BN87" s="253"/>
      <c r="BO87" s="253"/>
      <c r="BP87" s="253"/>
      <c r="BQ87" s="253"/>
      <c r="BR87" s="253"/>
      <c r="BS87" s="253"/>
      <c r="BT87" s="253"/>
      <c r="BU87" s="253"/>
      <c r="BV87" s="253"/>
      <c r="BW87" s="253"/>
      <c r="BX87" s="253"/>
      <c r="BY87" s="253"/>
      <c r="BZ87" s="253"/>
      <c r="CA87" s="253"/>
      <c r="CB87" s="253"/>
      <c r="CC87" s="253"/>
      <c r="CD87" s="253"/>
      <c r="CE87" s="253"/>
      <c r="CF87" s="253"/>
      <c r="CG87" s="253"/>
      <c r="CH87" s="253"/>
      <c r="CI87" s="253"/>
      <c r="CJ87" s="253"/>
      <c r="CK87" s="253"/>
      <c r="CL87" s="253"/>
      <c r="CM87" s="253"/>
      <c r="CN87" s="253"/>
      <c r="CO87" s="253"/>
      <c r="CP87" s="253"/>
      <c r="CQ87" s="253"/>
      <c r="CR87" s="253"/>
      <c r="CS87" s="253"/>
      <c r="CT87" s="253"/>
      <c r="CU87" s="253"/>
      <c r="CV87" s="253"/>
      <c r="CW87" s="253"/>
      <c r="CX87" s="253"/>
      <c r="CY87" s="253"/>
      <c r="CZ87" s="253"/>
      <c r="DA87" s="253"/>
      <c r="DB87" s="253"/>
      <c r="DC87" s="253"/>
      <c r="DD87" s="253"/>
      <c r="DE87" s="253"/>
      <c r="DF87" s="253"/>
      <c r="DG87" s="253"/>
      <c r="DH87" s="253"/>
      <c r="DI87" s="253"/>
      <c r="DJ87" s="253"/>
      <c r="DK87" s="253"/>
      <c r="DL87" s="253"/>
      <c r="DM87" s="253"/>
      <c r="DN87" s="253"/>
      <c r="DO87" s="253"/>
      <c r="DP87" s="253"/>
      <c r="DQ87" s="253"/>
      <c r="DR87" s="253"/>
      <c r="DS87" s="253"/>
      <c r="DT87" s="253"/>
      <c r="DU87" s="253"/>
      <c r="DV87" s="253"/>
      <c r="DW87" s="255">
        <f>50-50</f>
        <v>0</v>
      </c>
      <c r="DX87" s="255">
        <f>50-50</f>
        <v>0</v>
      </c>
      <c r="DY87" s="253"/>
      <c r="DZ87" s="253"/>
      <c r="EA87" s="255">
        <f>50-50</f>
        <v>0</v>
      </c>
      <c r="EB87" s="255">
        <f>50-50</f>
        <v>0</v>
      </c>
      <c r="EC87" s="253"/>
      <c r="ED87" s="253"/>
      <c r="EE87" s="255">
        <f t="shared" ref="EE87:EJ87" si="5">50-50</f>
        <v>0</v>
      </c>
      <c r="EF87" s="255">
        <f t="shared" si="5"/>
        <v>0</v>
      </c>
      <c r="EG87" s="255">
        <f t="shared" si="5"/>
        <v>0</v>
      </c>
      <c r="EH87" s="255">
        <f t="shared" si="5"/>
        <v>0</v>
      </c>
      <c r="EI87" s="255">
        <f t="shared" si="5"/>
        <v>0</v>
      </c>
      <c r="EJ87" s="255">
        <f t="shared" si="5"/>
        <v>0</v>
      </c>
      <c r="EK87" s="253"/>
      <c r="EL87" s="253"/>
      <c r="EM87" s="253"/>
      <c r="EN87" s="253"/>
      <c r="EO87" s="253"/>
      <c r="EP87" s="253"/>
      <c r="EQ87" s="253"/>
      <c r="ER87" s="253"/>
      <c r="ES87" s="253"/>
      <c r="ET87" s="253"/>
      <c r="EU87" s="253"/>
      <c r="EV87" s="253"/>
      <c r="EW87" s="253"/>
      <c r="EX87" s="253"/>
      <c r="EY87" s="253"/>
      <c r="EZ87" s="253"/>
      <c r="FA87" s="253"/>
      <c r="FB87" s="253"/>
      <c r="FC87" s="255">
        <f>50-50</f>
        <v>0</v>
      </c>
      <c r="FD87" s="255">
        <f>50-50</f>
        <v>0</v>
      </c>
      <c r="FE87" s="253"/>
      <c r="FF87" s="253"/>
      <c r="FG87" s="256"/>
      <c r="FH87" s="257" t="s">
        <v>993</v>
      </c>
      <c r="FI87" s="258" t="s">
        <v>389</v>
      </c>
      <c r="FJ87" s="258"/>
      <c r="FK87" s="258" t="s">
        <v>429</v>
      </c>
      <c r="FL87" s="259">
        <f t="shared" si="3"/>
        <v>0</v>
      </c>
      <c r="FM87" s="260" t="s">
        <v>414</v>
      </c>
    </row>
    <row r="88" spans="1:169">
      <c r="A88" s="251" t="s">
        <v>393</v>
      </c>
      <c r="B88" s="251" t="s">
        <v>385</v>
      </c>
      <c r="C88" s="251" t="s">
        <v>411</v>
      </c>
      <c r="D88" s="251" t="s">
        <v>293</v>
      </c>
      <c r="E88" s="252" t="s">
        <v>849</v>
      </c>
      <c r="F88" s="251" t="s">
        <v>388</v>
      </c>
      <c r="G88" s="251"/>
      <c r="H88" s="253"/>
      <c r="I88" s="253"/>
      <c r="J88" s="255">
        <f>20-20</f>
        <v>0</v>
      </c>
      <c r="K88" s="253"/>
      <c r="L88" s="253"/>
      <c r="M88" s="253"/>
      <c r="N88" s="253"/>
      <c r="O88" s="253"/>
      <c r="P88" s="253"/>
      <c r="Q88" s="253"/>
      <c r="R88" s="253"/>
      <c r="S88" s="253"/>
      <c r="T88" s="253"/>
      <c r="U88" s="253"/>
      <c r="V88" s="253"/>
      <c r="W88" s="253"/>
      <c r="X88" s="253"/>
      <c r="Y88" s="253"/>
      <c r="Z88" s="253"/>
      <c r="AA88" s="253"/>
      <c r="AB88" s="253"/>
      <c r="AC88" s="253"/>
      <c r="AD88" s="253"/>
      <c r="AE88" s="253"/>
      <c r="AF88" s="253"/>
      <c r="AG88" s="253"/>
      <c r="AH88" s="253"/>
      <c r="AI88" s="253"/>
      <c r="AJ88" s="253"/>
      <c r="AK88" s="253"/>
      <c r="AL88" s="253"/>
      <c r="AM88" s="253"/>
      <c r="AN88" s="253"/>
      <c r="AO88" s="253"/>
      <c r="AP88" s="253"/>
      <c r="AQ88" s="253"/>
      <c r="AR88" s="253"/>
      <c r="AS88" s="253"/>
      <c r="AT88" s="253"/>
      <c r="AU88" s="253"/>
      <c r="AV88" s="253"/>
      <c r="AW88" s="253"/>
      <c r="AX88" s="253"/>
      <c r="AY88" s="253"/>
      <c r="AZ88" s="253"/>
      <c r="BA88" s="253"/>
      <c r="BB88" s="253"/>
      <c r="BC88" s="253"/>
      <c r="BD88" s="253"/>
      <c r="BE88" s="253"/>
      <c r="BF88" s="253"/>
      <c r="BG88" s="253"/>
      <c r="BH88" s="253"/>
      <c r="BI88" s="253"/>
      <c r="BJ88" s="253"/>
      <c r="BK88" s="253"/>
      <c r="BL88" s="253"/>
      <c r="BM88" s="253"/>
      <c r="BN88" s="253"/>
      <c r="BO88" s="253"/>
      <c r="BP88" s="253"/>
      <c r="BQ88" s="253"/>
      <c r="BR88" s="253"/>
      <c r="BS88" s="253"/>
      <c r="BT88" s="253"/>
      <c r="BU88" s="253"/>
      <c r="BV88" s="253"/>
      <c r="BW88" s="253"/>
      <c r="BX88" s="253"/>
      <c r="BY88" s="253"/>
      <c r="BZ88" s="253"/>
      <c r="CA88" s="253"/>
      <c r="CB88" s="253"/>
      <c r="CC88" s="253"/>
      <c r="CD88" s="253"/>
      <c r="CE88" s="253"/>
      <c r="CF88" s="253"/>
      <c r="CG88" s="253"/>
      <c r="CH88" s="253"/>
      <c r="CI88" s="253"/>
      <c r="CJ88" s="253"/>
      <c r="CK88" s="253"/>
      <c r="CL88" s="253"/>
      <c r="CM88" s="253"/>
      <c r="CN88" s="253"/>
      <c r="CO88" s="253"/>
      <c r="CP88" s="253"/>
      <c r="CQ88" s="253"/>
      <c r="CR88" s="253"/>
      <c r="CS88" s="253"/>
      <c r="CT88" s="253"/>
      <c r="CU88" s="253"/>
      <c r="CV88" s="253"/>
      <c r="CW88" s="253"/>
      <c r="CX88" s="253"/>
      <c r="CY88" s="253"/>
      <c r="CZ88" s="253"/>
      <c r="DA88" s="253"/>
      <c r="DB88" s="253"/>
      <c r="DC88" s="253"/>
      <c r="DD88" s="253"/>
      <c r="DE88" s="253"/>
      <c r="DF88" s="253"/>
      <c r="DG88" s="253"/>
      <c r="DH88" s="253"/>
      <c r="DI88" s="253"/>
      <c r="DJ88" s="253"/>
      <c r="DK88" s="253"/>
      <c r="DL88" s="253"/>
      <c r="DM88" s="253"/>
      <c r="DN88" s="253"/>
      <c r="DO88" s="253"/>
      <c r="DP88" s="253"/>
      <c r="DQ88" s="253"/>
      <c r="DR88" s="253"/>
      <c r="DS88" s="253"/>
      <c r="DT88" s="253"/>
      <c r="DU88" s="253"/>
      <c r="DV88" s="253"/>
      <c r="DW88" s="253"/>
      <c r="DX88" s="253"/>
      <c r="DY88" s="253"/>
      <c r="DZ88" s="253"/>
      <c r="EA88" s="253"/>
      <c r="EB88" s="253"/>
      <c r="EC88" s="253"/>
      <c r="ED88" s="253"/>
      <c r="EE88" s="253"/>
      <c r="EF88" s="253"/>
      <c r="EG88" s="253"/>
      <c r="EH88" s="253"/>
      <c r="EI88" s="253"/>
      <c r="EJ88" s="253"/>
      <c r="EK88" s="253"/>
      <c r="EL88" s="253"/>
      <c r="EM88" s="253"/>
      <c r="EN88" s="253"/>
      <c r="EO88" s="253"/>
      <c r="EP88" s="253"/>
      <c r="EQ88" s="253"/>
      <c r="ER88" s="253"/>
      <c r="ES88" s="253"/>
      <c r="ET88" s="253"/>
      <c r="EU88" s="253"/>
      <c r="EV88" s="253"/>
      <c r="EW88" s="253"/>
      <c r="EX88" s="253"/>
      <c r="EY88" s="253"/>
      <c r="EZ88" s="253"/>
      <c r="FA88" s="253"/>
      <c r="FB88" s="253"/>
      <c r="FC88" s="253"/>
      <c r="FD88" s="253"/>
      <c r="FE88" s="253"/>
      <c r="FF88" s="253"/>
      <c r="FG88" s="256"/>
      <c r="FH88" s="257" t="s">
        <v>993</v>
      </c>
      <c r="FI88" s="258" t="s">
        <v>389</v>
      </c>
      <c r="FJ88" s="258"/>
      <c r="FK88" s="258" t="s">
        <v>429</v>
      </c>
      <c r="FL88" s="259">
        <f t="shared" si="3"/>
        <v>0</v>
      </c>
      <c r="FM88" s="260" t="s">
        <v>414</v>
      </c>
    </row>
    <row r="89" spans="1:169">
      <c r="A89" s="251" t="s">
        <v>393</v>
      </c>
      <c r="B89" s="251" t="s">
        <v>385</v>
      </c>
      <c r="C89" s="251" t="s">
        <v>411</v>
      </c>
      <c r="D89" s="251" t="s">
        <v>1</v>
      </c>
      <c r="E89" s="252" t="s">
        <v>978</v>
      </c>
      <c r="F89" s="251" t="s">
        <v>388</v>
      </c>
      <c r="G89" s="251"/>
      <c r="H89" s="253"/>
      <c r="I89" s="253"/>
      <c r="J89" s="253"/>
      <c r="K89" s="253"/>
      <c r="L89" s="253"/>
      <c r="M89" s="253"/>
      <c r="N89" s="253"/>
      <c r="O89" s="253"/>
      <c r="P89" s="253"/>
      <c r="Q89" s="253"/>
      <c r="R89" s="253"/>
      <c r="S89" s="253"/>
      <c r="T89" s="253"/>
      <c r="U89" s="253"/>
      <c r="V89" s="253"/>
      <c r="W89" s="253"/>
      <c r="X89" s="253"/>
      <c r="Y89" s="253"/>
      <c r="Z89" s="253"/>
      <c r="AA89" s="253"/>
      <c r="AB89" s="253"/>
      <c r="AC89" s="253"/>
      <c r="AD89" s="253"/>
      <c r="AE89" s="253"/>
      <c r="AF89" s="253"/>
      <c r="AG89" s="253"/>
      <c r="AH89" s="253"/>
      <c r="AI89" s="253"/>
      <c r="AJ89" s="253"/>
      <c r="AK89" s="253"/>
      <c r="AL89" s="253"/>
      <c r="AM89" s="253"/>
      <c r="AN89" s="253"/>
      <c r="AO89" s="253"/>
      <c r="AP89" s="253"/>
      <c r="AQ89" s="253"/>
      <c r="AR89" s="253"/>
      <c r="AS89" s="253"/>
      <c r="AT89" s="255">
        <f>20-20</f>
        <v>0</v>
      </c>
      <c r="AU89" s="253"/>
      <c r="AV89" s="253"/>
      <c r="AW89" s="253"/>
      <c r="AX89" s="253"/>
      <c r="AY89" s="253"/>
      <c r="AZ89" s="253"/>
      <c r="BA89" s="253"/>
      <c r="BB89" s="253"/>
      <c r="BC89" s="253"/>
      <c r="BD89" s="253"/>
      <c r="BE89" s="253"/>
      <c r="BF89" s="253"/>
      <c r="BG89" s="253"/>
      <c r="BH89" s="253"/>
      <c r="BI89" s="253"/>
      <c r="BJ89" s="253"/>
      <c r="BK89" s="253"/>
      <c r="BL89" s="253"/>
      <c r="BM89" s="253"/>
      <c r="BN89" s="253"/>
      <c r="BO89" s="253"/>
      <c r="BP89" s="253"/>
      <c r="BQ89" s="253"/>
      <c r="BR89" s="253"/>
      <c r="BS89" s="253"/>
      <c r="BT89" s="253"/>
      <c r="BU89" s="253"/>
      <c r="BV89" s="253"/>
      <c r="BW89" s="253"/>
      <c r="BX89" s="253"/>
      <c r="BY89" s="253"/>
      <c r="BZ89" s="253"/>
      <c r="CA89" s="253"/>
      <c r="CB89" s="253"/>
      <c r="CC89" s="253"/>
      <c r="CD89" s="253"/>
      <c r="CE89" s="253"/>
      <c r="CF89" s="253"/>
      <c r="CG89" s="253"/>
      <c r="CH89" s="253"/>
      <c r="CI89" s="253"/>
      <c r="CJ89" s="253"/>
      <c r="CK89" s="253"/>
      <c r="CL89" s="253"/>
      <c r="CM89" s="253"/>
      <c r="CN89" s="253"/>
      <c r="CO89" s="253"/>
      <c r="CP89" s="253"/>
      <c r="CQ89" s="253"/>
      <c r="CR89" s="253"/>
      <c r="CS89" s="253"/>
      <c r="CT89" s="253"/>
      <c r="CU89" s="253"/>
      <c r="CV89" s="253"/>
      <c r="CW89" s="253"/>
      <c r="CX89" s="253"/>
      <c r="CY89" s="253"/>
      <c r="CZ89" s="253"/>
      <c r="DA89" s="253"/>
      <c r="DB89" s="253"/>
      <c r="DC89" s="253"/>
      <c r="DD89" s="253"/>
      <c r="DE89" s="253"/>
      <c r="DF89" s="253"/>
      <c r="DG89" s="253"/>
      <c r="DH89" s="253"/>
      <c r="DI89" s="253"/>
      <c r="DJ89" s="253"/>
      <c r="DK89" s="253"/>
      <c r="DL89" s="253"/>
      <c r="DM89" s="253"/>
      <c r="DN89" s="253"/>
      <c r="DO89" s="253"/>
      <c r="DP89" s="253"/>
      <c r="DQ89" s="253"/>
      <c r="DR89" s="253"/>
      <c r="DS89" s="253"/>
      <c r="DT89" s="253"/>
      <c r="DU89" s="253"/>
      <c r="DV89" s="253"/>
      <c r="DW89" s="253"/>
      <c r="DX89" s="253"/>
      <c r="DY89" s="253"/>
      <c r="DZ89" s="253"/>
      <c r="EA89" s="253"/>
      <c r="EB89" s="253"/>
      <c r="EC89" s="253"/>
      <c r="ED89" s="253"/>
      <c r="EE89" s="253"/>
      <c r="EF89" s="253"/>
      <c r="EG89" s="253"/>
      <c r="EH89" s="253"/>
      <c r="EI89" s="253"/>
      <c r="EJ89" s="253"/>
      <c r="EK89" s="253"/>
      <c r="EL89" s="253"/>
      <c r="EM89" s="253"/>
      <c r="EN89" s="253"/>
      <c r="EO89" s="253"/>
      <c r="EP89" s="253"/>
      <c r="EQ89" s="253"/>
      <c r="ER89" s="253"/>
      <c r="ES89" s="253"/>
      <c r="ET89" s="253"/>
      <c r="EU89" s="253"/>
      <c r="EV89" s="253"/>
      <c r="EW89" s="253"/>
      <c r="EX89" s="253"/>
      <c r="EY89" s="253"/>
      <c r="EZ89" s="253"/>
      <c r="FA89" s="253"/>
      <c r="FB89" s="253"/>
      <c r="FC89" s="253"/>
      <c r="FD89" s="253"/>
      <c r="FE89" s="253"/>
      <c r="FF89" s="253"/>
      <c r="FG89" s="256"/>
      <c r="FH89" s="257" t="s">
        <v>993</v>
      </c>
      <c r="FI89" s="258" t="s">
        <v>389</v>
      </c>
      <c r="FJ89" s="258" t="s">
        <v>979</v>
      </c>
      <c r="FK89" s="258" t="s">
        <v>980</v>
      </c>
      <c r="FL89" s="259">
        <f t="shared" si="3"/>
        <v>0</v>
      </c>
      <c r="FM89" s="260" t="s">
        <v>433</v>
      </c>
    </row>
    <row r="90" spans="1:169">
      <c r="A90" s="251" t="s">
        <v>393</v>
      </c>
      <c r="B90" s="251" t="s">
        <v>385</v>
      </c>
      <c r="C90" s="251" t="s">
        <v>411</v>
      </c>
      <c r="D90" s="251" t="s">
        <v>291</v>
      </c>
      <c r="E90" s="252" t="s">
        <v>443</v>
      </c>
      <c r="F90" s="251" t="s">
        <v>388</v>
      </c>
      <c r="G90" s="251"/>
      <c r="H90" s="253"/>
      <c r="I90" s="253"/>
      <c r="J90" s="253"/>
      <c r="K90" s="253"/>
      <c r="L90" s="253"/>
      <c r="M90" s="253"/>
      <c r="N90" s="253"/>
      <c r="O90" s="253"/>
      <c r="P90" s="253"/>
      <c r="Q90" s="253"/>
      <c r="R90" s="253"/>
      <c r="S90" s="253"/>
      <c r="T90" s="253"/>
      <c r="U90" s="253"/>
      <c r="V90" s="253"/>
      <c r="W90" s="253"/>
      <c r="X90" s="253"/>
      <c r="Y90" s="253"/>
      <c r="Z90" s="253"/>
      <c r="AA90" s="253"/>
      <c r="AB90" s="253"/>
      <c r="AC90" s="253"/>
      <c r="AD90" s="253"/>
      <c r="AE90" s="253"/>
      <c r="AF90" s="253"/>
      <c r="AG90" s="253"/>
      <c r="AH90" s="253"/>
      <c r="AI90" s="253"/>
      <c r="AJ90" s="253"/>
      <c r="AK90" s="253"/>
      <c r="AL90" s="253"/>
      <c r="AM90" s="253"/>
      <c r="AN90" s="253"/>
      <c r="AO90" s="253"/>
      <c r="AP90" s="253"/>
      <c r="AQ90" s="255">
        <f>500-500</f>
        <v>0</v>
      </c>
      <c r="AR90" s="253"/>
      <c r="AS90" s="253"/>
      <c r="AT90" s="253"/>
      <c r="AU90" s="253"/>
      <c r="AV90" s="253"/>
      <c r="AW90" s="253"/>
      <c r="AX90" s="253"/>
      <c r="AY90" s="253"/>
      <c r="AZ90" s="253"/>
      <c r="BA90" s="253"/>
      <c r="BB90" s="253"/>
      <c r="BC90" s="253"/>
      <c r="BD90" s="253"/>
      <c r="BE90" s="253"/>
      <c r="BF90" s="253"/>
      <c r="BG90" s="253"/>
      <c r="BH90" s="253"/>
      <c r="BI90" s="253"/>
      <c r="BJ90" s="253"/>
      <c r="BK90" s="253"/>
      <c r="BL90" s="253"/>
      <c r="BM90" s="253"/>
      <c r="BN90" s="253"/>
      <c r="BO90" s="253"/>
      <c r="BP90" s="253"/>
      <c r="BQ90" s="253"/>
      <c r="BR90" s="253"/>
      <c r="BS90" s="253"/>
      <c r="BT90" s="253"/>
      <c r="BU90" s="253"/>
      <c r="BV90" s="253"/>
      <c r="BW90" s="253"/>
      <c r="BX90" s="253"/>
      <c r="BY90" s="253"/>
      <c r="BZ90" s="253"/>
      <c r="CA90" s="253"/>
      <c r="CB90" s="253"/>
      <c r="CC90" s="253"/>
      <c r="CD90" s="253"/>
      <c r="CE90" s="253"/>
      <c r="CF90" s="253"/>
      <c r="CG90" s="253"/>
      <c r="CH90" s="253"/>
      <c r="CI90" s="253"/>
      <c r="CJ90" s="253"/>
      <c r="CK90" s="253"/>
      <c r="CL90" s="253"/>
      <c r="CM90" s="253"/>
      <c r="CN90" s="253"/>
      <c r="CO90" s="253"/>
      <c r="CP90" s="253"/>
      <c r="CQ90" s="253"/>
      <c r="CR90" s="253"/>
      <c r="CS90" s="253"/>
      <c r="CT90" s="253"/>
      <c r="CU90" s="253"/>
      <c r="CV90" s="253"/>
      <c r="CW90" s="253"/>
      <c r="CX90" s="253"/>
      <c r="CY90" s="253"/>
      <c r="CZ90" s="253"/>
      <c r="DA90" s="253"/>
      <c r="DB90" s="253"/>
      <c r="DC90" s="253"/>
      <c r="DD90" s="253"/>
      <c r="DE90" s="253"/>
      <c r="DF90" s="253"/>
      <c r="DG90" s="253"/>
      <c r="DH90" s="253"/>
      <c r="DI90" s="253"/>
      <c r="DJ90" s="253"/>
      <c r="DK90" s="253"/>
      <c r="DL90" s="253"/>
      <c r="DM90" s="253"/>
      <c r="DN90" s="253"/>
      <c r="DO90" s="253"/>
      <c r="DP90" s="253"/>
      <c r="DQ90" s="253"/>
      <c r="DR90" s="253"/>
      <c r="DS90" s="253"/>
      <c r="DT90" s="253"/>
      <c r="DU90" s="253"/>
      <c r="DV90" s="253"/>
      <c r="DW90" s="253"/>
      <c r="DX90" s="253"/>
      <c r="DY90" s="253"/>
      <c r="DZ90" s="253"/>
      <c r="EA90" s="253"/>
      <c r="EB90" s="253"/>
      <c r="EC90" s="253"/>
      <c r="ED90" s="253"/>
      <c r="EE90" s="253"/>
      <c r="EF90" s="253"/>
      <c r="EG90" s="253"/>
      <c r="EH90" s="253"/>
      <c r="EI90" s="253"/>
      <c r="EJ90" s="253"/>
      <c r="EK90" s="253"/>
      <c r="EL90" s="253"/>
      <c r="EM90" s="253"/>
      <c r="EN90" s="253"/>
      <c r="EO90" s="253"/>
      <c r="EP90" s="253"/>
      <c r="EQ90" s="253"/>
      <c r="ER90" s="253"/>
      <c r="ES90" s="253"/>
      <c r="ET90" s="253"/>
      <c r="EU90" s="253"/>
      <c r="EV90" s="253"/>
      <c r="EW90" s="253"/>
      <c r="EX90" s="253"/>
      <c r="EY90" s="253"/>
      <c r="EZ90" s="253"/>
      <c r="FA90" s="253"/>
      <c r="FB90" s="253"/>
      <c r="FC90" s="253"/>
      <c r="FD90" s="253"/>
      <c r="FE90" s="253"/>
      <c r="FF90" s="253"/>
      <c r="FG90" s="256"/>
      <c r="FH90" s="257" t="s">
        <v>993</v>
      </c>
      <c r="FI90" s="258" t="s">
        <v>389</v>
      </c>
      <c r="FJ90" s="258" t="s">
        <v>444</v>
      </c>
      <c r="FK90" s="258" t="s">
        <v>445</v>
      </c>
      <c r="FL90" s="259">
        <f t="shared" si="3"/>
        <v>0</v>
      </c>
      <c r="FM90" s="260" t="s">
        <v>433</v>
      </c>
    </row>
    <row r="91" spans="1:169">
      <c r="A91" s="251" t="s">
        <v>393</v>
      </c>
      <c r="B91" s="251" t="s">
        <v>385</v>
      </c>
      <c r="C91" s="251" t="s">
        <v>411</v>
      </c>
      <c r="D91" s="251" t="s">
        <v>772</v>
      </c>
      <c r="E91" s="252" t="s">
        <v>443</v>
      </c>
      <c r="F91" s="251" t="s">
        <v>388</v>
      </c>
      <c r="G91" s="251"/>
      <c r="H91" s="253"/>
      <c r="I91" s="253"/>
      <c r="J91" s="253"/>
      <c r="K91" s="253"/>
      <c r="L91" s="253"/>
      <c r="M91" s="253"/>
      <c r="N91" s="253"/>
      <c r="O91" s="253"/>
      <c r="P91" s="253"/>
      <c r="Q91" s="253"/>
      <c r="R91" s="253"/>
      <c r="S91" s="253"/>
      <c r="T91" s="253"/>
      <c r="U91" s="253"/>
      <c r="V91" s="253"/>
      <c r="W91" s="253"/>
      <c r="X91" s="253"/>
      <c r="Y91" s="253"/>
      <c r="Z91" s="253"/>
      <c r="AA91" s="253"/>
      <c r="AB91" s="253"/>
      <c r="AC91" s="253"/>
      <c r="AD91" s="253"/>
      <c r="AE91" s="253"/>
      <c r="AF91" s="253"/>
      <c r="AG91" s="253"/>
      <c r="AH91" s="253"/>
      <c r="AI91" s="253"/>
      <c r="AJ91" s="253"/>
      <c r="AK91" s="253"/>
      <c r="AL91" s="253"/>
      <c r="AM91" s="253"/>
      <c r="AN91" s="253"/>
      <c r="AO91" s="253"/>
      <c r="AP91" s="253"/>
      <c r="AQ91" s="253"/>
      <c r="AR91" s="253"/>
      <c r="AS91" s="253"/>
      <c r="AT91" s="253"/>
      <c r="AU91" s="253"/>
      <c r="AV91" s="253"/>
      <c r="AW91" s="253"/>
      <c r="AX91" s="253"/>
      <c r="AY91" s="253"/>
      <c r="AZ91" s="253"/>
      <c r="BA91" s="253"/>
      <c r="BB91" s="253"/>
      <c r="BC91" s="253"/>
      <c r="BD91" s="255">
        <f>200-200</f>
        <v>0</v>
      </c>
      <c r="BE91" s="253"/>
      <c r="BF91" s="253"/>
      <c r="BG91" s="253"/>
      <c r="BH91" s="253"/>
      <c r="BI91" s="253"/>
      <c r="BJ91" s="253"/>
      <c r="BK91" s="253"/>
      <c r="BL91" s="253"/>
      <c r="BM91" s="253"/>
      <c r="BN91" s="253"/>
      <c r="BO91" s="253"/>
      <c r="BP91" s="253"/>
      <c r="BQ91" s="253"/>
      <c r="BR91" s="253"/>
      <c r="BS91" s="253"/>
      <c r="BT91" s="253"/>
      <c r="BU91" s="253"/>
      <c r="BV91" s="253"/>
      <c r="BW91" s="253"/>
      <c r="BX91" s="253"/>
      <c r="BY91" s="253"/>
      <c r="BZ91" s="253"/>
      <c r="CA91" s="253"/>
      <c r="CB91" s="253"/>
      <c r="CC91" s="253"/>
      <c r="CD91" s="253"/>
      <c r="CE91" s="253"/>
      <c r="CF91" s="253"/>
      <c r="CG91" s="253"/>
      <c r="CH91" s="253"/>
      <c r="CI91" s="253"/>
      <c r="CJ91" s="253"/>
      <c r="CK91" s="253"/>
      <c r="CL91" s="253"/>
      <c r="CM91" s="253"/>
      <c r="CN91" s="253"/>
      <c r="CO91" s="253"/>
      <c r="CP91" s="253"/>
      <c r="CQ91" s="253"/>
      <c r="CR91" s="253"/>
      <c r="CS91" s="253"/>
      <c r="CT91" s="253"/>
      <c r="CU91" s="253"/>
      <c r="CV91" s="253"/>
      <c r="CW91" s="253"/>
      <c r="CX91" s="253"/>
      <c r="CY91" s="253"/>
      <c r="CZ91" s="253"/>
      <c r="DA91" s="253"/>
      <c r="DB91" s="253"/>
      <c r="DC91" s="253"/>
      <c r="DD91" s="253"/>
      <c r="DE91" s="253"/>
      <c r="DF91" s="253"/>
      <c r="DG91" s="253"/>
      <c r="DH91" s="253"/>
      <c r="DI91" s="253"/>
      <c r="DJ91" s="253"/>
      <c r="DK91" s="253"/>
      <c r="DL91" s="253"/>
      <c r="DM91" s="253"/>
      <c r="DN91" s="253"/>
      <c r="DO91" s="253"/>
      <c r="DP91" s="253"/>
      <c r="DQ91" s="253"/>
      <c r="DR91" s="253"/>
      <c r="DS91" s="253"/>
      <c r="DT91" s="253"/>
      <c r="DU91" s="253"/>
      <c r="DV91" s="253"/>
      <c r="DW91" s="253"/>
      <c r="DX91" s="253"/>
      <c r="DY91" s="253"/>
      <c r="DZ91" s="253"/>
      <c r="EA91" s="253"/>
      <c r="EB91" s="253"/>
      <c r="EC91" s="253"/>
      <c r="ED91" s="253"/>
      <c r="EE91" s="253"/>
      <c r="EF91" s="253"/>
      <c r="EG91" s="253"/>
      <c r="EH91" s="253"/>
      <c r="EI91" s="253"/>
      <c r="EJ91" s="253"/>
      <c r="EK91" s="253"/>
      <c r="EL91" s="253"/>
      <c r="EM91" s="253"/>
      <c r="EN91" s="253"/>
      <c r="EO91" s="253"/>
      <c r="EP91" s="253"/>
      <c r="EQ91" s="253"/>
      <c r="ER91" s="253"/>
      <c r="ES91" s="253"/>
      <c r="ET91" s="253"/>
      <c r="EU91" s="253"/>
      <c r="EV91" s="253"/>
      <c r="EW91" s="253"/>
      <c r="EX91" s="253"/>
      <c r="EY91" s="253"/>
      <c r="EZ91" s="253"/>
      <c r="FA91" s="253"/>
      <c r="FB91" s="253"/>
      <c r="FC91" s="253"/>
      <c r="FD91" s="253"/>
      <c r="FE91" s="253"/>
      <c r="FF91" s="253"/>
      <c r="FG91" s="256"/>
      <c r="FH91" s="257" t="s">
        <v>993</v>
      </c>
      <c r="FI91" s="258" t="s">
        <v>389</v>
      </c>
      <c r="FJ91" s="258" t="s">
        <v>444</v>
      </c>
      <c r="FK91" s="258" t="s">
        <v>445</v>
      </c>
      <c r="FL91" s="259">
        <f t="shared" si="3"/>
        <v>0</v>
      </c>
      <c r="FM91" s="260" t="s">
        <v>433</v>
      </c>
    </row>
    <row r="92" spans="1:169">
      <c r="A92" s="251" t="s">
        <v>385</v>
      </c>
      <c r="B92" s="251" t="s">
        <v>392</v>
      </c>
      <c r="C92" s="251" t="s">
        <v>411</v>
      </c>
      <c r="D92" s="251" t="s">
        <v>291</v>
      </c>
      <c r="E92" s="252" t="s">
        <v>851</v>
      </c>
      <c r="F92" s="251" t="s">
        <v>388</v>
      </c>
      <c r="G92" s="251"/>
      <c r="H92" s="253"/>
      <c r="I92" s="255">
        <f>200-200</f>
        <v>0</v>
      </c>
      <c r="J92" s="253"/>
      <c r="K92" s="255">
        <f>100-100</f>
        <v>0</v>
      </c>
      <c r="L92" s="253"/>
      <c r="M92" s="253"/>
      <c r="N92" s="255">
        <f>200-200</f>
        <v>0</v>
      </c>
      <c r="O92" s="253"/>
      <c r="P92" s="253"/>
      <c r="Q92" s="253"/>
      <c r="R92" s="253"/>
      <c r="S92" s="253"/>
      <c r="T92" s="253"/>
      <c r="U92" s="253"/>
      <c r="V92" s="253"/>
      <c r="W92" s="253"/>
      <c r="X92" s="253"/>
      <c r="Y92" s="253"/>
      <c r="Z92" s="253"/>
      <c r="AA92" s="253"/>
      <c r="AB92" s="253"/>
      <c r="AC92" s="253"/>
      <c r="AD92" s="253"/>
      <c r="AE92" s="255">
        <f>100-100</f>
        <v>0</v>
      </c>
      <c r="AF92" s="253"/>
      <c r="AG92" s="255">
        <f>250-250</f>
        <v>0</v>
      </c>
      <c r="AH92" s="255">
        <f>200-200</f>
        <v>0</v>
      </c>
      <c r="AI92" s="253"/>
      <c r="AJ92" s="253"/>
      <c r="AK92" s="253"/>
      <c r="AL92" s="253"/>
      <c r="AM92" s="255">
        <f>150-150</f>
        <v>0</v>
      </c>
      <c r="AN92" s="253"/>
      <c r="AO92" s="253"/>
      <c r="AP92" s="253"/>
      <c r="AQ92" s="253"/>
      <c r="AR92" s="253"/>
      <c r="AS92" s="253"/>
      <c r="AT92" s="253"/>
      <c r="AU92" s="253"/>
      <c r="AV92" s="253"/>
      <c r="AW92" s="253"/>
      <c r="AX92" s="253"/>
      <c r="AY92" s="253"/>
      <c r="AZ92" s="253"/>
      <c r="BA92" s="253"/>
      <c r="BB92" s="253"/>
      <c r="BC92" s="253"/>
      <c r="BD92" s="253"/>
      <c r="BE92" s="253"/>
      <c r="BF92" s="253"/>
      <c r="BG92" s="253"/>
      <c r="BH92" s="253"/>
      <c r="BI92" s="253"/>
      <c r="BJ92" s="253"/>
      <c r="BK92" s="253"/>
      <c r="BL92" s="253"/>
      <c r="BM92" s="253"/>
      <c r="BN92" s="253"/>
      <c r="BO92" s="253"/>
      <c r="BP92" s="253"/>
      <c r="BQ92" s="253"/>
      <c r="BR92" s="253"/>
      <c r="BS92" s="253"/>
      <c r="BT92" s="253"/>
      <c r="BU92" s="253"/>
      <c r="BV92" s="253"/>
      <c r="BW92" s="253"/>
      <c r="BX92" s="253"/>
      <c r="BY92" s="253"/>
      <c r="BZ92" s="253"/>
      <c r="CA92" s="253"/>
      <c r="CB92" s="253"/>
      <c r="CC92" s="253"/>
      <c r="CD92" s="253"/>
      <c r="CE92" s="253"/>
      <c r="CF92" s="253"/>
      <c r="CG92" s="253"/>
      <c r="CH92" s="253"/>
      <c r="CI92" s="253"/>
      <c r="CJ92" s="253"/>
      <c r="CK92" s="253"/>
      <c r="CL92" s="253"/>
      <c r="CM92" s="253"/>
      <c r="CN92" s="253"/>
      <c r="CO92" s="253"/>
      <c r="CP92" s="253"/>
      <c r="CQ92" s="253"/>
      <c r="CR92" s="253"/>
      <c r="CS92" s="253"/>
      <c r="CT92" s="253"/>
      <c r="CU92" s="253"/>
      <c r="CV92" s="253"/>
      <c r="CW92" s="253"/>
      <c r="CX92" s="253"/>
      <c r="CY92" s="253"/>
      <c r="CZ92" s="253"/>
      <c r="DA92" s="253"/>
      <c r="DB92" s="253"/>
      <c r="DC92" s="253"/>
      <c r="DD92" s="253"/>
      <c r="DE92" s="253"/>
      <c r="DF92" s="253"/>
      <c r="DG92" s="253"/>
      <c r="DH92" s="253"/>
      <c r="DI92" s="253"/>
      <c r="DJ92" s="253"/>
      <c r="DK92" s="253"/>
      <c r="DL92" s="253"/>
      <c r="DM92" s="253"/>
      <c r="DN92" s="253"/>
      <c r="DO92" s="253"/>
      <c r="DP92" s="253"/>
      <c r="DQ92" s="253"/>
      <c r="DR92" s="253"/>
      <c r="DS92" s="253"/>
      <c r="DT92" s="253"/>
      <c r="DU92" s="253"/>
      <c r="DV92" s="253"/>
      <c r="DW92" s="253"/>
      <c r="DX92" s="253"/>
      <c r="DY92" s="253"/>
      <c r="DZ92" s="253"/>
      <c r="EA92" s="253"/>
      <c r="EB92" s="253"/>
      <c r="EC92" s="253"/>
      <c r="ED92" s="253"/>
      <c r="EE92" s="253"/>
      <c r="EF92" s="253"/>
      <c r="EG92" s="253"/>
      <c r="EH92" s="253"/>
      <c r="EI92" s="253"/>
      <c r="EJ92" s="253"/>
      <c r="EK92" s="253"/>
      <c r="EL92" s="253"/>
      <c r="EM92" s="253"/>
      <c r="EN92" s="253"/>
      <c r="EO92" s="253"/>
      <c r="EP92" s="253"/>
      <c r="EQ92" s="253"/>
      <c r="ER92" s="253"/>
      <c r="ES92" s="253"/>
      <c r="ET92" s="253"/>
      <c r="EU92" s="253"/>
      <c r="EV92" s="253"/>
      <c r="EW92" s="253"/>
      <c r="EX92" s="253"/>
      <c r="EY92" s="253"/>
      <c r="EZ92" s="253"/>
      <c r="FA92" s="253"/>
      <c r="FB92" s="253"/>
      <c r="FC92" s="253"/>
      <c r="FD92" s="253"/>
      <c r="FE92" s="253"/>
      <c r="FF92" s="253"/>
      <c r="FG92" s="256"/>
      <c r="FH92" s="257" t="s">
        <v>993</v>
      </c>
      <c r="FI92" s="258" t="s">
        <v>389</v>
      </c>
      <c r="FJ92" s="258" t="s">
        <v>855</v>
      </c>
      <c r="FK92" s="258" t="s">
        <v>439</v>
      </c>
      <c r="FL92" s="259">
        <f t="shared" si="3"/>
        <v>0</v>
      </c>
      <c r="FM92" s="260" t="s">
        <v>421</v>
      </c>
    </row>
    <row r="93" spans="1:169">
      <c r="A93" s="251" t="s">
        <v>385</v>
      </c>
      <c r="B93" s="251" t="s">
        <v>392</v>
      </c>
      <c r="C93" s="251" t="s">
        <v>411</v>
      </c>
      <c r="D93" s="251" t="s">
        <v>1</v>
      </c>
      <c r="E93" s="252" t="s">
        <v>851</v>
      </c>
      <c r="F93" s="251" t="s">
        <v>388</v>
      </c>
      <c r="G93" s="251"/>
      <c r="H93" s="253"/>
      <c r="I93" s="253"/>
      <c r="J93" s="253"/>
      <c r="K93" s="253"/>
      <c r="L93" s="253"/>
      <c r="M93" s="253"/>
      <c r="N93" s="253"/>
      <c r="O93" s="255">
        <f>150-150</f>
        <v>0</v>
      </c>
      <c r="P93" s="253"/>
      <c r="Q93" s="253"/>
      <c r="R93" s="253"/>
      <c r="S93" s="253"/>
      <c r="T93" s="253"/>
      <c r="U93" s="255">
        <f>100-100</f>
        <v>0</v>
      </c>
      <c r="V93" s="253"/>
      <c r="W93" s="253"/>
      <c r="X93" s="253"/>
      <c r="Y93" s="255">
        <f>100-100</f>
        <v>0</v>
      </c>
      <c r="Z93" s="255">
        <f>100-100</f>
        <v>0</v>
      </c>
      <c r="AA93" s="253"/>
      <c r="AB93" s="255">
        <f>400-400</f>
        <v>0</v>
      </c>
      <c r="AC93" s="253"/>
      <c r="AD93" s="253"/>
      <c r="AE93" s="253"/>
      <c r="AF93" s="255">
        <f>150-150</f>
        <v>0</v>
      </c>
      <c r="AG93" s="253"/>
      <c r="AH93" s="253"/>
      <c r="AI93" s="253"/>
      <c r="AJ93" s="253"/>
      <c r="AK93" s="253"/>
      <c r="AL93" s="253"/>
      <c r="AM93" s="253"/>
      <c r="AN93" s="253"/>
      <c r="AO93" s="255">
        <f>100-100</f>
        <v>0</v>
      </c>
      <c r="AP93" s="253"/>
      <c r="AQ93" s="253"/>
      <c r="AR93" s="253"/>
      <c r="AS93" s="253"/>
      <c r="AT93" s="255">
        <f>200-200</f>
        <v>0</v>
      </c>
      <c r="AU93" s="253"/>
      <c r="AV93" s="253"/>
      <c r="AW93" s="253"/>
      <c r="AX93" s="253"/>
      <c r="AY93" s="253"/>
      <c r="AZ93" s="255">
        <f>150-150</f>
        <v>0</v>
      </c>
      <c r="BA93" s="253"/>
      <c r="BB93" s="253"/>
      <c r="BC93" s="253"/>
      <c r="BD93" s="255">
        <f>150-150</f>
        <v>0</v>
      </c>
      <c r="BE93" s="253"/>
      <c r="BF93" s="253"/>
      <c r="BG93" s="253"/>
      <c r="BH93" s="253"/>
      <c r="BI93" s="253"/>
      <c r="BJ93" s="253"/>
      <c r="BK93" s="253"/>
      <c r="BL93" s="253"/>
      <c r="BM93" s="253"/>
      <c r="BN93" s="253"/>
      <c r="BO93" s="253"/>
      <c r="BP93" s="253"/>
      <c r="BQ93" s="253"/>
      <c r="BR93" s="253"/>
      <c r="BS93" s="253"/>
      <c r="BT93" s="253"/>
      <c r="BU93" s="253"/>
      <c r="BV93" s="253"/>
      <c r="BW93" s="253"/>
      <c r="BX93" s="253"/>
      <c r="BY93" s="253"/>
      <c r="BZ93" s="253"/>
      <c r="CA93" s="253"/>
      <c r="CB93" s="253"/>
      <c r="CC93" s="253"/>
      <c r="CD93" s="253"/>
      <c r="CE93" s="253"/>
      <c r="CF93" s="253"/>
      <c r="CG93" s="253"/>
      <c r="CH93" s="253"/>
      <c r="CI93" s="253"/>
      <c r="CJ93" s="253"/>
      <c r="CK93" s="253"/>
      <c r="CL93" s="253"/>
      <c r="CM93" s="253"/>
      <c r="CN93" s="253"/>
      <c r="CO93" s="253"/>
      <c r="CP93" s="253"/>
      <c r="CQ93" s="253"/>
      <c r="CR93" s="253"/>
      <c r="CS93" s="253"/>
      <c r="CT93" s="253"/>
      <c r="CU93" s="253"/>
      <c r="CV93" s="253"/>
      <c r="CW93" s="253"/>
      <c r="CX93" s="253"/>
      <c r="CY93" s="253"/>
      <c r="CZ93" s="253"/>
      <c r="DA93" s="253"/>
      <c r="DB93" s="253"/>
      <c r="DC93" s="253"/>
      <c r="DD93" s="253"/>
      <c r="DE93" s="253"/>
      <c r="DF93" s="253"/>
      <c r="DG93" s="253"/>
      <c r="DH93" s="253"/>
      <c r="DI93" s="253"/>
      <c r="DJ93" s="253"/>
      <c r="DK93" s="253"/>
      <c r="DL93" s="253"/>
      <c r="DM93" s="253"/>
      <c r="DN93" s="253"/>
      <c r="DO93" s="253"/>
      <c r="DP93" s="253"/>
      <c r="DQ93" s="253"/>
      <c r="DR93" s="253"/>
      <c r="DS93" s="255">
        <f>100-100</f>
        <v>0</v>
      </c>
      <c r="DT93" s="253"/>
      <c r="DU93" s="253"/>
      <c r="DV93" s="253"/>
      <c r="DW93" s="253"/>
      <c r="DX93" s="253"/>
      <c r="DY93" s="253"/>
      <c r="DZ93" s="253"/>
      <c r="EA93" s="253"/>
      <c r="EB93" s="253"/>
      <c r="EC93" s="253"/>
      <c r="ED93" s="253"/>
      <c r="EE93" s="253"/>
      <c r="EF93" s="253"/>
      <c r="EG93" s="253"/>
      <c r="EH93" s="253"/>
      <c r="EI93" s="253"/>
      <c r="EJ93" s="253"/>
      <c r="EK93" s="253"/>
      <c r="EL93" s="253"/>
      <c r="EM93" s="253"/>
      <c r="EN93" s="253"/>
      <c r="EO93" s="253"/>
      <c r="EP93" s="253"/>
      <c r="EQ93" s="253"/>
      <c r="ER93" s="253"/>
      <c r="ES93" s="253"/>
      <c r="ET93" s="253"/>
      <c r="EU93" s="253"/>
      <c r="EV93" s="253"/>
      <c r="EW93" s="253"/>
      <c r="EX93" s="253"/>
      <c r="EY93" s="253"/>
      <c r="EZ93" s="253"/>
      <c r="FA93" s="253"/>
      <c r="FB93" s="253"/>
      <c r="FC93" s="253"/>
      <c r="FD93" s="253"/>
      <c r="FE93" s="253"/>
      <c r="FF93" s="253"/>
      <c r="FG93" s="256"/>
      <c r="FH93" s="257" t="s">
        <v>993</v>
      </c>
      <c r="FI93" s="258" t="s">
        <v>389</v>
      </c>
      <c r="FJ93" s="258" t="s">
        <v>855</v>
      </c>
      <c r="FK93" s="258" t="s">
        <v>439</v>
      </c>
      <c r="FL93" s="259">
        <f t="shared" si="3"/>
        <v>0</v>
      </c>
      <c r="FM93" s="260" t="s">
        <v>421</v>
      </c>
    </row>
    <row r="94" spans="1:169">
      <c r="A94" s="251" t="s">
        <v>385</v>
      </c>
      <c r="B94" s="251" t="s">
        <v>392</v>
      </c>
      <c r="C94" s="251" t="s">
        <v>411</v>
      </c>
      <c r="D94" s="251" t="s">
        <v>291</v>
      </c>
      <c r="E94" s="263" t="s">
        <v>851</v>
      </c>
      <c r="F94" s="251" t="s">
        <v>388</v>
      </c>
      <c r="G94" s="251"/>
      <c r="H94" s="253"/>
      <c r="I94" s="255">
        <f>100-100</f>
        <v>0</v>
      </c>
      <c r="J94" s="253"/>
      <c r="K94" s="255">
        <f>100-100</f>
        <v>0</v>
      </c>
      <c r="L94" s="253"/>
      <c r="M94" s="253"/>
      <c r="N94" s="255">
        <f>100-100</f>
        <v>0</v>
      </c>
      <c r="O94" s="253"/>
      <c r="P94" s="253"/>
      <c r="Q94" s="253"/>
      <c r="R94" s="253"/>
      <c r="S94" s="253"/>
      <c r="T94" s="253"/>
      <c r="U94" s="253"/>
      <c r="V94" s="253"/>
      <c r="W94" s="253"/>
      <c r="X94" s="253"/>
      <c r="Y94" s="253"/>
      <c r="Z94" s="253"/>
      <c r="AA94" s="253"/>
      <c r="AB94" s="253"/>
      <c r="AC94" s="253"/>
      <c r="AD94" s="253"/>
      <c r="AE94" s="255">
        <f>100-100</f>
        <v>0</v>
      </c>
      <c r="AF94" s="253"/>
      <c r="AG94" s="255">
        <f>250-250</f>
        <v>0</v>
      </c>
      <c r="AH94" s="255">
        <f>150-150</f>
        <v>0</v>
      </c>
      <c r="AI94" s="253"/>
      <c r="AJ94" s="253"/>
      <c r="AK94" s="253"/>
      <c r="AL94" s="253"/>
      <c r="AM94" s="253"/>
      <c r="AN94" s="253"/>
      <c r="AO94" s="253"/>
      <c r="AP94" s="253"/>
      <c r="AQ94" s="253"/>
      <c r="AR94" s="253"/>
      <c r="AS94" s="253"/>
      <c r="AT94" s="253"/>
      <c r="AU94" s="253"/>
      <c r="AV94" s="253"/>
      <c r="AW94" s="253"/>
      <c r="AX94" s="253"/>
      <c r="AY94" s="253"/>
      <c r="AZ94" s="253"/>
      <c r="BA94" s="253"/>
      <c r="BB94" s="253"/>
      <c r="BC94" s="253"/>
      <c r="BD94" s="253"/>
      <c r="BE94" s="253"/>
      <c r="BF94" s="253"/>
      <c r="BG94" s="253"/>
      <c r="BH94" s="253"/>
      <c r="BI94" s="253"/>
      <c r="BJ94" s="253"/>
      <c r="BK94" s="253"/>
      <c r="BL94" s="253"/>
      <c r="BM94" s="253"/>
      <c r="BN94" s="253"/>
      <c r="BO94" s="253"/>
      <c r="BP94" s="253"/>
      <c r="BQ94" s="253"/>
      <c r="BR94" s="253"/>
      <c r="BS94" s="253"/>
      <c r="BT94" s="253"/>
      <c r="BU94" s="253"/>
      <c r="BV94" s="253"/>
      <c r="BW94" s="253"/>
      <c r="BX94" s="253"/>
      <c r="BY94" s="253"/>
      <c r="BZ94" s="253"/>
      <c r="CA94" s="253"/>
      <c r="CB94" s="253"/>
      <c r="CC94" s="253"/>
      <c r="CD94" s="253"/>
      <c r="CE94" s="253"/>
      <c r="CF94" s="253"/>
      <c r="CG94" s="253"/>
      <c r="CH94" s="253"/>
      <c r="CI94" s="253"/>
      <c r="CJ94" s="253"/>
      <c r="CK94" s="253"/>
      <c r="CL94" s="253"/>
      <c r="CM94" s="253"/>
      <c r="CN94" s="253"/>
      <c r="CO94" s="253"/>
      <c r="CP94" s="253"/>
      <c r="CQ94" s="253"/>
      <c r="CR94" s="253"/>
      <c r="CS94" s="253"/>
      <c r="CT94" s="253"/>
      <c r="CU94" s="253"/>
      <c r="CV94" s="253"/>
      <c r="CW94" s="253"/>
      <c r="CX94" s="253"/>
      <c r="CY94" s="253"/>
      <c r="CZ94" s="253"/>
      <c r="DA94" s="253"/>
      <c r="DB94" s="253"/>
      <c r="DC94" s="253"/>
      <c r="DD94" s="253"/>
      <c r="DE94" s="253"/>
      <c r="DF94" s="253"/>
      <c r="DG94" s="253"/>
      <c r="DH94" s="253"/>
      <c r="DI94" s="253"/>
      <c r="DJ94" s="253"/>
      <c r="DK94" s="253"/>
      <c r="DL94" s="253"/>
      <c r="DM94" s="253"/>
      <c r="DN94" s="253"/>
      <c r="DO94" s="253"/>
      <c r="DP94" s="253"/>
      <c r="DQ94" s="253"/>
      <c r="DR94" s="253"/>
      <c r="DS94" s="253"/>
      <c r="DT94" s="253"/>
      <c r="DU94" s="253"/>
      <c r="DV94" s="253"/>
      <c r="DW94" s="253"/>
      <c r="DX94" s="253"/>
      <c r="DY94" s="253"/>
      <c r="DZ94" s="253"/>
      <c r="EA94" s="253"/>
      <c r="EB94" s="253"/>
      <c r="EC94" s="253"/>
      <c r="ED94" s="253"/>
      <c r="EE94" s="253"/>
      <c r="EF94" s="253"/>
      <c r="EG94" s="253"/>
      <c r="EH94" s="253"/>
      <c r="EI94" s="253"/>
      <c r="EJ94" s="253"/>
      <c r="EK94" s="253"/>
      <c r="EL94" s="253"/>
      <c r="EM94" s="253"/>
      <c r="EN94" s="253"/>
      <c r="EO94" s="253"/>
      <c r="EP94" s="253"/>
      <c r="EQ94" s="253"/>
      <c r="ER94" s="253"/>
      <c r="ES94" s="253"/>
      <c r="ET94" s="253"/>
      <c r="EU94" s="253"/>
      <c r="EV94" s="253"/>
      <c r="EW94" s="253"/>
      <c r="EX94" s="253"/>
      <c r="EY94" s="253"/>
      <c r="EZ94" s="253"/>
      <c r="FA94" s="253"/>
      <c r="FB94" s="253"/>
      <c r="FC94" s="253"/>
      <c r="FD94" s="253"/>
      <c r="FE94" s="253"/>
      <c r="FF94" s="253"/>
      <c r="FG94" s="256"/>
      <c r="FH94" s="257" t="s">
        <v>993</v>
      </c>
      <c r="FI94" s="258" t="s">
        <v>389</v>
      </c>
      <c r="FJ94" s="258" t="s">
        <v>853</v>
      </c>
      <c r="FK94" s="258" t="s">
        <v>439</v>
      </c>
      <c r="FL94" s="259">
        <f t="shared" si="3"/>
        <v>0</v>
      </c>
      <c r="FM94" s="260" t="s">
        <v>421</v>
      </c>
    </row>
    <row r="95" spans="1:169">
      <c r="A95" s="251" t="s">
        <v>385</v>
      </c>
      <c r="B95" s="251" t="s">
        <v>392</v>
      </c>
      <c r="C95" s="251" t="s">
        <v>411</v>
      </c>
      <c r="D95" s="251" t="s">
        <v>1</v>
      </c>
      <c r="E95" s="263" t="s">
        <v>851</v>
      </c>
      <c r="F95" s="251" t="s">
        <v>388</v>
      </c>
      <c r="G95" s="251"/>
      <c r="H95" s="253"/>
      <c r="I95" s="253"/>
      <c r="J95" s="253"/>
      <c r="K95" s="253"/>
      <c r="L95" s="253"/>
      <c r="M95" s="253"/>
      <c r="N95" s="253"/>
      <c r="O95" s="255">
        <f>100-100</f>
        <v>0</v>
      </c>
      <c r="P95" s="253"/>
      <c r="Q95" s="253"/>
      <c r="R95" s="253"/>
      <c r="S95" s="253"/>
      <c r="T95" s="253"/>
      <c r="U95" s="255">
        <f>100-100</f>
        <v>0</v>
      </c>
      <c r="V95" s="253"/>
      <c r="W95" s="253"/>
      <c r="X95" s="253"/>
      <c r="Y95" s="255">
        <f>100-100</f>
        <v>0</v>
      </c>
      <c r="Z95" s="255">
        <f>100-100</f>
        <v>0</v>
      </c>
      <c r="AA95" s="253"/>
      <c r="AB95" s="255">
        <f>400-400</f>
        <v>0</v>
      </c>
      <c r="AC95" s="253"/>
      <c r="AD95" s="253"/>
      <c r="AE95" s="253"/>
      <c r="AF95" s="255">
        <f>150-150</f>
        <v>0</v>
      </c>
      <c r="AG95" s="253"/>
      <c r="AH95" s="253"/>
      <c r="AI95" s="253"/>
      <c r="AJ95" s="253"/>
      <c r="AK95" s="253"/>
      <c r="AL95" s="253"/>
      <c r="AM95" s="253"/>
      <c r="AN95" s="253"/>
      <c r="AO95" s="255">
        <f>100-100</f>
        <v>0</v>
      </c>
      <c r="AP95" s="253"/>
      <c r="AQ95" s="253"/>
      <c r="AR95" s="253"/>
      <c r="AS95" s="253"/>
      <c r="AT95" s="255">
        <f>200-200</f>
        <v>0</v>
      </c>
      <c r="AU95" s="253"/>
      <c r="AV95" s="253"/>
      <c r="AW95" s="253"/>
      <c r="AX95" s="253"/>
      <c r="AY95" s="253"/>
      <c r="AZ95" s="255">
        <f>50-50</f>
        <v>0</v>
      </c>
      <c r="BA95" s="253"/>
      <c r="BB95" s="253"/>
      <c r="BC95" s="253"/>
      <c r="BD95" s="255">
        <f>50-50</f>
        <v>0</v>
      </c>
      <c r="BE95" s="253"/>
      <c r="BF95" s="253"/>
      <c r="BG95" s="253"/>
      <c r="BH95" s="253"/>
      <c r="BI95" s="253"/>
      <c r="BJ95" s="253"/>
      <c r="BK95" s="253"/>
      <c r="BL95" s="253"/>
      <c r="BM95" s="253"/>
      <c r="BN95" s="253"/>
      <c r="BO95" s="253"/>
      <c r="BP95" s="253"/>
      <c r="BQ95" s="253"/>
      <c r="BR95" s="253"/>
      <c r="BS95" s="253"/>
      <c r="BT95" s="253"/>
      <c r="BU95" s="253"/>
      <c r="BV95" s="253"/>
      <c r="BW95" s="253"/>
      <c r="BX95" s="253"/>
      <c r="BY95" s="253"/>
      <c r="BZ95" s="253"/>
      <c r="CA95" s="253"/>
      <c r="CB95" s="253"/>
      <c r="CC95" s="253"/>
      <c r="CD95" s="253"/>
      <c r="CE95" s="253"/>
      <c r="CF95" s="253"/>
      <c r="CG95" s="253"/>
      <c r="CH95" s="253"/>
      <c r="CI95" s="253"/>
      <c r="CJ95" s="253"/>
      <c r="CK95" s="253"/>
      <c r="CL95" s="253"/>
      <c r="CM95" s="253"/>
      <c r="CN95" s="253"/>
      <c r="CO95" s="253"/>
      <c r="CP95" s="253"/>
      <c r="CQ95" s="253"/>
      <c r="CR95" s="253"/>
      <c r="CS95" s="253"/>
      <c r="CT95" s="253"/>
      <c r="CU95" s="253"/>
      <c r="CV95" s="253"/>
      <c r="CW95" s="253"/>
      <c r="CX95" s="253"/>
      <c r="CY95" s="253"/>
      <c r="CZ95" s="253"/>
      <c r="DA95" s="253"/>
      <c r="DB95" s="253"/>
      <c r="DC95" s="253"/>
      <c r="DD95" s="253"/>
      <c r="DE95" s="253"/>
      <c r="DF95" s="253"/>
      <c r="DG95" s="253"/>
      <c r="DH95" s="253"/>
      <c r="DI95" s="253"/>
      <c r="DJ95" s="253"/>
      <c r="DK95" s="253"/>
      <c r="DL95" s="253"/>
      <c r="DM95" s="253"/>
      <c r="DN95" s="253"/>
      <c r="DO95" s="253"/>
      <c r="DP95" s="253"/>
      <c r="DQ95" s="253"/>
      <c r="DR95" s="253"/>
      <c r="DS95" s="253"/>
      <c r="DT95" s="253"/>
      <c r="DU95" s="253"/>
      <c r="DV95" s="253"/>
      <c r="DW95" s="253"/>
      <c r="DX95" s="253"/>
      <c r="DY95" s="253"/>
      <c r="DZ95" s="253"/>
      <c r="EA95" s="253"/>
      <c r="EB95" s="253"/>
      <c r="EC95" s="253"/>
      <c r="ED95" s="253"/>
      <c r="EE95" s="253"/>
      <c r="EF95" s="253"/>
      <c r="EG95" s="253"/>
      <c r="EH95" s="253"/>
      <c r="EI95" s="253"/>
      <c r="EJ95" s="253"/>
      <c r="EK95" s="253"/>
      <c r="EL95" s="253"/>
      <c r="EM95" s="253"/>
      <c r="EN95" s="253"/>
      <c r="EO95" s="253"/>
      <c r="EP95" s="253"/>
      <c r="EQ95" s="253"/>
      <c r="ER95" s="253"/>
      <c r="ES95" s="253"/>
      <c r="ET95" s="253"/>
      <c r="EU95" s="253"/>
      <c r="EV95" s="253"/>
      <c r="EW95" s="253"/>
      <c r="EX95" s="253"/>
      <c r="EY95" s="253"/>
      <c r="EZ95" s="253"/>
      <c r="FA95" s="253"/>
      <c r="FB95" s="253"/>
      <c r="FC95" s="253"/>
      <c r="FD95" s="253"/>
      <c r="FE95" s="253"/>
      <c r="FF95" s="253"/>
      <c r="FG95" s="256"/>
      <c r="FH95" s="257" t="s">
        <v>993</v>
      </c>
      <c r="FI95" s="258" t="s">
        <v>389</v>
      </c>
      <c r="FJ95" s="258" t="s">
        <v>853</v>
      </c>
      <c r="FK95" s="258" t="s">
        <v>439</v>
      </c>
      <c r="FL95" s="259">
        <f t="shared" si="3"/>
        <v>0</v>
      </c>
      <c r="FM95" s="260" t="s">
        <v>421</v>
      </c>
    </row>
    <row r="96" spans="1:169">
      <c r="A96" s="251" t="s">
        <v>393</v>
      </c>
      <c r="B96" s="251" t="s">
        <v>385</v>
      </c>
      <c r="C96" s="251" t="s">
        <v>411</v>
      </c>
      <c r="D96" s="251" t="s">
        <v>291</v>
      </c>
      <c r="E96" s="252" t="s">
        <v>446</v>
      </c>
      <c r="F96" s="251" t="s">
        <v>388</v>
      </c>
      <c r="G96" s="251"/>
      <c r="H96" s="253"/>
      <c r="I96" s="255">
        <f>500-500</f>
        <v>0</v>
      </c>
      <c r="J96" s="253"/>
      <c r="K96" s="255">
        <f>300-300</f>
        <v>0</v>
      </c>
      <c r="L96" s="253"/>
      <c r="M96" s="253"/>
      <c r="N96" s="253"/>
      <c r="O96" s="253"/>
      <c r="P96" s="253"/>
      <c r="Q96" s="253"/>
      <c r="R96" s="253"/>
      <c r="S96" s="253"/>
      <c r="T96" s="253"/>
      <c r="U96" s="253"/>
      <c r="V96" s="253"/>
      <c r="W96" s="253"/>
      <c r="X96" s="253"/>
      <c r="Y96" s="253"/>
      <c r="Z96" s="253"/>
      <c r="AA96" s="253"/>
      <c r="AB96" s="253"/>
      <c r="AC96" s="253"/>
      <c r="AD96" s="253"/>
      <c r="AE96" s="255">
        <f>1000-1000</f>
        <v>0</v>
      </c>
      <c r="AF96" s="253"/>
      <c r="AG96" s="255">
        <f>1000-1000</f>
        <v>0</v>
      </c>
      <c r="AH96" s="255">
        <f>1000-1000</f>
        <v>0</v>
      </c>
      <c r="AI96" s="253"/>
      <c r="AJ96" s="253"/>
      <c r="AK96" s="253"/>
      <c r="AL96" s="253"/>
      <c r="AM96" s="253"/>
      <c r="AN96" s="253"/>
      <c r="AO96" s="253"/>
      <c r="AP96" s="253"/>
      <c r="AQ96" s="253"/>
      <c r="AR96" s="253"/>
      <c r="AS96" s="253"/>
      <c r="AT96" s="253"/>
      <c r="AU96" s="253"/>
      <c r="AV96" s="253"/>
      <c r="AW96" s="253"/>
      <c r="AX96" s="253"/>
      <c r="AY96" s="253"/>
      <c r="AZ96" s="253"/>
      <c r="BA96" s="253"/>
      <c r="BB96" s="253"/>
      <c r="BC96" s="253"/>
      <c r="BD96" s="253"/>
      <c r="BE96" s="253"/>
      <c r="BF96" s="253"/>
      <c r="BG96" s="253"/>
      <c r="BH96" s="253"/>
      <c r="BI96" s="253"/>
      <c r="BJ96" s="253"/>
      <c r="BK96" s="253"/>
      <c r="BL96" s="253"/>
      <c r="BM96" s="253"/>
      <c r="BN96" s="253"/>
      <c r="BO96" s="253"/>
      <c r="BP96" s="253"/>
      <c r="BQ96" s="253"/>
      <c r="BR96" s="253"/>
      <c r="BS96" s="253"/>
      <c r="BT96" s="253"/>
      <c r="BU96" s="253"/>
      <c r="BV96" s="253"/>
      <c r="BW96" s="253"/>
      <c r="BX96" s="253"/>
      <c r="BY96" s="253"/>
      <c r="BZ96" s="253"/>
      <c r="CA96" s="253"/>
      <c r="CB96" s="253"/>
      <c r="CC96" s="253"/>
      <c r="CD96" s="253"/>
      <c r="CE96" s="253"/>
      <c r="CF96" s="253"/>
      <c r="CG96" s="253"/>
      <c r="CH96" s="253"/>
      <c r="CI96" s="253"/>
      <c r="CJ96" s="253"/>
      <c r="CK96" s="253"/>
      <c r="CL96" s="253"/>
      <c r="CM96" s="253"/>
      <c r="CN96" s="253"/>
      <c r="CO96" s="253"/>
      <c r="CP96" s="253"/>
      <c r="CQ96" s="253"/>
      <c r="CR96" s="253"/>
      <c r="CS96" s="253"/>
      <c r="CT96" s="253"/>
      <c r="CU96" s="253"/>
      <c r="CV96" s="253"/>
      <c r="CW96" s="253"/>
      <c r="CX96" s="253"/>
      <c r="CY96" s="253"/>
      <c r="CZ96" s="253"/>
      <c r="DA96" s="253"/>
      <c r="DB96" s="253"/>
      <c r="DC96" s="253"/>
      <c r="DD96" s="253"/>
      <c r="DE96" s="253"/>
      <c r="DF96" s="253"/>
      <c r="DG96" s="253"/>
      <c r="DH96" s="253"/>
      <c r="DI96" s="253"/>
      <c r="DJ96" s="253"/>
      <c r="DK96" s="253"/>
      <c r="DL96" s="253"/>
      <c r="DM96" s="253"/>
      <c r="DN96" s="253"/>
      <c r="DO96" s="253"/>
      <c r="DP96" s="253"/>
      <c r="DQ96" s="253"/>
      <c r="DR96" s="253"/>
      <c r="DS96" s="253"/>
      <c r="DT96" s="253"/>
      <c r="DU96" s="253"/>
      <c r="DV96" s="253"/>
      <c r="DW96" s="253"/>
      <c r="DX96" s="253"/>
      <c r="DY96" s="253"/>
      <c r="DZ96" s="253"/>
      <c r="EA96" s="253"/>
      <c r="EB96" s="253"/>
      <c r="EC96" s="253"/>
      <c r="ED96" s="253"/>
      <c r="EE96" s="253"/>
      <c r="EF96" s="253"/>
      <c r="EG96" s="253"/>
      <c r="EH96" s="253"/>
      <c r="EI96" s="253"/>
      <c r="EJ96" s="253"/>
      <c r="EK96" s="253"/>
      <c r="EL96" s="253"/>
      <c r="EM96" s="253"/>
      <c r="EN96" s="253"/>
      <c r="EO96" s="253"/>
      <c r="EP96" s="253"/>
      <c r="EQ96" s="253"/>
      <c r="ER96" s="253"/>
      <c r="ES96" s="253"/>
      <c r="ET96" s="253"/>
      <c r="EU96" s="253"/>
      <c r="EV96" s="253"/>
      <c r="EW96" s="253"/>
      <c r="EX96" s="253"/>
      <c r="EY96" s="253"/>
      <c r="EZ96" s="253"/>
      <c r="FA96" s="253"/>
      <c r="FB96" s="255">
        <f>500-500</f>
        <v>0</v>
      </c>
      <c r="FC96" s="253"/>
      <c r="FD96" s="253"/>
      <c r="FE96" s="253"/>
      <c r="FF96" s="253"/>
      <c r="FG96" s="256"/>
      <c r="FH96" s="257" t="s">
        <v>993</v>
      </c>
      <c r="FI96" s="258" t="s">
        <v>389</v>
      </c>
      <c r="FJ96" s="258"/>
      <c r="FK96" s="258" t="s">
        <v>423</v>
      </c>
      <c r="FL96" s="259">
        <f t="shared" si="3"/>
        <v>0</v>
      </c>
      <c r="FM96" s="260" t="s">
        <v>835</v>
      </c>
    </row>
    <row r="97" spans="1:169">
      <c r="A97" s="251" t="s">
        <v>393</v>
      </c>
      <c r="B97" s="251" t="s">
        <v>385</v>
      </c>
      <c r="C97" s="251" t="s">
        <v>411</v>
      </c>
      <c r="D97" s="251" t="s">
        <v>1</v>
      </c>
      <c r="E97" s="252" t="s">
        <v>446</v>
      </c>
      <c r="F97" s="251" t="s">
        <v>388</v>
      </c>
      <c r="G97" s="251"/>
      <c r="H97" s="253"/>
      <c r="I97" s="253"/>
      <c r="J97" s="253"/>
      <c r="K97" s="253"/>
      <c r="L97" s="255">
        <f>500-500</f>
        <v>0</v>
      </c>
      <c r="M97" s="253"/>
      <c r="N97" s="253"/>
      <c r="O97" s="255">
        <f>500-500</f>
        <v>0</v>
      </c>
      <c r="P97" s="255">
        <f>500-500</f>
        <v>0</v>
      </c>
      <c r="Q97" s="253"/>
      <c r="R97" s="253"/>
      <c r="S97" s="253"/>
      <c r="T97" s="253"/>
      <c r="U97" s="253"/>
      <c r="V97" s="253"/>
      <c r="W97" s="253"/>
      <c r="X97" s="253"/>
      <c r="Y97" s="253"/>
      <c r="Z97" s="253"/>
      <c r="AA97" s="253"/>
      <c r="AB97" s="255">
        <f>1000-1000</f>
        <v>0</v>
      </c>
      <c r="AC97" s="255">
        <f>1000-1000</f>
        <v>0</v>
      </c>
      <c r="AD97" s="253"/>
      <c r="AE97" s="253"/>
      <c r="AF97" s="253"/>
      <c r="AG97" s="253"/>
      <c r="AH97" s="253"/>
      <c r="AI97" s="253"/>
      <c r="AJ97" s="253"/>
      <c r="AK97" s="253"/>
      <c r="AL97" s="253"/>
      <c r="AM97" s="253"/>
      <c r="AN97" s="253"/>
      <c r="AO97" s="255">
        <f>500-500</f>
        <v>0</v>
      </c>
      <c r="AP97" s="253"/>
      <c r="AQ97" s="253"/>
      <c r="AR97" s="255">
        <f>500-500</f>
        <v>0</v>
      </c>
      <c r="AS97" s="255">
        <f>200-200</f>
        <v>0</v>
      </c>
      <c r="AT97" s="255">
        <f>1000-1000</f>
        <v>0</v>
      </c>
      <c r="AU97" s="253"/>
      <c r="AV97" s="253"/>
      <c r="AW97" s="253"/>
      <c r="AX97" s="253"/>
      <c r="AY97" s="253"/>
      <c r="AZ97" s="253"/>
      <c r="BA97" s="253"/>
      <c r="BB97" s="253"/>
      <c r="BC97" s="253"/>
      <c r="BD97" s="255">
        <f>1000-1000</f>
        <v>0</v>
      </c>
      <c r="BE97" s="253"/>
      <c r="BF97" s="255">
        <f>1000-1000</f>
        <v>0</v>
      </c>
      <c r="BG97" s="253"/>
      <c r="BH97" s="253"/>
      <c r="BI97" s="253"/>
      <c r="BJ97" s="253"/>
      <c r="BK97" s="253"/>
      <c r="BL97" s="253"/>
      <c r="BM97" s="253"/>
      <c r="BN97" s="253"/>
      <c r="BO97" s="253"/>
      <c r="BP97" s="253"/>
      <c r="BQ97" s="253"/>
      <c r="BR97" s="253"/>
      <c r="BS97" s="253"/>
      <c r="BT97" s="253"/>
      <c r="BU97" s="253"/>
      <c r="BV97" s="253"/>
      <c r="BW97" s="253"/>
      <c r="BX97" s="253"/>
      <c r="BY97" s="253"/>
      <c r="BZ97" s="253"/>
      <c r="CA97" s="253"/>
      <c r="CB97" s="253"/>
      <c r="CC97" s="253"/>
      <c r="CD97" s="253"/>
      <c r="CE97" s="253"/>
      <c r="CF97" s="253"/>
      <c r="CG97" s="253"/>
      <c r="CH97" s="253"/>
      <c r="CI97" s="253"/>
      <c r="CJ97" s="253"/>
      <c r="CK97" s="253"/>
      <c r="CL97" s="253"/>
      <c r="CM97" s="253"/>
      <c r="CN97" s="253"/>
      <c r="CO97" s="253"/>
      <c r="CP97" s="253"/>
      <c r="CQ97" s="253"/>
      <c r="CR97" s="253"/>
      <c r="CS97" s="253"/>
      <c r="CT97" s="253"/>
      <c r="CU97" s="253"/>
      <c r="CV97" s="253"/>
      <c r="CW97" s="253"/>
      <c r="CX97" s="253"/>
      <c r="CY97" s="253"/>
      <c r="CZ97" s="253"/>
      <c r="DA97" s="253"/>
      <c r="DB97" s="253"/>
      <c r="DC97" s="253"/>
      <c r="DD97" s="253"/>
      <c r="DE97" s="253"/>
      <c r="DF97" s="253"/>
      <c r="DG97" s="253"/>
      <c r="DH97" s="253"/>
      <c r="DI97" s="253"/>
      <c r="DJ97" s="253"/>
      <c r="DK97" s="253"/>
      <c r="DL97" s="253"/>
      <c r="DM97" s="253"/>
      <c r="DN97" s="253"/>
      <c r="DO97" s="253"/>
      <c r="DP97" s="253"/>
      <c r="DQ97" s="253"/>
      <c r="DR97" s="253"/>
      <c r="DS97" s="253"/>
      <c r="DT97" s="253"/>
      <c r="DU97" s="253"/>
      <c r="DV97" s="253"/>
      <c r="DW97" s="253"/>
      <c r="DX97" s="253"/>
      <c r="DY97" s="253"/>
      <c r="DZ97" s="255">
        <f>500-500</f>
        <v>0</v>
      </c>
      <c r="EA97" s="255">
        <f>2000-2000</f>
        <v>0</v>
      </c>
      <c r="EB97" s="255">
        <f>500-500</f>
        <v>0</v>
      </c>
      <c r="EC97" s="255">
        <f>2000-2000</f>
        <v>0</v>
      </c>
      <c r="ED97" s="253"/>
      <c r="EE97" s="255">
        <f>2000-2000</f>
        <v>0</v>
      </c>
      <c r="EF97" s="255">
        <f>2000-2000</f>
        <v>0</v>
      </c>
      <c r="EG97" s="255">
        <f>2000-2000</f>
        <v>0</v>
      </c>
      <c r="EH97" s="255">
        <f>1000-1000</f>
        <v>0</v>
      </c>
      <c r="EI97" s="253"/>
      <c r="EJ97" s="255">
        <f>1000-1000</f>
        <v>0</v>
      </c>
      <c r="EK97" s="253"/>
      <c r="EL97" s="253"/>
      <c r="EM97" s="253"/>
      <c r="EN97" s="253"/>
      <c r="EO97" s="253"/>
      <c r="EP97" s="253"/>
      <c r="EQ97" s="253"/>
      <c r="ER97" s="253"/>
      <c r="ES97" s="253"/>
      <c r="ET97" s="253"/>
      <c r="EU97" s="253"/>
      <c r="EV97" s="253"/>
      <c r="EW97" s="253"/>
      <c r="EX97" s="253"/>
      <c r="EY97" s="253"/>
      <c r="EZ97" s="253"/>
      <c r="FA97" s="253"/>
      <c r="FB97" s="253"/>
      <c r="FC97" s="255">
        <f>2000-2000</f>
        <v>0</v>
      </c>
      <c r="FD97" s="255">
        <f>2000-2000</f>
        <v>0</v>
      </c>
      <c r="FE97" s="253"/>
      <c r="FF97" s="253"/>
      <c r="FG97" s="256"/>
      <c r="FH97" s="257" t="s">
        <v>993</v>
      </c>
      <c r="FI97" s="258" t="s">
        <v>389</v>
      </c>
      <c r="FJ97" s="258"/>
      <c r="FK97" s="258" t="s">
        <v>423</v>
      </c>
      <c r="FL97" s="259">
        <f t="shared" si="3"/>
        <v>0</v>
      </c>
      <c r="FM97" s="260" t="s">
        <v>835</v>
      </c>
    </row>
    <row r="98" spans="1:169">
      <c r="A98" s="251" t="s">
        <v>393</v>
      </c>
      <c r="B98" s="251" t="s">
        <v>385</v>
      </c>
      <c r="C98" s="251" t="s">
        <v>411</v>
      </c>
      <c r="D98" s="251" t="s">
        <v>293</v>
      </c>
      <c r="E98" s="252" t="s">
        <v>446</v>
      </c>
      <c r="F98" s="251" t="s">
        <v>388</v>
      </c>
      <c r="G98" s="251"/>
      <c r="H98" s="253"/>
      <c r="I98" s="253"/>
      <c r="J98" s="255">
        <f>200-200</f>
        <v>0</v>
      </c>
      <c r="K98" s="253"/>
      <c r="L98" s="253"/>
      <c r="M98" s="253"/>
      <c r="N98" s="253"/>
      <c r="O98" s="253"/>
      <c r="P98" s="253"/>
      <c r="Q98" s="253"/>
      <c r="R98" s="253"/>
      <c r="S98" s="253"/>
      <c r="T98" s="253"/>
      <c r="U98" s="253"/>
      <c r="V98" s="253"/>
      <c r="W98" s="253"/>
      <c r="X98" s="253"/>
      <c r="Y98" s="253"/>
      <c r="Z98" s="253"/>
      <c r="AA98" s="253"/>
      <c r="AB98" s="253"/>
      <c r="AC98" s="253"/>
      <c r="AD98" s="253"/>
      <c r="AE98" s="253"/>
      <c r="AF98" s="253"/>
      <c r="AG98" s="253"/>
      <c r="AH98" s="253"/>
      <c r="AI98" s="253"/>
      <c r="AJ98" s="253"/>
      <c r="AK98" s="253"/>
      <c r="AL98" s="253"/>
      <c r="AM98" s="253"/>
      <c r="AN98" s="253"/>
      <c r="AO98" s="253"/>
      <c r="AP98" s="253"/>
      <c r="AQ98" s="253"/>
      <c r="AR98" s="253"/>
      <c r="AS98" s="253"/>
      <c r="AT98" s="253"/>
      <c r="AU98" s="253"/>
      <c r="AV98" s="253"/>
      <c r="AW98" s="253"/>
      <c r="AX98" s="253"/>
      <c r="AY98" s="253"/>
      <c r="AZ98" s="253"/>
      <c r="BA98" s="253"/>
      <c r="BB98" s="253"/>
      <c r="BC98" s="253"/>
      <c r="BD98" s="253"/>
      <c r="BE98" s="253"/>
      <c r="BF98" s="253"/>
      <c r="BG98" s="253"/>
      <c r="BH98" s="253"/>
      <c r="BI98" s="253"/>
      <c r="BJ98" s="253"/>
      <c r="BK98" s="253"/>
      <c r="BL98" s="253"/>
      <c r="BM98" s="253"/>
      <c r="BN98" s="253"/>
      <c r="BO98" s="253"/>
      <c r="BP98" s="253"/>
      <c r="BQ98" s="253"/>
      <c r="BR98" s="253"/>
      <c r="BS98" s="253"/>
      <c r="BT98" s="253"/>
      <c r="BU98" s="253"/>
      <c r="BV98" s="253"/>
      <c r="BW98" s="253"/>
      <c r="BX98" s="253"/>
      <c r="BY98" s="253"/>
      <c r="BZ98" s="253"/>
      <c r="CA98" s="253"/>
      <c r="CB98" s="253"/>
      <c r="CC98" s="253"/>
      <c r="CD98" s="253"/>
      <c r="CE98" s="253"/>
      <c r="CF98" s="253"/>
      <c r="CG98" s="253"/>
      <c r="CH98" s="253"/>
      <c r="CI98" s="253"/>
      <c r="CJ98" s="253"/>
      <c r="CK98" s="253"/>
      <c r="CL98" s="253"/>
      <c r="CM98" s="253"/>
      <c r="CN98" s="253"/>
      <c r="CO98" s="253"/>
      <c r="CP98" s="253"/>
      <c r="CQ98" s="253"/>
      <c r="CR98" s="253"/>
      <c r="CS98" s="253"/>
      <c r="CT98" s="253"/>
      <c r="CU98" s="253"/>
      <c r="CV98" s="253"/>
      <c r="CW98" s="253"/>
      <c r="CX98" s="253"/>
      <c r="CY98" s="253"/>
      <c r="CZ98" s="253"/>
      <c r="DA98" s="253"/>
      <c r="DB98" s="253"/>
      <c r="DC98" s="253"/>
      <c r="DD98" s="253"/>
      <c r="DE98" s="253"/>
      <c r="DF98" s="253"/>
      <c r="DG98" s="253"/>
      <c r="DH98" s="253"/>
      <c r="DI98" s="253"/>
      <c r="DJ98" s="253"/>
      <c r="DK98" s="253"/>
      <c r="DL98" s="253"/>
      <c r="DM98" s="253"/>
      <c r="DN98" s="253"/>
      <c r="DO98" s="253"/>
      <c r="DP98" s="253"/>
      <c r="DQ98" s="253"/>
      <c r="DR98" s="253"/>
      <c r="DS98" s="253"/>
      <c r="DT98" s="253"/>
      <c r="DU98" s="253"/>
      <c r="DV98" s="253"/>
      <c r="DW98" s="253"/>
      <c r="DX98" s="253"/>
      <c r="DY98" s="253"/>
      <c r="DZ98" s="253"/>
      <c r="EA98" s="253"/>
      <c r="EB98" s="253"/>
      <c r="EC98" s="253"/>
      <c r="ED98" s="253"/>
      <c r="EE98" s="253"/>
      <c r="EF98" s="253"/>
      <c r="EG98" s="253"/>
      <c r="EH98" s="253"/>
      <c r="EI98" s="253"/>
      <c r="EJ98" s="253"/>
      <c r="EK98" s="253"/>
      <c r="EL98" s="253"/>
      <c r="EM98" s="253"/>
      <c r="EN98" s="253"/>
      <c r="EO98" s="253"/>
      <c r="EP98" s="253"/>
      <c r="EQ98" s="253"/>
      <c r="ER98" s="253"/>
      <c r="ES98" s="253"/>
      <c r="ET98" s="253"/>
      <c r="EU98" s="253"/>
      <c r="EV98" s="253"/>
      <c r="EW98" s="253"/>
      <c r="EX98" s="253"/>
      <c r="EY98" s="253"/>
      <c r="EZ98" s="253"/>
      <c r="FA98" s="253"/>
      <c r="FB98" s="253"/>
      <c r="FC98" s="253"/>
      <c r="FD98" s="253"/>
      <c r="FE98" s="253"/>
      <c r="FF98" s="253"/>
      <c r="FG98" s="256"/>
      <c r="FH98" s="257" t="s">
        <v>993</v>
      </c>
      <c r="FI98" s="258" t="s">
        <v>389</v>
      </c>
      <c r="FJ98" s="258"/>
      <c r="FK98" s="258" t="s">
        <v>423</v>
      </c>
      <c r="FL98" s="259">
        <f t="shared" si="3"/>
        <v>0</v>
      </c>
      <c r="FM98" s="260" t="s">
        <v>835</v>
      </c>
    </row>
    <row r="99" spans="1:169">
      <c r="A99" s="251" t="s">
        <v>393</v>
      </c>
      <c r="B99" s="251" t="s">
        <v>385</v>
      </c>
      <c r="C99" s="251" t="s">
        <v>411</v>
      </c>
      <c r="D99" s="251" t="s">
        <v>291</v>
      </c>
      <c r="E99" s="252" t="s">
        <v>981</v>
      </c>
      <c r="F99" s="251" t="s">
        <v>388</v>
      </c>
      <c r="G99" s="251"/>
      <c r="H99" s="253"/>
      <c r="I99" s="253"/>
      <c r="J99" s="253"/>
      <c r="K99" s="253"/>
      <c r="L99" s="253"/>
      <c r="M99" s="253"/>
      <c r="N99" s="255">
        <f>40-40</f>
        <v>0</v>
      </c>
      <c r="O99" s="253"/>
      <c r="P99" s="253"/>
      <c r="Q99" s="253"/>
      <c r="R99" s="253"/>
      <c r="S99" s="253"/>
      <c r="T99" s="253"/>
      <c r="U99" s="253"/>
      <c r="V99" s="253"/>
      <c r="W99" s="253"/>
      <c r="X99" s="253"/>
      <c r="Y99" s="253"/>
      <c r="Z99" s="253"/>
      <c r="AA99" s="253"/>
      <c r="AB99" s="253"/>
      <c r="AC99" s="253"/>
      <c r="AD99" s="253"/>
      <c r="AE99" s="255">
        <f>50-50</f>
        <v>0</v>
      </c>
      <c r="AF99" s="253"/>
      <c r="AG99" s="255">
        <f>50-50</f>
        <v>0</v>
      </c>
      <c r="AH99" s="255">
        <f>50-50</f>
        <v>0</v>
      </c>
      <c r="AI99" s="253"/>
      <c r="AJ99" s="253"/>
      <c r="AK99" s="253"/>
      <c r="AL99" s="253"/>
      <c r="AM99" s="255">
        <f>50-50</f>
        <v>0</v>
      </c>
      <c r="AN99" s="253"/>
      <c r="AO99" s="253"/>
      <c r="AP99" s="253"/>
      <c r="AQ99" s="253"/>
      <c r="AR99" s="253"/>
      <c r="AS99" s="253"/>
      <c r="AT99" s="253"/>
      <c r="AU99" s="253"/>
      <c r="AV99" s="253"/>
      <c r="AW99" s="253"/>
      <c r="AX99" s="253"/>
      <c r="AY99" s="253"/>
      <c r="AZ99" s="253"/>
      <c r="BA99" s="253"/>
      <c r="BB99" s="253"/>
      <c r="BC99" s="253"/>
      <c r="BD99" s="253"/>
      <c r="BE99" s="253"/>
      <c r="BF99" s="253"/>
      <c r="BG99" s="253"/>
      <c r="BH99" s="253"/>
      <c r="BI99" s="253"/>
      <c r="BJ99" s="253"/>
      <c r="BK99" s="253"/>
      <c r="BL99" s="253"/>
      <c r="BM99" s="253"/>
      <c r="BN99" s="253"/>
      <c r="BO99" s="253"/>
      <c r="BP99" s="253"/>
      <c r="BQ99" s="253"/>
      <c r="BR99" s="253"/>
      <c r="BS99" s="253"/>
      <c r="BT99" s="253"/>
      <c r="BU99" s="253"/>
      <c r="BV99" s="253"/>
      <c r="BW99" s="253"/>
      <c r="BX99" s="253"/>
      <c r="BY99" s="253"/>
      <c r="BZ99" s="253"/>
      <c r="CA99" s="253"/>
      <c r="CB99" s="253"/>
      <c r="CC99" s="253"/>
      <c r="CD99" s="253"/>
      <c r="CE99" s="253"/>
      <c r="CF99" s="253"/>
      <c r="CG99" s="253"/>
      <c r="CH99" s="253"/>
      <c r="CI99" s="253"/>
      <c r="CJ99" s="253"/>
      <c r="CK99" s="253"/>
      <c r="CL99" s="253"/>
      <c r="CM99" s="253"/>
      <c r="CN99" s="253"/>
      <c r="CO99" s="253"/>
      <c r="CP99" s="253"/>
      <c r="CQ99" s="253"/>
      <c r="CR99" s="253"/>
      <c r="CS99" s="253"/>
      <c r="CT99" s="253"/>
      <c r="CU99" s="253"/>
      <c r="CV99" s="253"/>
      <c r="CW99" s="253"/>
      <c r="CX99" s="253"/>
      <c r="CY99" s="253"/>
      <c r="CZ99" s="253"/>
      <c r="DA99" s="253"/>
      <c r="DB99" s="253"/>
      <c r="DC99" s="253"/>
      <c r="DD99" s="253"/>
      <c r="DE99" s="253"/>
      <c r="DF99" s="253"/>
      <c r="DG99" s="253"/>
      <c r="DH99" s="253"/>
      <c r="DI99" s="253"/>
      <c r="DJ99" s="253"/>
      <c r="DK99" s="253"/>
      <c r="DL99" s="253"/>
      <c r="DM99" s="253"/>
      <c r="DN99" s="253"/>
      <c r="DO99" s="253"/>
      <c r="DP99" s="253"/>
      <c r="DQ99" s="253"/>
      <c r="DR99" s="253"/>
      <c r="DS99" s="253"/>
      <c r="DT99" s="253"/>
      <c r="DU99" s="253"/>
      <c r="DV99" s="253"/>
      <c r="DW99" s="253"/>
      <c r="DX99" s="253"/>
      <c r="DY99" s="253"/>
      <c r="DZ99" s="253"/>
      <c r="EA99" s="253"/>
      <c r="EB99" s="253"/>
      <c r="EC99" s="253"/>
      <c r="ED99" s="253"/>
      <c r="EE99" s="253"/>
      <c r="EF99" s="253"/>
      <c r="EG99" s="253"/>
      <c r="EH99" s="253"/>
      <c r="EI99" s="253"/>
      <c r="EJ99" s="253"/>
      <c r="EK99" s="253"/>
      <c r="EL99" s="253"/>
      <c r="EM99" s="253"/>
      <c r="EN99" s="253"/>
      <c r="EO99" s="253"/>
      <c r="EP99" s="253"/>
      <c r="EQ99" s="253"/>
      <c r="ER99" s="253"/>
      <c r="ES99" s="253"/>
      <c r="ET99" s="253"/>
      <c r="EU99" s="253"/>
      <c r="EV99" s="253"/>
      <c r="EW99" s="253"/>
      <c r="EX99" s="253"/>
      <c r="EY99" s="253"/>
      <c r="EZ99" s="253"/>
      <c r="FA99" s="253"/>
      <c r="FB99" s="253"/>
      <c r="FC99" s="253"/>
      <c r="FD99" s="253"/>
      <c r="FE99" s="253"/>
      <c r="FF99" s="253"/>
      <c r="FG99" s="256"/>
      <c r="FH99" s="257" t="s">
        <v>993</v>
      </c>
      <c r="FI99" s="258" t="s">
        <v>389</v>
      </c>
      <c r="FJ99" s="258" t="s">
        <v>982</v>
      </c>
      <c r="FK99" s="258" t="s">
        <v>983</v>
      </c>
      <c r="FL99" s="259">
        <f t="shared" si="3"/>
        <v>0</v>
      </c>
      <c r="FM99" s="260" t="s">
        <v>433</v>
      </c>
    </row>
    <row r="100" spans="1:169">
      <c r="A100" s="251" t="s">
        <v>393</v>
      </c>
      <c r="B100" s="251" t="s">
        <v>385</v>
      </c>
      <c r="C100" s="251" t="s">
        <v>411</v>
      </c>
      <c r="D100" s="251" t="s">
        <v>1</v>
      </c>
      <c r="E100" s="252" t="s">
        <v>981</v>
      </c>
      <c r="F100" s="251" t="s">
        <v>388</v>
      </c>
      <c r="G100" s="251"/>
      <c r="H100" s="253"/>
      <c r="I100" s="253"/>
      <c r="J100" s="253"/>
      <c r="K100" s="253"/>
      <c r="L100" s="255">
        <f>20-20</f>
        <v>0</v>
      </c>
      <c r="M100" s="253"/>
      <c r="N100" s="253"/>
      <c r="O100" s="255">
        <f>40-40</f>
        <v>0</v>
      </c>
      <c r="P100" s="255">
        <f>40-40</f>
        <v>0</v>
      </c>
      <c r="Q100" s="253"/>
      <c r="R100" s="253"/>
      <c r="S100" s="253"/>
      <c r="T100" s="253"/>
      <c r="U100" s="253"/>
      <c r="V100" s="253"/>
      <c r="W100" s="253"/>
      <c r="X100" s="253"/>
      <c r="Y100" s="253"/>
      <c r="Z100" s="253"/>
      <c r="AA100" s="253"/>
      <c r="AB100" s="255">
        <f>50-50</f>
        <v>0</v>
      </c>
      <c r="AC100" s="255">
        <f>50-50</f>
        <v>0</v>
      </c>
      <c r="AD100" s="253"/>
      <c r="AE100" s="253"/>
      <c r="AF100" s="253"/>
      <c r="AG100" s="253"/>
      <c r="AH100" s="253"/>
      <c r="AI100" s="253"/>
      <c r="AJ100" s="253"/>
      <c r="AK100" s="255">
        <f>50-50</f>
        <v>0</v>
      </c>
      <c r="AL100" s="253"/>
      <c r="AM100" s="253"/>
      <c r="AN100" s="253"/>
      <c r="AO100" s="253"/>
      <c r="AP100" s="253"/>
      <c r="AQ100" s="253"/>
      <c r="AR100" s="253"/>
      <c r="AS100" s="253"/>
      <c r="AT100" s="255">
        <f>50-50</f>
        <v>0</v>
      </c>
      <c r="AU100" s="253"/>
      <c r="AV100" s="253"/>
      <c r="AW100" s="253"/>
      <c r="AX100" s="253"/>
      <c r="AY100" s="253"/>
      <c r="AZ100" s="255">
        <f>50-50</f>
        <v>0</v>
      </c>
      <c r="BA100" s="253"/>
      <c r="BB100" s="253"/>
      <c r="BC100" s="253"/>
      <c r="BD100" s="255">
        <f>50-50</f>
        <v>0</v>
      </c>
      <c r="BE100" s="253"/>
      <c r="BF100" s="253"/>
      <c r="BG100" s="253"/>
      <c r="BH100" s="253"/>
      <c r="BI100" s="253"/>
      <c r="BJ100" s="253"/>
      <c r="BK100" s="253"/>
      <c r="BL100" s="253"/>
      <c r="BM100" s="253"/>
      <c r="BN100" s="253"/>
      <c r="BO100" s="253"/>
      <c r="BP100" s="253"/>
      <c r="BQ100" s="253"/>
      <c r="BR100" s="253"/>
      <c r="BS100" s="253"/>
      <c r="BT100" s="253"/>
      <c r="BU100" s="253"/>
      <c r="BV100" s="253"/>
      <c r="BW100" s="253"/>
      <c r="BX100" s="253"/>
      <c r="BY100" s="253"/>
      <c r="BZ100" s="253"/>
      <c r="CA100" s="253"/>
      <c r="CB100" s="253"/>
      <c r="CC100" s="253"/>
      <c r="CD100" s="253"/>
      <c r="CE100" s="253"/>
      <c r="CF100" s="253"/>
      <c r="CG100" s="253"/>
      <c r="CH100" s="253"/>
      <c r="CI100" s="253"/>
      <c r="CJ100" s="253"/>
      <c r="CK100" s="253"/>
      <c r="CL100" s="253"/>
      <c r="CM100" s="253"/>
      <c r="CN100" s="253"/>
      <c r="CO100" s="253"/>
      <c r="CP100" s="253"/>
      <c r="CQ100" s="253"/>
      <c r="CR100" s="253"/>
      <c r="CS100" s="253"/>
      <c r="CT100" s="253"/>
      <c r="CU100" s="253"/>
      <c r="CV100" s="253"/>
      <c r="CW100" s="253"/>
      <c r="CX100" s="253"/>
      <c r="CY100" s="253"/>
      <c r="CZ100" s="253"/>
      <c r="DA100" s="253"/>
      <c r="DB100" s="253"/>
      <c r="DC100" s="253"/>
      <c r="DD100" s="253"/>
      <c r="DE100" s="253"/>
      <c r="DF100" s="253"/>
      <c r="DG100" s="253"/>
      <c r="DH100" s="253"/>
      <c r="DI100" s="253"/>
      <c r="DJ100" s="253"/>
      <c r="DK100" s="253"/>
      <c r="DL100" s="253"/>
      <c r="DM100" s="253"/>
      <c r="DN100" s="253"/>
      <c r="DO100" s="253"/>
      <c r="DP100" s="253"/>
      <c r="DQ100" s="253"/>
      <c r="DR100" s="253"/>
      <c r="DS100" s="253"/>
      <c r="DT100" s="253"/>
      <c r="DU100" s="253"/>
      <c r="DV100" s="253"/>
      <c r="DW100" s="253"/>
      <c r="DX100" s="253"/>
      <c r="DY100" s="253"/>
      <c r="DZ100" s="253"/>
      <c r="EA100" s="255">
        <f>50-50</f>
        <v>0</v>
      </c>
      <c r="EB100" s="255">
        <f>50-50</f>
        <v>0</v>
      </c>
      <c r="EC100" s="253"/>
      <c r="ED100" s="253"/>
      <c r="EE100" s="255">
        <f>50-50</f>
        <v>0</v>
      </c>
      <c r="EF100" s="253"/>
      <c r="EG100" s="253"/>
      <c r="EH100" s="255">
        <f>50-50</f>
        <v>0</v>
      </c>
      <c r="EI100" s="253"/>
      <c r="EJ100" s="255">
        <f>50-50</f>
        <v>0</v>
      </c>
      <c r="EK100" s="253"/>
      <c r="EL100" s="253"/>
      <c r="EM100" s="253"/>
      <c r="EN100" s="253"/>
      <c r="EO100" s="253"/>
      <c r="EP100" s="253"/>
      <c r="EQ100" s="253"/>
      <c r="ER100" s="253"/>
      <c r="ES100" s="253"/>
      <c r="ET100" s="253"/>
      <c r="EU100" s="253"/>
      <c r="EV100" s="253"/>
      <c r="EW100" s="253"/>
      <c r="EX100" s="253"/>
      <c r="EY100" s="253"/>
      <c r="EZ100" s="253"/>
      <c r="FA100" s="253"/>
      <c r="FB100" s="253"/>
      <c r="FC100" s="253"/>
      <c r="FD100" s="253"/>
      <c r="FE100" s="253"/>
      <c r="FF100" s="253"/>
      <c r="FG100" s="256"/>
      <c r="FH100" s="257" t="s">
        <v>993</v>
      </c>
      <c r="FI100" s="258" t="s">
        <v>389</v>
      </c>
      <c r="FJ100" s="258" t="s">
        <v>982</v>
      </c>
      <c r="FK100" s="258" t="s">
        <v>983</v>
      </c>
      <c r="FL100" s="259">
        <f t="shared" si="3"/>
        <v>0</v>
      </c>
      <c r="FM100" s="260" t="s">
        <v>433</v>
      </c>
    </row>
    <row r="101" spans="1:169">
      <c r="A101" s="251" t="s">
        <v>385</v>
      </c>
      <c r="B101" s="251" t="s">
        <v>385</v>
      </c>
      <c r="C101" s="251" t="s">
        <v>411</v>
      </c>
      <c r="D101" s="251" t="s">
        <v>291</v>
      </c>
      <c r="E101" s="252" t="s">
        <v>862</v>
      </c>
      <c r="F101" s="251" t="s">
        <v>388</v>
      </c>
      <c r="G101" s="251"/>
      <c r="H101" s="253"/>
      <c r="I101" s="255">
        <f>50-50</f>
        <v>0</v>
      </c>
      <c r="J101" s="253"/>
      <c r="K101" s="255">
        <f>50-50</f>
        <v>0</v>
      </c>
      <c r="L101" s="253"/>
      <c r="M101" s="253"/>
      <c r="N101" s="253"/>
      <c r="O101" s="253"/>
      <c r="P101" s="253"/>
      <c r="Q101" s="253"/>
      <c r="R101" s="253"/>
      <c r="S101" s="253"/>
      <c r="T101" s="253"/>
      <c r="U101" s="253"/>
      <c r="V101" s="253"/>
      <c r="W101" s="253"/>
      <c r="X101" s="253"/>
      <c r="Y101" s="253"/>
      <c r="Z101" s="253"/>
      <c r="AA101" s="253"/>
      <c r="AB101" s="253"/>
      <c r="AC101" s="253"/>
      <c r="AD101" s="253"/>
      <c r="AE101" s="253"/>
      <c r="AF101" s="253"/>
      <c r="AG101" s="255">
        <f>20-20</f>
        <v>0</v>
      </c>
      <c r="AH101" s="255">
        <f>20-20</f>
        <v>0</v>
      </c>
      <c r="AI101" s="253"/>
      <c r="AJ101" s="253"/>
      <c r="AK101" s="253"/>
      <c r="AL101" s="253"/>
      <c r="AM101" s="253"/>
      <c r="AN101" s="253"/>
      <c r="AO101" s="253"/>
      <c r="AP101" s="253"/>
      <c r="AQ101" s="253"/>
      <c r="AR101" s="253"/>
      <c r="AS101" s="253"/>
      <c r="AT101" s="253"/>
      <c r="AU101" s="253"/>
      <c r="AV101" s="253"/>
      <c r="AW101" s="253"/>
      <c r="AX101" s="253"/>
      <c r="AY101" s="253"/>
      <c r="AZ101" s="253"/>
      <c r="BA101" s="253"/>
      <c r="BB101" s="253"/>
      <c r="BC101" s="253"/>
      <c r="BD101" s="253"/>
      <c r="BE101" s="253"/>
      <c r="BF101" s="253"/>
      <c r="BG101" s="253"/>
      <c r="BH101" s="253"/>
      <c r="BI101" s="253"/>
      <c r="BJ101" s="253"/>
      <c r="BK101" s="253"/>
      <c r="BL101" s="253"/>
      <c r="BM101" s="253"/>
      <c r="BN101" s="253"/>
      <c r="BO101" s="253"/>
      <c r="BP101" s="253"/>
      <c r="BQ101" s="253"/>
      <c r="BR101" s="253"/>
      <c r="BS101" s="253"/>
      <c r="BT101" s="253"/>
      <c r="BU101" s="253"/>
      <c r="BV101" s="253"/>
      <c r="BW101" s="253"/>
      <c r="BX101" s="253"/>
      <c r="BY101" s="253"/>
      <c r="BZ101" s="253"/>
      <c r="CA101" s="253"/>
      <c r="CB101" s="253"/>
      <c r="CC101" s="253"/>
      <c r="CD101" s="253"/>
      <c r="CE101" s="253"/>
      <c r="CF101" s="253"/>
      <c r="CG101" s="253"/>
      <c r="CH101" s="253"/>
      <c r="CI101" s="253"/>
      <c r="CJ101" s="253"/>
      <c r="CK101" s="253"/>
      <c r="CL101" s="253"/>
      <c r="CM101" s="253"/>
      <c r="CN101" s="253"/>
      <c r="CO101" s="253"/>
      <c r="CP101" s="253"/>
      <c r="CQ101" s="253"/>
      <c r="CR101" s="253"/>
      <c r="CS101" s="253"/>
      <c r="CT101" s="253"/>
      <c r="CU101" s="253"/>
      <c r="CV101" s="253"/>
      <c r="CW101" s="253"/>
      <c r="CX101" s="253"/>
      <c r="CY101" s="253"/>
      <c r="CZ101" s="253"/>
      <c r="DA101" s="253"/>
      <c r="DB101" s="253"/>
      <c r="DC101" s="253"/>
      <c r="DD101" s="253"/>
      <c r="DE101" s="253"/>
      <c r="DF101" s="253"/>
      <c r="DG101" s="253"/>
      <c r="DH101" s="253"/>
      <c r="DI101" s="253"/>
      <c r="DJ101" s="253"/>
      <c r="DK101" s="253"/>
      <c r="DL101" s="253"/>
      <c r="DM101" s="253"/>
      <c r="DN101" s="253"/>
      <c r="DO101" s="253"/>
      <c r="DP101" s="253"/>
      <c r="DQ101" s="253"/>
      <c r="DR101" s="253"/>
      <c r="DS101" s="253"/>
      <c r="DT101" s="253"/>
      <c r="DU101" s="253"/>
      <c r="DV101" s="253"/>
      <c r="DW101" s="253"/>
      <c r="DX101" s="253"/>
      <c r="DY101" s="253"/>
      <c r="DZ101" s="253"/>
      <c r="EA101" s="253"/>
      <c r="EB101" s="253"/>
      <c r="EC101" s="253"/>
      <c r="ED101" s="253"/>
      <c r="EE101" s="253"/>
      <c r="EF101" s="253"/>
      <c r="EG101" s="253"/>
      <c r="EH101" s="253"/>
      <c r="EI101" s="253"/>
      <c r="EJ101" s="253"/>
      <c r="EK101" s="253"/>
      <c r="EL101" s="253"/>
      <c r="EM101" s="253"/>
      <c r="EN101" s="253"/>
      <c r="EO101" s="253"/>
      <c r="EP101" s="253"/>
      <c r="EQ101" s="253"/>
      <c r="ER101" s="253"/>
      <c r="ES101" s="253"/>
      <c r="ET101" s="253"/>
      <c r="EU101" s="253"/>
      <c r="EV101" s="253"/>
      <c r="EW101" s="253"/>
      <c r="EX101" s="253"/>
      <c r="EY101" s="253"/>
      <c r="EZ101" s="253"/>
      <c r="FA101" s="253"/>
      <c r="FB101" s="253"/>
      <c r="FC101" s="253"/>
      <c r="FD101" s="253"/>
      <c r="FE101" s="253"/>
      <c r="FF101" s="253"/>
      <c r="FG101" s="256"/>
      <c r="FH101" s="257" t="s">
        <v>993</v>
      </c>
      <c r="FI101" s="258" t="s">
        <v>389</v>
      </c>
      <c r="FJ101" s="258" t="s">
        <v>864</v>
      </c>
      <c r="FK101" s="258" t="s">
        <v>432</v>
      </c>
      <c r="FL101" s="259">
        <f t="shared" si="3"/>
        <v>0</v>
      </c>
      <c r="FM101" s="260" t="s">
        <v>433</v>
      </c>
    </row>
    <row r="102" spans="1:169">
      <c r="A102" s="251" t="s">
        <v>385</v>
      </c>
      <c r="B102" s="251" t="s">
        <v>385</v>
      </c>
      <c r="C102" s="251" t="s">
        <v>411</v>
      </c>
      <c r="D102" s="251" t="s">
        <v>1</v>
      </c>
      <c r="E102" s="252" t="s">
        <v>862</v>
      </c>
      <c r="F102" s="251" t="s">
        <v>388</v>
      </c>
      <c r="G102" s="251"/>
      <c r="H102" s="253"/>
      <c r="I102" s="253"/>
      <c r="J102" s="253"/>
      <c r="K102" s="253"/>
      <c r="L102" s="253"/>
      <c r="M102" s="253"/>
      <c r="N102" s="253"/>
      <c r="O102" s="255">
        <f>50-50</f>
        <v>0</v>
      </c>
      <c r="P102" s="253"/>
      <c r="Q102" s="253"/>
      <c r="R102" s="253"/>
      <c r="S102" s="255">
        <f>50-50</f>
        <v>0</v>
      </c>
      <c r="T102" s="253"/>
      <c r="U102" s="253"/>
      <c r="V102" s="253"/>
      <c r="W102" s="253"/>
      <c r="X102" s="253"/>
      <c r="Y102" s="253"/>
      <c r="Z102" s="253"/>
      <c r="AA102" s="253"/>
      <c r="AB102" s="253"/>
      <c r="AC102" s="253"/>
      <c r="AD102" s="253"/>
      <c r="AE102" s="253"/>
      <c r="AF102" s="253"/>
      <c r="AG102" s="253"/>
      <c r="AH102" s="253"/>
      <c r="AI102" s="253"/>
      <c r="AJ102" s="253"/>
      <c r="AK102" s="253"/>
      <c r="AL102" s="253"/>
      <c r="AM102" s="253"/>
      <c r="AN102" s="253"/>
      <c r="AO102" s="253"/>
      <c r="AP102" s="253"/>
      <c r="AQ102" s="253"/>
      <c r="AR102" s="253"/>
      <c r="AS102" s="253"/>
      <c r="AT102" s="253"/>
      <c r="AU102" s="253"/>
      <c r="AV102" s="253"/>
      <c r="AW102" s="253"/>
      <c r="AX102" s="253"/>
      <c r="AY102" s="253"/>
      <c r="AZ102" s="253"/>
      <c r="BA102" s="253"/>
      <c r="BB102" s="253"/>
      <c r="BC102" s="253"/>
      <c r="BD102" s="255">
        <f>20-20</f>
        <v>0</v>
      </c>
      <c r="BE102" s="253"/>
      <c r="BF102" s="253"/>
      <c r="BG102" s="253"/>
      <c r="BH102" s="253"/>
      <c r="BI102" s="253"/>
      <c r="BJ102" s="253"/>
      <c r="BK102" s="253"/>
      <c r="BL102" s="253"/>
      <c r="BM102" s="253"/>
      <c r="BN102" s="253"/>
      <c r="BO102" s="253"/>
      <c r="BP102" s="253"/>
      <c r="BQ102" s="253"/>
      <c r="BR102" s="253"/>
      <c r="BS102" s="253"/>
      <c r="BT102" s="253"/>
      <c r="BU102" s="253"/>
      <c r="BV102" s="253"/>
      <c r="BW102" s="253"/>
      <c r="BX102" s="253"/>
      <c r="BY102" s="253"/>
      <c r="BZ102" s="253"/>
      <c r="CA102" s="253"/>
      <c r="CB102" s="253"/>
      <c r="CC102" s="253"/>
      <c r="CD102" s="253"/>
      <c r="CE102" s="253"/>
      <c r="CF102" s="253"/>
      <c r="CG102" s="253"/>
      <c r="CH102" s="253"/>
      <c r="CI102" s="253"/>
      <c r="CJ102" s="253"/>
      <c r="CK102" s="253"/>
      <c r="CL102" s="253"/>
      <c r="CM102" s="253"/>
      <c r="CN102" s="253"/>
      <c r="CO102" s="253"/>
      <c r="CP102" s="253"/>
      <c r="CQ102" s="253"/>
      <c r="CR102" s="253"/>
      <c r="CS102" s="253"/>
      <c r="CT102" s="253"/>
      <c r="CU102" s="253"/>
      <c r="CV102" s="253"/>
      <c r="CW102" s="253"/>
      <c r="CX102" s="253"/>
      <c r="CY102" s="253"/>
      <c r="CZ102" s="253"/>
      <c r="DA102" s="253"/>
      <c r="DB102" s="253"/>
      <c r="DC102" s="253"/>
      <c r="DD102" s="253"/>
      <c r="DE102" s="253"/>
      <c r="DF102" s="253"/>
      <c r="DG102" s="253"/>
      <c r="DH102" s="253"/>
      <c r="DI102" s="253"/>
      <c r="DJ102" s="253"/>
      <c r="DK102" s="253"/>
      <c r="DL102" s="253"/>
      <c r="DM102" s="253"/>
      <c r="DN102" s="253"/>
      <c r="DO102" s="253"/>
      <c r="DP102" s="253"/>
      <c r="DQ102" s="253"/>
      <c r="DR102" s="301">
        <f>50-50+50</f>
        <v>50</v>
      </c>
      <c r="DS102" s="253"/>
      <c r="DT102" s="253"/>
      <c r="DU102" s="253"/>
      <c r="DV102" s="253"/>
      <c r="DW102" s="253"/>
      <c r="DX102" s="253"/>
      <c r="DY102" s="253"/>
      <c r="DZ102" s="253"/>
      <c r="EA102" s="253"/>
      <c r="EB102" s="253"/>
      <c r="EC102" s="253"/>
      <c r="ED102" s="253"/>
      <c r="EE102" s="253"/>
      <c r="EF102" s="253"/>
      <c r="EG102" s="253"/>
      <c r="EH102" s="253"/>
      <c r="EI102" s="253"/>
      <c r="EJ102" s="253"/>
      <c r="EK102" s="253"/>
      <c r="EL102" s="253"/>
      <c r="EM102" s="253"/>
      <c r="EN102" s="253"/>
      <c r="EO102" s="253"/>
      <c r="EP102" s="253"/>
      <c r="EQ102" s="253"/>
      <c r="ER102" s="253"/>
      <c r="ES102" s="253"/>
      <c r="ET102" s="253"/>
      <c r="EU102" s="253"/>
      <c r="EV102" s="253"/>
      <c r="EW102" s="253"/>
      <c r="EX102" s="253"/>
      <c r="EY102" s="253"/>
      <c r="EZ102" s="253"/>
      <c r="FA102" s="253"/>
      <c r="FB102" s="253"/>
      <c r="FC102" s="253"/>
      <c r="FD102" s="253"/>
      <c r="FE102" s="253"/>
      <c r="FF102" s="253"/>
      <c r="FG102" s="256"/>
      <c r="FH102" s="257" t="s">
        <v>993</v>
      </c>
      <c r="FI102" s="258" t="s">
        <v>389</v>
      </c>
      <c r="FJ102" s="258" t="s">
        <v>864</v>
      </c>
      <c r="FK102" s="258" t="s">
        <v>432</v>
      </c>
      <c r="FL102" s="259">
        <f t="shared" si="3"/>
        <v>50</v>
      </c>
      <c r="FM102" s="260" t="s">
        <v>433</v>
      </c>
    </row>
    <row r="103" spans="1:169">
      <c r="A103" s="251" t="s">
        <v>417</v>
      </c>
      <c r="B103" s="251" t="s">
        <v>385</v>
      </c>
      <c r="C103" s="251" t="s">
        <v>411</v>
      </c>
      <c r="D103" s="251" t="s">
        <v>1</v>
      </c>
      <c r="E103" s="252" t="s">
        <v>984</v>
      </c>
      <c r="F103" s="251" t="s">
        <v>388</v>
      </c>
      <c r="G103" s="251"/>
      <c r="H103" s="253"/>
      <c r="I103" s="253"/>
      <c r="J103" s="253"/>
      <c r="K103" s="253"/>
      <c r="L103" s="253"/>
      <c r="M103" s="253"/>
      <c r="N103" s="253"/>
      <c r="O103" s="253"/>
      <c r="P103" s="253"/>
      <c r="Q103" s="253"/>
      <c r="R103" s="253"/>
      <c r="S103" s="253"/>
      <c r="T103" s="253"/>
      <c r="U103" s="253"/>
      <c r="V103" s="253"/>
      <c r="W103" s="253"/>
      <c r="X103" s="253"/>
      <c r="Y103" s="253"/>
      <c r="Z103" s="253"/>
      <c r="AA103" s="253"/>
      <c r="AB103" s="253"/>
      <c r="AC103" s="253"/>
      <c r="AD103" s="253"/>
      <c r="AE103" s="253"/>
      <c r="AF103" s="253"/>
      <c r="AG103" s="253"/>
      <c r="AH103" s="253"/>
      <c r="AI103" s="253"/>
      <c r="AJ103" s="253"/>
      <c r="AK103" s="253"/>
      <c r="AL103" s="253"/>
      <c r="AM103" s="253"/>
      <c r="AN103" s="253"/>
      <c r="AO103" s="253"/>
      <c r="AP103" s="253"/>
      <c r="AQ103" s="253"/>
      <c r="AR103" s="253"/>
      <c r="AS103" s="253"/>
      <c r="AT103" s="255">
        <f>20-20</f>
        <v>0</v>
      </c>
      <c r="AU103" s="253"/>
      <c r="AV103" s="253"/>
      <c r="AW103" s="253"/>
      <c r="AX103" s="253"/>
      <c r="AY103" s="253"/>
      <c r="AZ103" s="253"/>
      <c r="BA103" s="253"/>
      <c r="BB103" s="253"/>
      <c r="BC103" s="253"/>
      <c r="BD103" s="253"/>
      <c r="BE103" s="253"/>
      <c r="BF103" s="253"/>
      <c r="BG103" s="253"/>
      <c r="BH103" s="253"/>
      <c r="BI103" s="253"/>
      <c r="BJ103" s="253"/>
      <c r="BK103" s="253"/>
      <c r="BL103" s="253"/>
      <c r="BM103" s="253"/>
      <c r="BN103" s="253"/>
      <c r="BO103" s="253"/>
      <c r="BP103" s="253"/>
      <c r="BQ103" s="253"/>
      <c r="BR103" s="253"/>
      <c r="BS103" s="253"/>
      <c r="BT103" s="253"/>
      <c r="BU103" s="253"/>
      <c r="BV103" s="253"/>
      <c r="BW103" s="253"/>
      <c r="BX103" s="253"/>
      <c r="BY103" s="253"/>
      <c r="BZ103" s="253"/>
      <c r="CA103" s="253"/>
      <c r="CB103" s="253"/>
      <c r="CC103" s="253"/>
      <c r="CD103" s="253"/>
      <c r="CE103" s="253"/>
      <c r="CF103" s="253"/>
      <c r="CG103" s="253"/>
      <c r="CH103" s="253"/>
      <c r="CI103" s="253"/>
      <c r="CJ103" s="253"/>
      <c r="CK103" s="253"/>
      <c r="CL103" s="253"/>
      <c r="CM103" s="253"/>
      <c r="CN103" s="253"/>
      <c r="CO103" s="253"/>
      <c r="CP103" s="253"/>
      <c r="CQ103" s="253"/>
      <c r="CR103" s="253"/>
      <c r="CS103" s="253"/>
      <c r="CT103" s="253"/>
      <c r="CU103" s="253"/>
      <c r="CV103" s="253"/>
      <c r="CW103" s="253"/>
      <c r="CX103" s="253"/>
      <c r="CY103" s="253"/>
      <c r="CZ103" s="253"/>
      <c r="DA103" s="253"/>
      <c r="DB103" s="253"/>
      <c r="DC103" s="253"/>
      <c r="DD103" s="253"/>
      <c r="DE103" s="253"/>
      <c r="DF103" s="253"/>
      <c r="DG103" s="253"/>
      <c r="DH103" s="253"/>
      <c r="DI103" s="253"/>
      <c r="DJ103" s="253"/>
      <c r="DK103" s="253"/>
      <c r="DL103" s="253"/>
      <c r="DM103" s="253"/>
      <c r="DN103" s="253"/>
      <c r="DO103" s="253"/>
      <c r="DP103" s="253"/>
      <c r="DQ103" s="253"/>
      <c r="DR103" s="253"/>
      <c r="DS103" s="253"/>
      <c r="DT103" s="253"/>
      <c r="DU103" s="253"/>
      <c r="DV103" s="253"/>
      <c r="DW103" s="253"/>
      <c r="DX103" s="253"/>
      <c r="DY103" s="253"/>
      <c r="DZ103" s="253"/>
      <c r="EA103" s="253"/>
      <c r="EB103" s="253"/>
      <c r="EC103" s="253"/>
      <c r="ED103" s="253"/>
      <c r="EE103" s="253"/>
      <c r="EF103" s="253"/>
      <c r="EG103" s="253"/>
      <c r="EH103" s="253"/>
      <c r="EI103" s="253"/>
      <c r="EJ103" s="253"/>
      <c r="EK103" s="253"/>
      <c r="EL103" s="253"/>
      <c r="EM103" s="253"/>
      <c r="EN103" s="253"/>
      <c r="EO103" s="253"/>
      <c r="EP103" s="253"/>
      <c r="EQ103" s="253"/>
      <c r="ER103" s="253"/>
      <c r="ES103" s="253"/>
      <c r="ET103" s="253"/>
      <c r="EU103" s="253"/>
      <c r="EV103" s="253"/>
      <c r="EW103" s="253"/>
      <c r="EX103" s="253"/>
      <c r="EY103" s="253"/>
      <c r="EZ103" s="253"/>
      <c r="FA103" s="253"/>
      <c r="FB103" s="253"/>
      <c r="FC103" s="253"/>
      <c r="FD103" s="253"/>
      <c r="FE103" s="253"/>
      <c r="FF103" s="253"/>
      <c r="FG103" s="256"/>
      <c r="FH103" s="257" t="s">
        <v>993</v>
      </c>
      <c r="FI103" s="258" t="s">
        <v>389</v>
      </c>
      <c r="FJ103" s="258" t="s">
        <v>985</v>
      </c>
      <c r="FK103" s="258" t="s">
        <v>420</v>
      </c>
      <c r="FL103" s="259">
        <f t="shared" ref="FL103:FL110" si="6">SUM(H103:FF103)</f>
        <v>0</v>
      </c>
      <c r="FM103" s="260" t="s">
        <v>421</v>
      </c>
    </row>
    <row r="104" spans="1:169">
      <c r="A104" s="251" t="s">
        <v>393</v>
      </c>
      <c r="B104" s="251" t="s">
        <v>385</v>
      </c>
      <c r="C104" s="251" t="s">
        <v>411</v>
      </c>
      <c r="D104" s="251" t="s">
        <v>291</v>
      </c>
      <c r="E104" s="252" t="s">
        <v>447</v>
      </c>
      <c r="F104" s="251" t="s">
        <v>388</v>
      </c>
      <c r="G104" s="251"/>
      <c r="H104" s="253"/>
      <c r="I104" s="253"/>
      <c r="J104" s="253"/>
      <c r="K104" s="255">
        <f>100-100</f>
        <v>0</v>
      </c>
      <c r="L104" s="253"/>
      <c r="M104" s="253"/>
      <c r="N104" s="253"/>
      <c r="O104" s="253"/>
      <c r="P104" s="253"/>
      <c r="Q104" s="253"/>
      <c r="R104" s="253"/>
      <c r="S104" s="253"/>
      <c r="T104" s="253"/>
      <c r="U104" s="253"/>
      <c r="V104" s="253"/>
      <c r="W104" s="253"/>
      <c r="X104" s="253"/>
      <c r="Y104" s="253"/>
      <c r="Z104" s="253"/>
      <c r="AA104" s="253"/>
      <c r="AB104" s="253"/>
      <c r="AC104" s="253"/>
      <c r="AD104" s="253"/>
      <c r="AE104" s="253"/>
      <c r="AF104" s="253"/>
      <c r="AG104" s="253"/>
      <c r="AH104" s="255">
        <f>100-100</f>
        <v>0</v>
      </c>
      <c r="AI104" s="253"/>
      <c r="AJ104" s="253"/>
      <c r="AK104" s="253"/>
      <c r="AL104" s="253"/>
      <c r="AM104" s="253"/>
      <c r="AN104" s="253"/>
      <c r="AO104" s="253"/>
      <c r="AP104" s="253"/>
      <c r="AQ104" s="253"/>
      <c r="AR104" s="253"/>
      <c r="AS104" s="253"/>
      <c r="AT104" s="253"/>
      <c r="AU104" s="253"/>
      <c r="AV104" s="253"/>
      <c r="AW104" s="253"/>
      <c r="AX104" s="253"/>
      <c r="AY104" s="253"/>
      <c r="AZ104" s="253"/>
      <c r="BA104" s="253"/>
      <c r="BB104" s="253"/>
      <c r="BC104" s="253"/>
      <c r="BD104" s="253"/>
      <c r="BE104" s="253"/>
      <c r="BF104" s="253"/>
      <c r="BG104" s="253"/>
      <c r="BH104" s="253"/>
      <c r="BI104" s="253"/>
      <c r="BJ104" s="253"/>
      <c r="BK104" s="253"/>
      <c r="BL104" s="253"/>
      <c r="BM104" s="253"/>
      <c r="BN104" s="253"/>
      <c r="BO104" s="253"/>
      <c r="BP104" s="253"/>
      <c r="BQ104" s="253"/>
      <c r="BR104" s="253"/>
      <c r="BS104" s="253"/>
      <c r="BT104" s="253"/>
      <c r="BU104" s="253"/>
      <c r="BV104" s="253"/>
      <c r="BW104" s="253"/>
      <c r="BX104" s="253"/>
      <c r="BY104" s="253"/>
      <c r="BZ104" s="253"/>
      <c r="CA104" s="253"/>
      <c r="CB104" s="253"/>
      <c r="CC104" s="253"/>
      <c r="CD104" s="253"/>
      <c r="CE104" s="253"/>
      <c r="CF104" s="253"/>
      <c r="CG104" s="253"/>
      <c r="CH104" s="253"/>
      <c r="CI104" s="253"/>
      <c r="CJ104" s="253"/>
      <c r="CK104" s="253"/>
      <c r="CL104" s="253"/>
      <c r="CM104" s="253"/>
      <c r="CN104" s="253"/>
      <c r="CO104" s="253"/>
      <c r="CP104" s="253"/>
      <c r="CQ104" s="253"/>
      <c r="CR104" s="253"/>
      <c r="CS104" s="253"/>
      <c r="CT104" s="253"/>
      <c r="CU104" s="253"/>
      <c r="CV104" s="253"/>
      <c r="CW104" s="253"/>
      <c r="CX104" s="253"/>
      <c r="CY104" s="253"/>
      <c r="CZ104" s="253"/>
      <c r="DA104" s="253"/>
      <c r="DB104" s="253"/>
      <c r="DC104" s="253"/>
      <c r="DD104" s="253"/>
      <c r="DE104" s="253"/>
      <c r="DF104" s="253"/>
      <c r="DG104" s="253"/>
      <c r="DH104" s="253"/>
      <c r="DI104" s="253"/>
      <c r="DJ104" s="253"/>
      <c r="DK104" s="253"/>
      <c r="DL104" s="253"/>
      <c r="DM104" s="253"/>
      <c r="DN104" s="253"/>
      <c r="DO104" s="253"/>
      <c r="DP104" s="253"/>
      <c r="DQ104" s="253"/>
      <c r="DR104" s="253"/>
      <c r="DS104" s="253"/>
      <c r="DT104" s="253"/>
      <c r="DU104" s="253"/>
      <c r="DV104" s="253"/>
      <c r="DW104" s="253"/>
      <c r="DX104" s="253"/>
      <c r="DY104" s="253"/>
      <c r="DZ104" s="253"/>
      <c r="EA104" s="253"/>
      <c r="EB104" s="253"/>
      <c r="EC104" s="253"/>
      <c r="ED104" s="253"/>
      <c r="EE104" s="253"/>
      <c r="EF104" s="253"/>
      <c r="EG104" s="253"/>
      <c r="EH104" s="253"/>
      <c r="EI104" s="253"/>
      <c r="EJ104" s="253"/>
      <c r="EK104" s="253"/>
      <c r="EL104" s="253"/>
      <c r="EM104" s="253"/>
      <c r="EN104" s="253"/>
      <c r="EO104" s="253"/>
      <c r="EP104" s="253"/>
      <c r="EQ104" s="253"/>
      <c r="ER104" s="253"/>
      <c r="ES104" s="253"/>
      <c r="ET104" s="253"/>
      <c r="EU104" s="253"/>
      <c r="EV104" s="253"/>
      <c r="EW104" s="253"/>
      <c r="EX104" s="253"/>
      <c r="EY104" s="253"/>
      <c r="EZ104" s="253"/>
      <c r="FA104" s="253"/>
      <c r="FB104" s="253"/>
      <c r="FC104" s="253"/>
      <c r="FD104" s="253"/>
      <c r="FE104" s="253"/>
      <c r="FF104" s="253"/>
      <c r="FG104" s="256"/>
      <c r="FH104" s="257" t="s">
        <v>993</v>
      </c>
      <c r="FI104" s="258" t="s">
        <v>389</v>
      </c>
      <c r="FJ104" s="258" t="s">
        <v>448</v>
      </c>
      <c r="FK104" s="258" t="s">
        <v>449</v>
      </c>
      <c r="FL104" s="259">
        <f t="shared" si="6"/>
        <v>0</v>
      </c>
      <c r="FM104" s="260" t="s">
        <v>433</v>
      </c>
    </row>
    <row r="105" spans="1:169">
      <c r="A105" s="251" t="s">
        <v>393</v>
      </c>
      <c r="B105" s="251" t="s">
        <v>385</v>
      </c>
      <c r="C105" s="251" t="s">
        <v>411</v>
      </c>
      <c r="D105" s="251" t="s">
        <v>1</v>
      </c>
      <c r="E105" s="252" t="s">
        <v>447</v>
      </c>
      <c r="F105" s="251" t="s">
        <v>388</v>
      </c>
      <c r="G105" s="251"/>
      <c r="H105" s="253"/>
      <c r="I105" s="253"/>
      <c r="J105" s="253"/>
      <c r="K105" s="253"/>
      <c r="L105" s="255">
        <f>100-100</f>
        <v>0</v>
      </c>
      <c r="M105" s="253"/>
      <c r="N105" s="253"/>
      <c r="O105" s="253"/>
      <c r="P105" s="253"/>
      <c r="Q105" s="253"/>
      <c r="R105" s="253"/>
      <c r="S105" s="253"/>
      <c r="T105" s="253"/>
      <c r="U105" s="253"/>
      <c r="V105" s="253"/>
      <c r="W105" s="253"/>
      <c r="X105" s="253"/>
      <c r="Y105" s="253"/>
      <c r="Z105" s="253"/>
      <c r="AA105" s="253"/>
      <c r="AB105" s="253"/>
      <c r="AC105" s="253"/>
      <c r="AD105" s="253"/>
      <c r="AE105" s="253"/>
      <c r="AF105" s="253"/>
      <c r="AG105" s="253"/>
      <c r="AH105" s="253"/>
      <c r="AI105" s="253"/>
      <c r="AJ105" s="253"/>
      <c r="AK105" s="253"/>
      <c r="AL105" s="253"/>
      <c r="AM105" s="253"/>
      <c r="AN105" s="253"/>
      <c r="AO105" s="253"/>
      <c r="AP105" s="253"/>
      <c r="AQ105" s="253"/>
      <c r="AR105" s="253"/>
      <c r="AS105" s="253"/>
      <c r="AT105" s="255">
        <f>100-100</f>
        <v>0</v>
      </c>
      <c r="AU105" s="253"/>
      <c r="AV105" s="253"/>
      <c r="AW105" s="253"/>
      <c r="AX105" s="253"/>
      <c r="AY105" s="253"/>
      <c r="AZ105" s="253"/>
      <c r="BA105" s="253"/>
      <c r="BB105" s="253"/>
      <c r="BC105" s="253"/>
      <c r="BD105" s="253"/>
      <c r="BE105" s="253"/>
      <c r="BF105" s="253"/>
      <c r="BG105" s="253"/>
      <c r="BH105" s="253"/>
      <c r="BI105" s="253"/>
      <c r="BJ105" s="253"/>
      <c r="BK105" s="253"/>
      <c r="BL105" s="253"/>
      <c r="BM105" s="253"/>
      <c r="BN105" s="253"/>
      <c r="BO105" s="253"/>
      <c r="BP105" s="253"/>
      <c r="BQ105" s="253"/>
      <c r="BR105" s="253"/>
      <c r="BS105" s="253"/>
      <c r="BT105" s="253"/>
      <c r="BU105" s="253"/>
      <c r="BV105" s="253"/>
      <c r="BW105" s="253"/>
      <c r="BX105" s="253"/>
      <c r="BY105" s="253"/>
      <c r="BZ105" s="253"/>
      <c r="CA105" s="253"/>
      <c r="CB105" s="253"/>
      <c r="CC105" s="253"/>
      <c r="CD105" s="253"/>
      <c r="CE105" s="253"/>
      <c r="CF105" s="253"/>
      <c r="CG105" s="253"/>
      <c r="CH105" s="253"/>
      <c r="CI105" s="253"/>
      <c r="CJ105" s="253"/>
      <c r="CK105" s="253"/>
      <c r="CL105" s="253"/>
      <c r="CM105" s="253"/>
      <c r="CN105" s="253"/>
      <c r="CO105" s="253"/>
      <c r="CP105" s="253"/>
      <c r="CQ105" s="253"/>
      <c r="CR105" s="253"/>
      <c r="CS105" s="253"/>
      <c r="CT105" s="253"/>
      <c r="CU105" s="253"/>
      <c r="CV105" s="253"/>
      <c r="CW105" s="253"/>
      <c r="CX105" s="253"/>
      <c r="CY105" s="253"/>
      <c r="CZ105" s="253"/>
      <c r="DA105" s="253"/>
      <c r="DB105" s="253"/>
      <c r="DC105" s="253"/>
      <c r="DD105" s="253"/>
      <c r="DE105" s="253"/>
      <c r="DF105" s="253"/>
      <c r="DG105" s="253"/>
      <c r="DH105" s="253"/>
      <c r="DI105" s="253"/>
      <c r="DJ105" s="253"/>
      <c r="DK105" s="253"/>
      <c r="DL105" s="253"/>
      <c r="DM105" s="253"/>
      <c r="DN105" s="253"/>
      <c r="DO105" s="253"/>
      <c r="DP105" s="253"/>
      <c r="DQ105" s="253"/>
      <c r="DR105" s="253"/>
      <c r="DS105" s="253"/>
      <c r="DT105" s="253"/>
      <c r="DU105" s="253"/>
      <c r="DV105" s="253"/>
      <c r="DW105" s="253"/>
      <c r="DX105" s="253"/>
      <c r="DY105" s="253"/>
      <c r="DZ105" s="253"/>
      <c r="EA105" s="253"/>
      <c r="EB105" s="253"/>
      <c r="EC105" s="253"/>
      <c r="ED105" s="253"/>
      <c r="EE105" s="253"/>
      <c r="EF105" s="253"/>
      <c r="EG105" s="253"/>
      <c r="EH105" s="253"/>
      <c r="EI105" s="253"/>
      <c r="EJ105" s="253"/>
      <c r="EK105" s="253"/>
      <c r="EL105" s="253"/>
      <c r="EM105" s="253"/>
      <c r="EN105" s="253"/>
      <c r="EO105" s="253"/>
      <c r="EP105" s="253"/>
      <c r="EQ105" s="253"/>
      <c r="ER105" s="253"/>
      <c r="ES105" s="253"/>
      <c r="ET105" s="253"/>
      <c r="EU105" s="253"/>
      <c r="EV105" s="253"/>
      <c r="EW105" s="253"/>
      <c r="EX105" s="253"/>
      <c r="EY105" s="253"/>
      <c r="EZ105" s="253"/>
      <c r="FA105" s="253"/>
      <c r="FB105" s="253"/>
      <c r="FC105" s="253"/>
      <c r="FD105" s="253"/>
      <c r="FE105" s="253"/>
      <c r="FF105" s="253"/>
      <c r="FG105" s="256"/>
      <c r="FH105" s="257" t="s">
        <v>993</v>
      </c>
      <c r="FI105" s="258" t="s">
        <v>389</v>
      </c>
      <c r="FJ105" s="258" t="s">
        <v>448</v>
      </c>
      <c r="FK105" s="258" t="s">
        <v>449</v>
      </c>
      <c r="FL105" s="259">
        <f t="shared" si="6"/>
        <v>0</v>
      </c>
      <c r="FM105" s="260" t="s">
        <v>433</v>
      </c>
    </row>
    <row r="106" spans="1:169">
      <c r="A106" s="251" t="s">
        <v>417</v>
      </c>
      <c r="B106" s="251" t="s">
        <v>385</v>
      </c>
      <c r="C106" s="251" t="s">
        <v>411</v>
      </c>
      <c r="D106" s="251" t="s">
        <v>291</v>
      </c>
      <c r="E106" s="252" t="s">
        <v>450</v>
      </c>
      <c r="F106" s="251" t="s">
        <v>388</v>
      </c>
      <c r="G106" s="251"/>
      <c r="H106" s="253"/>
      <c r="I106" s="253"/>
      <c r="J106" s="253"/>
      <c r="K106" s="253"/>
      <c r="L106" s="253"/>
      <c r="M106" s="253"/>
      <c r="N106" s="253"/>
      <c r="O106" s="253"/>
      <c r="P106" s="253"/>
      <c r="Q106" s="253"/>
      <c r="R106" s="253"/>
      <c r="S106" s="253"/>
      <c r="T106" s="253"/>
      <c r="U106" s="253"/>
      <c r="V106" s="253"/>
      <c r="W106" s="253"/>
      <c r="X106" s="253"/>
      <c r="Y106" s="253"/>
      <c r="Z106" s="253"/>
      <c r="AA106" s="253"/>
      <c r="AB106" s="253"/>
      <c r="AC106" s="253"/>
      <c r="AD106" s="253"/>
      <c r="AE106" s="253"/>
      <c r="AF106" s="253"/>
      <c r="AG106" s="253"/>
      <c r="AH106" s="255">
        <f>50-50</f>
        <v>0</v>
      </c>
      <c r="AI106" s="253"/>
      <c r="AJ106" s="253"/>
      <c r="AK106" s="253"/>
      <c r="AL106" s="253"/>
      <c r="AM106" s="253"/>
      <c r="AN106" s="253"/>
      <c r="AO106" s="253"/>
      <c r="AP106" s="253"/>
      <c r="AQ106" s="253"/>
      <c r="AR106" s="253"/>
      <c r="AS106" s="253"/>
      <c r="AT106" s="253"/>
      <c r="AU106" s="253"/>
      <c r="AV106" s="253"/>
      <c r="AW106" s="253"/>
      <c r="AX106" s="253"/>
      <c r="AY106" s="253"/>
      <c r="AZ106" s="253"/>
      <c r="BA106" s="253"/>
      <c r="BB106" s="253"/>
      <c r="BC106" s="253"/>
      <c r="BD106" s="253"/>
      <c r="BE106" s="253"/>
      <c r="BF106" s="253"/>
      <c r="BG106" s="253"/>
      <c r="BH106" s="253"/>
      <c r="BI106" s="253"/>
      <c r="BJ106" s="253"/>
      <c r="BK106" s="253"/>
      <c r="BL106" s="253"/>
      <c r="BM106" s="253"/>
      <c r="BN106" s="253"/>
      <c r="BO106" s="253"/>
      <c r="BP106" s="253"/>
      <c r="BQ106" s="253"/>
      <c r="BR106" s="253"/>
      <c r="BS106" s="253"/>
      <c r="BT106" s="253"/>
      <c r="BU106" s="253"/>
      <c r="BV106" s="253"/>
      <c r="BW106" s="253"/>
      <c r="BX106" s="253"/>
      <c r="BY106" s="253"/>
      <c r="BZ106" s="253"/>
      <c r="CA106" s="253"/>
      <c r="CB106" s="253"/>
      <c r="CC106" s="253"/>
      <c r="CD106" s="253"/>
      <c r="CE106" s="253"/>
      <c r="CF106" s="253"/>
      <c r="CG106" s="253"/>
      <c r="CH106" s="253"/>
      <c r="CI106" s="253"/>
      <c r="CJ106" s="253"/>
      <c r="CK106" s="253"/>
      <c r="CL106" s="253"/>
      <c r="CM106" s="253"/>
      <c r="CN106" s="253"/>
      <c r="CO106" s="253"/>
      <c r="CP106" s="253"/>
      <c r="CQ106" s="253"/>
      <c r="CR106" s="253"/>
      <c r="CS106" s="253"/>
      <c r="CT106" s="253"/>
      <c r="CU106" s="253"/>
      <c r="CV106" s="253"/>
      <c r="CW106" s="253"/>
      <c r="CX106" s="253"/>
      <c r="CY106" s="253"/>
      <c r="CZ106" s="253"/>
      <c r="DA106" s="253"/>
      <c r="DB106" s="253"/>
      <c r="DC106" s="253"/>
      <c r="DD106" s="253"/>
      <c r="DE106" s="253"/>
      <c r="DF106" s="253"/>
      <c r="DG106" s="253"/>
      <c r="DH106" s="253"/>
      <c r="DI106" s="253"/>
      <c r="DJ106" s="253"/>
      <c r="DK106" s="253"/>
      <c r="DL106" s="253"/>
      <c r="DM106" s="253"/>
      <c r="DN106" s="253"/>
      <c r="DO106" s="253"/>
      <c r="DP106" s="253"/>
      <c r="DQ106" s="253"/>
      <c r="DR106" s="253"/>
      <c r="DS106" s="253"/>
      <c r="DT106" s="253"/>
      <c r="DU106" s="253"/>
      <c r="DV106" s="253"/>
      <c r="DW106" s="253"/>
      <c r="DX106" s="253"/>
      <c r="DY106" s="253"/>
      <c r="DZ106" s="253"/>
      <c r="EA106" s="253"/>
      <c r="EB106" s="253"/>
      <c r="EC106" s="253"/>
      <c r="ED106" s="253"/>
      <c r="EE106" s="253"/>
      <c r="EF106" s="253"/>
      <c r="EG106" s="253"/>
      <c r="EH106" s="253"/>
      <c r="EI106" s="253"/>
      <c r="EJ106" s="253"/>
      <c r="EK106" s="253"/>
      <c r="EL106" s="253"/>
      <c r="EM106" s="253"/>
      <c r="EN106" s="253"/>
      <c r="EO106" s="253"/>
      <c r="EP106" s="253"/>
      <c r="EQ106" s="253"/>
      <c r="ER106" s="253"/>
      <c r="ES106" s="253"/>
      <c r="ET106" s="253"/>
      <c r="EU106" s="253"/>
      <c r="EV106" s="253"/>
      <c r="EW106" s="253"/>
      <c r="EX106" s="253"/>
      <c r="EY106" s="253"/>
      <c r="EZ106" s="253"/>
      <c r="FA106" s="253"/>
      <c r="FB106" s="253"/>
      <c r="FC106" s="253"/>
      <c r="FD106" s="253"/>
      <c r="FE106" s="253"/>
      <c r="FF106" s="253"/>
      <c r="FG106" s="256"/>
      <c r="FH106" s="257" t="s">
        <v>993</v>
      </c>
      <c r="FI106" s="258" t="s">
        <v>389</v>
      </c>
      <c r="FJ106" s="258" t="s">
        <v>451</v>
      </c>
      <c r="FK106" s="258" t="s">
        <v>432</v>
      </c>
      <c r="FL106" s="259">
        <f t="shared" si="6"/>
        <v>0</v>
      </c>
      <c r="FM106" s="260" t="s">
        <v>433</v>
      </c>
    </row>
    <row r="107" spans="1:169">
      <c r="A107" s="251" t="s">
        <v>417</v>
      </c>
      <c r="B107" s="251" t="s">
        <v>385</v>
      </c>
      <c r="C107" s="251" t="s">
        <v>411</v>
      </c>
      <c r="D107" s="251" t="s">
        <v>1</v>
      </c>
      <c r="E107" s="252" t="s">
        <v>450</v>
      </c>
      <c r="F107" s="251" t="s">
        <v>388</v>
      </c>
      <c r="G107" s="251"/>
      <c r="H107" s="253"/>
      <c r="I107" s="253"/>
      <c r="J107" s="253"/>
      <c r="K107" s="253"/>
      <c r="L107" s="253"/>
      <c r="M107" s="253"/>
      <c r="N107" s="253"/>
      <c r="O107" s="253"/>
      <c r="P107" s="253"/>
      <c r="Q107" s="253"/>
      <c r="R107" s="253"/>
      <c r="S107" s="253"/>
      <c r="T107" s="253"/>
      <c r="U107" s="253"/>
      <c r="V107" s="253"/>
      <c r="W107" s="253"/>
      <c r="X107" s="253"/>
      <c r="Y107" s="253"/>
      <c r="Z107" s="253"/>
      <c r="AA107" s="253"/>
      <c r="AB107" s="253"/>
      <c r="AC107" s="253"/>
      <c r="AD107" s="253"/>
      <c r="AE107" s="253"/>
      <c r="AF107" s="253"/>
      <c r="AG107" s="253"/>
      <c r="AH107" s="253"/>
      <c r="AI107" s="253"/>
      <c r="AJ107" s="253"/>
      <c r="AK107" s="253"/>
      <c r="AL107" s="253"/>
      <c r="AM107" s="253"/>
      <c r="AN107" s="253"/>
      <c r="AO107" s="253"/>
      <c r="AP107" s="253"/>
      <c r="AQ107" s="253"/>
      <c r="AR107" s="253"/>
      <c r="AS107" s="253"/>
      <c r="AT107" s="255">
        <f>30-30</f>
        <v>0</v>
      </c>
      <c r="AU107" s="253"/>
      <c r="AV107" s="253"/>
      <c r="AW107" s="253"/>
      <c r="AX107" s="253"/>
      <c r="AY107" s="253"/>
      <c r="AZ107" s="253"/>
      <c r="BA107" s="253"/>
      <c r="BB107" s="253"/>
      <c r="BC107" s="253"/>
      <c r="BD107" s="255">
        <f>10-10</f>
        <v>0</v>
      </c>
      <c r="BE107" s="253"/>
      <c r="BF107" s="253"/>
      <c r="BG107" s="253"/>
      <c r="BH107" s="253"/>
      <c r="BI107" s="253"/>
      <c r="BJ107" s="253"/>
      <c r="BK107" s="253"/>
      <c r="BL107" s="253"/>
      <c r="BM107" s="253"/>
      <c r="BN107" s="253"/>
      <c r="BO107" s="253"/>
      <c r="BP107" s="253"/>
      <c r="BQ107" s="253"/>
      <c r="BR107" s="253"/>
      <c r="BS107" s="253"/>
      <c r="BT107" s="253"/>
      <c r="BU107" s="253"/>
      <c r="BV107" s="253"/>
      <c r="BW107" s="253"/>
      <c r="BX107" s="253"/>
      <c r="BY107" s="253"/>
      <c r="BZ107" s="253"/>
      <c r="CA107" s="253"/>
      <c r="CB107" s="253"/>
      <c r="CC107" s="253"/>
      <c r="CD107" s="253"/>
      <c r="CE107" s="253"/>
      <c r="CF107" s="253"/>
      <c r="CG107" s="253"/>
      <c r="CH107" s="253"/>
      <c r="CI107" s="253"/>
      <c r="CJ107" s="253"/>
      <c r="CK107" s="253"/>
      <c r="CL107" s="253"/>
      <c r="CM107" s="253"/>
      <c r="CN107" s="253"/>
      <c r="CO107" s="253"/>
      <c r="CP107" s="253"/>
      <c r="CQ107" s="253"/>
      <c r="CR107" s="253"/>
      <c r="CS107" s="253"/>
      <c r="CT107" s="253"/>
      <c r="CU107" s="253"/>
      <c r="CV107" s="253"/>
      <c r="CW107" s="253"/>
      <c r="CX107" s="253"/>
      <c r="CY107" s="253"/>
      <c r="CZ107" s="253"/>
      <c r="DA107" s="253"/>
      <c r="DB107" s="253"/>
      <c r="DC107" s="253"/>
      <c r="DD107" s="253"/>
      <c r="DE107" s="253"/>
      <c r="DF107" s="253"/>
      <c r="DG107" s="253"/>
      <c r="DH107" s="253"/>
      <c r="DI107" s="253"/>
      <c r="DJ107" s="253"/>
      <c r="DK107" s="253"/>
      <c r="DL107" s="253"/>
      <c r="DM107" s="253"/>
      <c r="DN107" s="253"/>
      <c r="DO107" s="253"/>
      <c r="DP107" s="253"/>
      <c r="DQ107" s="253"/>
      <c r="DR107" s="253"/>
      <c r="DS107" s="253"/>
      <c r="DT107" s="253"/>
      <c r="DU107" s="253"/>
      <c r="DV107" s="253"/>
      <c r="DW107" s="253"/>
      <c r="DX107" s="253"/>
      <c r="DY107" s="253"/>
      <c r="DZ107" s="253"/>
      <c r="EA107" s="253"/>
      <c r="EB107" s="253"/>
      <c r="EC107" s="253"/>
      <c r="ED107" s="253"/>
      <c r="EE107" s="253"/>
      <c r="EF107" s="253"/>
      <c r="EG107" s="253"/>
      <c r="EH107" s="253"/>
      <c r="EI107" s="253"/>
      <c r="EJ107" s="253"/>
      <c r="EK107" s="253"/>
      <c r="EL107" s="253"/>
      <c r="EM107" s="253"/>
      <c r="EN107" s="253"/>
      <c r="EO107" s="253"/>
      <c r="EP107" s="253"/>
      <c r="EQ107" s="253"/>
      <c r="ER107" s="253"/>
      <c r="ES107" s="253"/>
      <c r="ET107" s="253"/>
      <c r="EU107" s="253"/>
      <c r="EV107" s="253"/>
      <c r="EW107" s="253"/>
      <c r="EX107" s="253"/>
      <c r="EY107" s="253"/>
      <c r="EZ107" s="253"/>
      <c r="FA107" s="253"/>
      <c r="FB107" s="253"/>
      <c r="FC107" s="253"/>
      <c r="FD107" s="253"/>
      <c r="FE107" s="253"/>
      <c r="FF107" s="253"/>
      <c r="FG107" s="256"/>
      <c r="FH107" s="257" t="s">
        <v>993</v>
      </c>
      <c r="FI107" s="258" t="s">
        <v>389</v>
      </c>
      <c r="FJ107" s="258" t="s">
        <v>451</v>
      </c>
      <c r="FK107" s="258" t="s">
        <v>432</v>
      </c>
      <c r="FL107" s="259">
        <f t="shared" si="6"/>
        <v>0</v>
      </c>
      <c r="FM107" s="260" t="s">
        <v>433</v>
      </c>
    </row>
    <row r="108" spans="1:169">
      <c r="A108" s="251"/>
      <c r="B108" s="251"/>
      <c r="C108" s="251" t="s">
        <v>411</v>
      </c>
      <c r="D108" s="251" t="s">
        <v>291</v>
      </c>
      <c r="E108" s="252" t="s">
        <v>41</v>
      </c>
      <c r="F108" s="251"/>
      <c r="G108" s="302" t="s">
        <v>291</v>
      </c>
      <c r="H108" s="253"/>
      <c r="I108" s="253"/>
      <c r="J108" s="253"/>
      <c r="K108" s="253"/>
      <c r="L108" s="253"/>
      <c r="M108" s="253"/>
      <c r="N108" s="253"/>
      <c r="O108" s="253"/>
      <c r="P108" s="253"/>
      <c r="Q108" s="253"/>
      <c r="R108" s="253"/>
      <c r="S108" s="253"/>
      <c r="T108" s="253"/>
      <c r="U108" s="253"/>
      <c r="V108" s="253"/>
      <c r="W108" s="253"/>
      <c r="X108" s="253"/>
      <c r="Y108" s="253"/>
      <c r="Z108" s="253"/>
      <c r="AA108" s="253"/>
      <c r="AB108" s="253"/>
      <c r="AC108" s="253"/>
      <c r="AD108" s="253"/>
      <c r="AE108" s="253">
        <v>120</v>
      </c>
      <c r="AF108" s="253"/>
      <c r="AG108" s="253"/>
      <c r="AH108" s="253"/>
      <c r="AI108" s="253"/>
      <c r="AJ108" s="253"/>
      <c r="AK108" s="253"/>
      <c r="AL108" s="253"/>
      <c r="AM108" s="253">
        <v>450</v>
      </c>
      <c r="AN108" s="253"/>
      <c r="AO108" s="253"/>
      <c r="AP108" s="253"/>
      <c r="AQ108" s="253"/>
      <c r="AR108" s="253"/>
      <c r="AS108" s="253"/>
      <c r="AT108" s="253"/>
      <c r="AU108" s="253"/>
      <c r="AV108" s="253"/>
      <c r="AW108" s="253"/>
      <c r="AX108" s="253"/>
      <c r="AY108" s="253"/>
      <c r="AZ108" s="253"/>
      <c r="BA108" s="253"/>
      <c r="BB108" s="253"/>
      <c r="BC108" s="253"/>
      <c r="BD108" s="253"/>
      <c r="BE108" s="253"/>
      <c r="BF108" s="253"/>
      <c r="BG108" s="253"/>
      <c r="BH108" s="253"/>
      <c r="BI108" s="253"/>
      <c r="BJ108" s="253"/>
      <c r="BK108" s="253"/>
      <c r="BL108" s="253"/>
      <c r="BM108" s="253"/>
      <c r="BN108" s="253"/>
      <c r="BO108" s="253"/>
      <c r="BP108" s="253"/>
      <c r="BQ108" s="253"/>
      <c r="BR108" s="253"/>
      <c r="BS108" s="253"/>
      <c r="BT108" s="253"/>
      <c r="BU108" s="253"/>
      <c r="BV108" s="253"/>
      <c r="BW108" s="253"/>
      <c r="BX108" s="253"/>
      <c r="BY108" s="253"/>
      <c r="BZ108" s="253"/>
      <c r="CA108" s="253"/>
      <c r="CB108" s="253"/>
      <c r="CC108" s="253"/>
      <c r="CD108" s="253"/>
      <c r="CE108" s="253"/>
      <c r="CF108" s="253"/>
      <c r="CG108" s="253"/>
      <c r="CH108" s="253"/>
      <c r="CI108" s="253"/>
      <c r="CJ108" s="253"/>
      <c r="CK108" s="253"/>
      <c r="CL108" s="253"/>
      <c r="CM108" s="253"/>
      <c r="CN108" s="253"/>
      <c r="CO108" s="253"/>
      <c r="CP108" s="253"/>
      <c r="CQ108" s="253"/>
      <c r="CR108" s="253"/>
      <c r="CS108" s="253"/>
      <c r="CT108" s="253"/>
      <c r="CU108" s="253"/>
      <c r="CV108" s="253"/>
      <c r="CW108" s="253"/>
      <c r="CX108" s="253"/>
      <c r="CY108" s="253"/>
      <c r="CZ108" s="253"/>
      <c r="DA108" s="253"/>
      <c r="DB108" s="253"/>
      <c r="DC108" s="253"/>
      <c r="DD108" s="253"/>
      <c r="DE108" s="253"/>
      <c r="DF108" s="253"/>
      <c r="DG108" s="253"/>
      <c r="DH108" s="253"/>
      <c r="DI108" s="253"/>
      <c r="DJ108" s="253"/>
      <c r="DK108" s="253"/>
      <c r="DL108" s="253"/>
      <c r="DM108" s="253"/>
      <c r="DN108" s="253"/>
      <c r="DO108" s="253"/>
      <c r="DP108" s="253"/>
      <c r="DQ108" s="253"/>
      <c r="DR108" s="253"/>
      <c r="DS108" s="253"/>
      <c r="DT108" s="253"/>
      <c r="DU108" s="253"/>
      <c r="DV108" s="253"/>
      <c r="DW108" s="253"/>
      <c r="DX108" s="253"/>
      <c r="DY108" s="253"/>
      <c r="DZ108" s="253"/>
      <c r="EA108" s="253"/>
      <c r="EB108" s="253"/>
      <c r="EC108" s="253"/>
      <c r="ED108" s="253"/>
      <c r="EE108" s="253"/>
      <c r="EF108" s="253"/>
      <c r="EG108" s="253"/>
      <c r="EH108" s="253"/>
      <c r="EI108" s="253"/>
      <c r="EJ108" s="253"/>
      <c r="EK108" s="253"/>
      <c r="EL108" s="253"/>
      <c r="EM108" s="253"/>
      <c r="EN108" s="253"/>
      <c r="EO108" s="253"/>
      <c r="EP108" s="253"/>
      <c r="EQ108" s="253"/>
      <c r="ER108" s="253"/>
      <c r="ES108" s="253"/>
      <c r="ET108" s="253"/>
      <c r="EU108" s="253"/>
      <c r="EV108" s="253"/>
      <c r="EW108" s="253"/>
      <c r="EX108" s="253"/>
      <c r="EY108" s="253"/>
      <c r="EZ108" s="253"/>
      <c r="FA108" s="253"/>
      <c r="FB108" s="253"/>
      <c r="FC108" s="253"/>
      <c r="FD108" s="253"/>
      <c r="FE108" s="253"/>
      <c r="FF108" s="253"/>
      <c r="FG108" s="256"/>
      <c r="FH108" s="273">
        <f t="shared" ref="FH108:FH110" si="7">SUM(H108:FF108)</f>
        <v>570</v>
      </c>
      <c r="FI108" s="258"/>
      <c r="FJ108" s="258"/>
      <c r="FK108" s="258"/>
      <c r="FL108" s="259"/>
      <c r="FM108" s="260"/>
    </row>
    <row r="109" spans="1:169">
      <c r="A109" s="251"/>
      <c r="B109" s="251"/>
      <c r="C109" s="251" t="s">
        <v>411</v>
      </c>
      <c r="D109" s="251" t="s">
        <v>1</v>
      </c>
      <c r="E109" s="252" t="s">
        <v>41</v>
      </c>
      <c r="F109" s="251"/>
      <c r="G109" s="302" t="s">
        <v>1</v>
      </c>
      <c r="H109" s="253"/>
      <c r="I109" s="253"/>
      <c r="J109" s="253"/>
      <c r="K109" s="253"/>
      <c r="L109" s="253"/>
      <c r="M109" s="253"/>
      <c r="N109" s="253"/>
      <c r="O109" s="253"/>
      <c r="P109" s="253"/>
      <c r="Q109" s="253"/>
      <c r="R109" s="253"/>
      <c r="S109" s="253"/>
      <c r="T109" s="253"/>
      <c r="U109" s="253"/>
      <c r="V109" s="253"/>
      <c r="W109" s="253"/>
      <c r="X109" s="253"/>
      <c r="Y109" s="253"/>
      <c r="Z109" s="253"/>
      <c r="AA109" s="253"/>
      <c r="AB109" s="253"/>
      <c r="AC109" s="253">
        <v>150</v>
      </c>
      <c r="AD109" s="253"/>
      <c r="AE109" s="253"/>
      <c r="AF109" s="253"/>
      <c r="AG109" s="253"/>
      <c r="AH109" s="253"/>
      <c r="AI109" s="253"/>
      <c r="AJ109" s="253"/>
      <c r="AK109" s="253"/>
      <c r="AL109" s="253"/>
      <c r="AM109" s="253"/>
      <c r="AN109" s="253"/>
      <c r="AO109" s="253">
        <v>240</v>
      </c>
      <c r="AP109" s="253"/>
      <c r="AQ109" s="253"/>
      <c r="AR109" s="253"/>
      <c r="AS109" s="253"/>
      <c r="AT109" s="260">
        <f>2040+1900</f>
        <v>3940</v>
      </c>
      <c r="AU109" s="253"/>
      <c r="AV109" s="253"/>
      <c r="AW109" s="253"/>
      <c r="AX109" s="253"/>
      <c r="AY109" s="253"/>
      <c r="AZ109" s="253"/>
      <c r="BA109" s="253"/>
      <c r="BB109" s="253"/>
      <c r="BC109" s="253"/>
      <c r="BD109" s="260">
        <f>700+1000</f>
        <v>1700</v>
      </c>
      <c r="BE109" s="253"/>
      <c r="BF109" s="253"/>
      <c r="BG109" s="253"/>
      <c r="BH109" s="253"/>
      <c r="BI109" s="253"/>
      <c r="BJ109" s="253"/>
      <c r="BK109" s="253"/>
      <c r="BL109" s="253"/>
      <c r="BM109" s="253"/>
      <c r="BN109" s="253"/>
      <c r="BO109" s="253"/>
      <c r="BP109" s="253">
        <v>200</v>
      </c>
      <c r="BQ109" s="253"/>
      <c r="BR109" s="253">
        <v>150</v>
      </c>
      <c r="BS109" s="253">
        <v>800</v>
      </c>
      <c r="BT109" s="253">
        <v>350</v>
      </c>
      <c r="BU109" s="253">
        <v>10</v>
      </c>
      <c r="BV109" s="253">
        <v>20</v>
      </c>
      <c r="BW109" s="253"/>
      <c r="BX109" s="253"/>
      <c r="BY109" s="253"/>
      <c r="BZ109" s="253"/>
      <c r="CA109" s="253"/>
      <c r="CB109" s="253">
        <v>1</v>
      </c>
      <c r="CC109" s="253">
        <v>280</v>
      </c>
      <c r="CD109" s="253"/>
      <c r="CE109" s="253"/>
      <c r="CF109" s="253">
        <v>300</v>
      </c>
      <c r="CG109" s="253">
        <v>20</v>
      </c>
      <c r="CH109" s="253"/>
      <c r="CI109" s="253">
        <v>12</v>
      </c>
      <c r="CJ109" s="253">
        <v>15</v>
      </c>
      <c r="CK109" s="253">
        <v>50</v>
      </c>
      <c r="CL109" s="253"/>
      <c r="CM109" s="253"/>
      <c r="CN109" s="253"/>
      <c r="CO109" s="253"/>
      <c r="CP109" s="253"/>
      <c r="CQ109" s="253"/>
      <c r="CR109" s="253"/>
      <c r="CS109" s="253"/>
      <c r="CT109" s="253"/>
      <c r="CU109" s="253"/>
      <c r="CV109" s="320">
        <v>17</v>
      </c>
      <c r="CW109" s="253"/>
      <c r="CX109" s="253"/>
      <c r="CY109" s="253"/>
      <c r="CZ109" s="253">
        <v>8</v>
      </c>
      <c r="DA109" s="253">
        <v>10</v>
      </c>
      <c r="DB109" s="253">
        <v>60</v>
      </c>
      <c r="DC109" s="253"/>
      <c r="DD109" s="253"/>
      <c r="DE109" s="253">
        <v>5</v>
      </c>
      <c r="DF109" s="253"/>
      <c r="DG109" s="253"/>
      <c r="DH109" s="253"/>
      <c r="DI109" s="253"/>
      <c r="DJ109" s="253"/>
      <c r="DK109" s="253"/>
      <c r="DL109" s="253"/>
      <c r="DM109" s="253"/>
      <c r="DN109" s="253"/>
      <c r="DO109" s="253"/>
      <c r="DP109" s="253"/>
      <c r="DQ109" s="253"/>
      <c r="DR109" s="253"/>
      <c r="DS109" s="253"/>
      <c r="DT109" s="253"/>
      <c r="DU109" s="253"/>
      <c r="DV109" s="253"/>
      <c r="DW109" s="253"/>
      <c r="DX109" s="253"/>
      <c r="DY109" s="253"/>
      <c r="DZ109" s="253"/>
      <c r="EA109" s="253"/>
      <c r="EB109" s="253"/>
      <c r="EC109" s="253"/>
      <c r="ED109" s="253"/>
      <c r="EE109" s="253"/>
      <c r="EF109" s="253"/>
      <c r="EG109" s="253"/>
      <c r="EH109" s="253"/>
      <c r="EI109" s="253"/>
      <c r="EJ109" s="253"/>
      <c r="EK109" s="253"/>
      <c r="EL109" s="253"/>
      <c r="EM109" s="253">
        <v>60</v>
      </c>
      <c r="EN109" s="253"/>
      <c r="EO109" s="253"/>
      <c r="EP109" s="253">
        <v>180</v>
      </c>
      <c r="EQ109" s="301">
        <v>20</v>
      </c>
      <c r="ER109" s="253"/>
      <c r="ES109" s="253"/>
      <c r="ET109" s="253"/>
      <c r="EU109" s="253"/>
      <c r="EV109" s="253"/>
      <c r="EW109" s="253"/>
      <c r="EX109" s="253"/>
      <c r="EY109" s="253"/>
      <c r="EZ109" s="253"/>
      <c r="FA109" s="253"/>
      <c r="FB109" s="253"/>
      <c r="FC109" s="301">
        <v>330</v>
      </c>
      <c r="FD109" s="253"/>
      <c r="FE109" s="253"/>
      <c r="FF109" s="253"/>
      <c r="FG109" s="256"/>
      <c r="FH109" s="273">
        <f t="shared" si="7"/>
        <v>8928</v>
      </c>
      <c r="FI109" s="258"/>
      <c r="FJ109" s="258"/>
      <c r="FK109" s="258"/>
      <c r="FL109" s="259">
        <f t="shared" si="6"/>
        <v>8928</v>
      </c>
      <c r="FM109" s="260"/>
    </row>
    <row r="110" spans="1:169">
      <c r="A110" s="304"/>
      <c r="B110" s="251"/>
      <c r="C110" s="251" t="s">
        <v>411</v>
      </c>
      <c r="D110" s="251" t="s">
        <v>293</v>
      </c>
      <c r="E110" s="305" t="s">
        <v>41</v>
      </c>
      <c r="F110" s="304"/>
      <c r="G110" s="302" t="s">
        <v>293</v>
      </c>
      <c r="H110" s="306"/>
      <c r="I110" s="306"/>
      <c r="J110" s="306"/>
      <c r="K110" s="306"/>
      <c r="L110" s="306"/>
      <c r="M110" s="306"/>
      <c r="N110" s="306"/>
      <c r="O110" s="306"/>
      <c r="P110" s="306"/>
      <c r="Q110" s="306"/>
      <c r="R110" s="306"/>
      <c r="S110" s="306"/>
      <c r="T110" s="306"/>
      <c r="U110" s="306"/>
      <c r="V110" s="306"/>
      <c r="W110" s="306"/>
      <c r="X110" s="306"/>
      <c r="Y110" s="306"/>
      <c r="Z110" s="306"/>
      <c r="AA110" s="306"/>
      <c r="AB110" s="306"/>
      <c r="AC110" s="306"/>
      <c r="AD110" s="306"/>
      <c r="AE110" s="306"/>
      <c r="AF110" s="306"/>
      <c r="AG110" s="306"/>
      <c r="AH110" s="306"/>
      <c r="AI110" s="306"/>
      <c r="AJ110" s="306"/>
      <c r="AK110" s="306"/>
      <c r="AL110" s="306"/>
      <c r="AM110" s="306"/>
      <c r="AN110" s="306"/>
      <c r="AO110" s="306"/>
      <c r="AP110" s="306"/>
      <c r="AQ110" s="306"/>
      <c r="AR110" s="306"/>
      <c r="AS110" s="306"/>
      <c r="AT110" s="306"/>
      <c r="AU110" s="306"/>
      <c r="AV110" s="306"/>
      <c r="AW110" s="306"/>
      <c r="AX110" s="306"/>
      <c r="AY110" s="306"/>
      <c r="AZ110" s="306"/>
      <c r="BA110" s="306"/>
      <c r="BB110" s="306"/>
      <c r="BC110" s="306"/>
      <c r="BD110" s="306"/>
      <c r="BE110" s="306"/>
      <c r="BF110" s="306"/>
      <c r="BG110" s="306"/>
      <c r="BH110" s="306"/>
      <c r="BI110" s="306"/>
      <c r="BJ110" s="306"/>
      <c r="BK110" s="306"/>
      <c r="BL110" s="306"/>
      <c r="BM110" s="306"/>
      <c r="BN110" s="306"/>
      <c r="BO110" s="306"/>
      <c r="BP110" s="306"/>
      <c r="BQ110" s="306"/>
      <c r="BR110" s="306"/>
      <c r="BS110" s="306"/>
      <c r="BT110" s="306"/>
      <c r="BU110" s="306"/>
      <c r="BV110" s="306"/>
      <c r="BW110" s="306"/>
      <c r="BX110" s="306"/>
      <c r="BY110" s="306"/>
      <c r="BZ110" s="306"/>
      <c r="CA110" s="306"/>
      <c r="CB110" s="306"/>
      <c r="CC110" s="306"/>
      <c r="CD110" s="306"/>
      <c r="CE110" s="306"/>
      <c r="CF110" s="306"/>
      <c r="CG110" s="306"/>
      <c r="CH110" s="306"/>
      <c r="CI110" s="306"/>
      <c r="CJ110" s="306"/>
      <c r="CK110" s="306"/>
      <c r="CL110" s="306"/>
      <c r="CM110" s="306"/>
      <c r="CN110" s="319">
        <v>100</v>
      </c>
      <c r="CO110" s="306"/>
      <c r="CP110" s="306"/>
      <c r="CQ110" s="306"/>
      <c r="CR110" s="306"/>
      <c r="CS110" s="306"/>
      <c r="CT110" s="306"/>
      <c r="CU110" s="306"/>
      <c r="CV110" s="306"/>
      <c r="CW110" s="306"/>
      <c r="CX110" s="306"/>
      <c r="CY110" s="306"/>
      <c r="CZ110" s="306"/>
      <c r="DA110" s="306"/>
      <c r="DB110" s="306"/>
      <c r="DC110" s="306"/>
      <c r="DD110" s="306"/>
      <c r="DE110" s="306"/>
      <c r="DF110" s="319">
        <v>14</v>
      </c>
      <c r="DG110" s="306"/>
      <c r="DH110" s="306"/>
      <c r="DI110" s="306"/>
      <c r="DJ110" s="306"/>
      <c r="DK110" s="306"/>
      <c r="DL110" s="306"/>
      <c r="DM110" s="306"/>
      <c r="DN110" s="306"/>
      <c r="DO110" s="306"/>
      <c r="DP110" s="306"/>
      <c r="DQ110" s="306"/>
      <c r="DR110" s="306"/>
      <c r="DS110" s="306"/>
      <c r="DT110" s="306"/>
      <c r="DU110" s="306"/>
      <c r="DV110" s="306"/>
      <c r="DW110" s="306"/>
      <c r="DX110" s="306"/>
      <c r="DY110" s="306"/>
      <c r="DZ110" s="306"/>
      <c r="EA110" s="306"/>
      <c r="EB110" s="306"/>
      <c r="EC110" s="306"/>
      <c r="ED110" s="306"/>
      <c r="EE110" s="306"/>
      <c r="EF110" s="306"/>
      <c r="EG110" s="306"/>
      <c r="EH110" s="306"/>
      <c r="EI110" s="306"/>
      <c r="EJ110" s="306"/>
      <c r="EK110" s="306"/>
      <c r="EL110" s="306"/>
      <c r="EM110" s="306"/>
      <c r="EN110" s="306"/>
      <c r="EO110" s="306"/>
      <c r="EP110" s="306"/>
      <c r="EQ110" s="306"/>
      <c r="ER110" s="306"/>
      <c r="ES110" s="306"/>
      <c r="ET110" s="306"/>
      <c r="EU110" s="306"/>
      <c r="EV110" s="306"/>
      <c r="EW110" s="306"/>
      <c r="EX110" s="306"/>
      <c r="EY110" s="306"/>
      <c r="EZ110" s="306"/>
      <c r="FA110" s="306"/>
      <c r="FB110" s="306"/>
      <c r="FC110" s="306"/>
      <c r="FD110" s="306"/>
      <c r="FE110" s="306"/>
      <c r="FF110" s="306"/>
      <c r="FG110" s="307"/>
      <c r="FH110" s="273">
        <f t="shared" si="7"/>
        <v>114</v>
      </c>
      <c r="FI110" s="308"/>
      <c r="FJ110" s="308"/>
      <c r="FK110" s="308"/>
      <c r="FL110" s="259">
        <f t="shared" si="6"/>
        <v>114</v>
      </c>
      <c r="FM110" s="260"/>
    </row>
    <row r="111" spans="1:169">
      <c r="A111" s="309"/>
      <c r="B111" s="310"/>
      <c r="C111" s="310"/>
      <c r="D111" s="310"/>
      <c r="E111" s="311" t="s">
        <v>994</v>
      </c>
      <c r="F111" s="311"/>
      <c r="G111" s="312"/>
      <c r="H111" s="313">
        <f t="shared" ref="H111:BS111" si="8">SUM(H7:H110)</f>
        <v>0</v>
      </c>
      <c r="I111" s="313">
        <f t="shared" si="8"/>
        <v>0</v>
      </c>
      <c r="J111" s="313">
        <f t="shared" si="8"/>
        <v>0</v>
      </c>
      <c r="K111" s="313">
        <f t="shared" si="8"/>
        <v>0</v>
      </c>
      <c r="L111" s="313">
        <f t="shared" si="8"/>
        <v>0</v>
      </c>
      <c r="M111" s="313">
        <f t="shared" si="8"/>
        <v>0</v>
      </c>
      <c r="N111" s="313">
        <f t="shared" si="8"/>
        <v>0</v>
      </c>
      <c r="O111" s="313">
        <f t="shared" si="8"/>
        <v>0</v>
      </c>
      <c r="P111" s="313">
        <f t="shared" si="8"/>
        <v>0</v>
      </c>
      <c r="Q111" s="313">
        <f t="shared" si="8"/>
        <v>0</v>
      </c>
      <c r="R111" s="313">
        <f t="shared" si="8"/>
        <v>0</v>
      </c>
      <c r="S111" s="313">
        <f t="shared" si="8"/>
        <v>0</v>
      </c>
      <c r="T111" s="313">
        <f t="shared" si="8"/>
        <v>0</v>
      </c>
      <c r="U111" s="313">
        <f t="shared" si="8"/>
        <v>0</v>
      </c>
      <c r="V111" s="313">
        <f t="shared" si="8"/>
        <v>0</v>
      </c>
      <c r="W111" s="313">
        <f t="shared" si="8"/>
        <v>0</v>
      </c>
      <c r="X111" s="313">
        <f t="shared" si="8"/>
        <v>0</v>
      </c>
      <c r="Y111" s="313">
        <f t="shared" si="8"/>
        <v>0</v>
      </c>
      <c r="Z111" s="313">
        <f t="shared" si="8"/>
        <v>0</v>
      </c>
      <c r="AA111" s="313">
        <f t="shared" si="8"/>
        <v>0</v>
      </c>
      <c r="AB111" s="313">
        <f t="shared" si="8"/>
        <v>0</v>
      </c>
      <c r="AC111" s="313">
        <f t="shared" si="8"/>
        <v>420</v>
      </c>
      <c r="AD111" s="313">
        <f t="shared" si="8"/>
        <v>0</v>
      </c>
      <c r="AE111" s="313">
        <f t="shared" si="8"/>
        <v>320</v>
      </c>
      <c r="AF111" s="313">
        <f t="shared" si="8"/>
        <v>0</v>
      </c>
      <c r="AG111" s="313">
        <f t="shared" si="8"/>
        <v>0</v>
      </c>
      <c r="AH111" s="313">
        <f t="shared" si="8"/>
        <v>0</v>
      </c>
      <c r="AI111" s="313">
        <f t="shared" si="8"/>
        <v>0</v>
      </c>
      <c r="AJ111" s="313">
        <f t="shared" si="8"/>
        <v>0</v>
      </c>
      <c r="AK111" s="313">
        <f t="shared" si="8"/>
        <v>0</v>
      </c>
      <c r="AL111" s="313">
        <f t="shared" si="8"/>
        <v>0</v>
      </c>
      <c r="AM111" s="313">
        <f t="shared" si="8"/>
        <v>1420</v>
      </c>
      <c r="AN111" s="313">
        <f t="shared" si="8"/>
        <v>0</v>
      </c>
      <c r="AO111" s="313">
        <f t="shared" si="8"/>
        <v>700</v>
      </c>
      <c r="AP111" s="313">
        <f t="shared" si="8"/>
        <v>0</v>
      </c>
      <c r="AQ111" s="313">
        <f t="shared" si="8"/>
        <v>0</v>
      </c>
      <c r="AR111" s="313">
        <f t="shared" si="8"/>
        <v>0</v>
      </c>
      <c r="AS111" s="313">
        <f t="shared" si="8"/>
        <v>0</v>
      </c>
      <c r="AT111" s="313">
        <f t="shared" si="8"/>
        <v>9300</v>
      </c>
      <c r="AU111" s="313">
        <f t="shared" si="8"/>
        <v>0</v>
      </c>
      <c r="AV111" s="313">
        <f t="shared" si="8"/>
        <v>0</v>
      </c>
      <c r="AW111" s="313">
        <f t="shared" si="8"/>
        <v>0</v>
      </c>
      <c r="AX111" s="313">
        <f t="shared" si="8"/>
        <v>0</v>
      </c>
      <c r="AY111" s="313">
        <f t="shared" si="8"/>
        <v>0</v>
      </c>
      <c r="AZ111" s="313">
        <f t="shared" si="8"/>
        <v>0</v>
      </c>
      <c r="BA111" s="313">
        <f t="shared" si="8"/>
        <v>0</v>
      </c>
      <c r="BB111" s="313">
        <f t="shared" si="8"/>
        <v>0</v>
      </c>
      <c r="BC111" s="313">
        <f t="shared" si="8"/>
        <v>0</v>
      </c>
      <c r="BD111" s="313">
        <f t="shared" si="8"/>
        <v>5200</v>
      </c>
      <c r="BE111" s="313">
        <f t="shared" si="8"/>
        <v>0</v>
      </c>
      <c r="BF111" s="313">
        <f t="shared" si="8"/>
        <v>0</v>
      </c>
      <c r="BG111" s="313">
        <f t="shared" si="8"/>
        <v>0</v>
      </c>
      <c r="BH111" s="313">
        <f t="shared" si="8"/>
        <v>0</v>
      </c>
      <c r="BI111" s="313">
        <f t="shared" si="8"/>
        <v>0</v>
      </c>
      <c r="BJ111" s="313">
        <f t="shared" si="8"/>
        <v>0</v>
      </c>
      <c r="BK111" s="313">
        <f t="shared" si="8"/>
        <v>0</v>
      </c>
      <c r="BL111" s="313">
        <f t="shared" si="8"/>
        <v>0</v>
      </c>
      <c r="BM111" s="313">
        <f t="shared" si="8"/>
        <v>0</v>
      </c>
      <c r="BN111" s="313">
        <f t="shared" si="8"/>
        <v>0</v>
      </c>
      <c r="BO111" s="313">
        <f t="shared" si="8"/>
        <v>0</v>
      </c>
      <c r="BP111" s="313">
        <f t="shared" si="8"/>
        <v>1080</v>
      </c>
      <c r="BQ111" s="313">
        <f t="shared" si="8"/>
        <v>0</v>
      </c>
      <c r="BR111" s="313">
        <f t="shared" si="8"/>
        <v>380</v>
      </c>
      <c r="BS111" s="313">
        <f t="shared" si="8"/>
        <v>4000</v>
      </c>
      <c r="BT111" s="313">
        <f t="shared" ref="BT111:EE111" si="9">SUM(BT7:BT110)</f>
        <v>1360</v>
      </c>
      <c r="BU111" s="313">
        <f t="shared" si="9"/>
        <v>40</v>
      </c>
      <c r="BV111" s="313">
        <f t="shared" si="9"/>
        <v>80</v>
      </c>
      <c r="BW111" s="313">
        <f t="shared" si="9"/>
        <v>0</v>
      </c>
      <c r="BX111" s="313">
        <f t="shared" si="9"/>
        <v>0</v>
      </c>
      <c r="BY111" s="313">
        <f t="shared" si="9"/>
        <v>0</v>
      </c>
      <c r="BZ111" s="313">
        <f t="shared" si="9"/>
        <v>0</v>
      </c>
      <c r="CA111" s="313">
        <f t="shared" si="9"/>
        <v>0</v>
      </c>
      <c r="CB111" s="313">
        <f t="shared" si="9"/>
        <v>1</v>
      </c>
      <c r="CC111" s="313">
        <f t="shared" si="9"/>
        <v>1600</v>
      </c>
      <c r="CD111" s="313">
        <f t="shared" si="9"/>
        <v>0</v>
      </c>
      <c r="CE111" s="313">
        <f t="shared" si="9"/>
        <v>0</v>
      </c>
      <c r="CF111" s="313">
        <f t="shared" si="9"/>
        <v>1630</v>
      </c>
      <c r="CG111" s="313">
        <f t="shared" si="9"/>
        <v>130</v>
      </c>
      <c r="CH111" s="313">
        <f t="shared" si="9"/>
        <v>0</v>
      </c>
      <c r="CI111" s="313">
        <f t="shared" si="9"/>
        <v>72</v>
      </c>
      <c r="CJ111" s="313">
        <f t="shared" si="9"/>
        <v>75</v>
      </c>
      <c r="CK111" s="313">
        <f t="shared" si="9"/>
        <v>320</v>
      </c>
      <c r="CL111" s="313">
        <f t="shared" si="9"/>
        <v>0</v>
      </c>
      <c r="CM111" s="313">
        <f t="shared" si="9"/>
        <v>0</v>
      </c>
      <c r="CN111" s="313">
        <f t="shared" si="9"/>
        <v>480</v>
      </c>
      <c r="CO111" s="313">
        <f t="shared" si="9"/>
        <v>0</v>
      </c>
      <c r="CP111" s="313">
        <f t="shared" si="9"/>
        <v>0</v>
      </c>
      <c r="CQ111" s="313">
        <f t="shared" si="9"/>
        <v>0</v>
      </c>
      <c r="CR111" s="313">
        <f t="shared" si="9"/>
        <v>0</v>
      </c>
      <c r="CS111" s="313">
        <f t="shared" si="9"/>
        <v>0</v>
      </c>
      <c r="CT111" s="313">
        <f t="shared" si="9"/>
        <v>0</v>
      </c>
      <c r="CU111" s="313">
        <f t="shared" si="9"/>
        <v>0</v>
      </c>
      <c r="CV111" s="313">
        <f t="shared" si="9"/>
        <v>17</v>
      </c>
      <c r="CW111" s="313">
        <f t="shared" si="9"/>
        <v>0</v>
      </c>
      <c r="CX111" s="313">
        <f t="shared" si="9"/>
        <v>0</v>
      </c>
      <c r="CY111" s="313">
        <f t="shared" si="9"/>
        <v>0</v>
      </c>
      <c r="CZ111" s="313">
        <f t="shared" si="9"/>
        <v>52</v>
      </c>
      <c r="DA111" s="313">
        <f t="shared" si="9"/>
        <v>70</v>
      </c>
      <c r="DB111" s="313">
        <f t="shared" si="9"/>
        <v>300</v>
      </c>
      <c r="DC111" s="313">
        <f t="shared" si="9"/>
        <v>0</v>
      </c>
      <c r="DD111" s="313">
        <f t="shared" si="9"/>
        <v>0</v>
      </c>
      <c r="DE111" s="313">
        <f t="shared" si="9"/>
        <v>5</v>
      </c>
      <c r="DF111" s="313">
        <f t="shared" si="9"/>
        <v>70</v>
      </c>
      <c r="DG111" s="313">
        <f t="shared" si="9"/>
        <v>0</v>
      </c>
      <c r="DH111" s="313">
        <f t="shared" si="9"/>
        <v>0</v>
      </c>
      <c r="DI111" s="313">
        <f t="shared" si="9"/>
        <v>0</v>
      </c>
      <c r="DJ111" s="313">
        <f t="shared" si="9"/>
        <v>0</v>
      </c>
      <c r="DK111" s="313">
        <f t="shared" si="9"/>
        <v>30</v>
      </c>
      <c r="DL111" s="313">
        <f t="shared" si="9"/>
        <v>0</v>
      </c>
      <c r="DM111" s="313">
        <f t="shared" si="9"/>
        <v>0</v>
      </c>
      <c r="DN111" s="313">
        <f t="shared" si="9"/>
        <v>0</v>
      </c>
      <c r="DO111" s="313">
        <f t="shared" si="9"/>
        <v>0</v>
      </c>
      <c r="DP111" s="313">
        <f t="shared" si="9"/>
        <v>0</v>
      </c>
      <c r="DQ111" s="313">
        <f t="shared" si="9"/>
        <v>0</v>
      </c>
      <c r="DR111" s="313">
        <f t="shared" si="9"/>
        <v>2900</v>
      </c>
      <c r="DS111" s="313">
        <f t="shared" si="9"/>
        <v>0</v>
      </c>
      <c r="DT111" s="313">
        <f t="shared" si="9"/>
        <v>0</v>
      </c>
      <c r="DU111" s="313">
        <f t="shared" si="9"/>
        <v>660</v>
      </c>
      <c r="DV111" s="313">
        <f t="shared" si="9"/>
        <v>0</v>
      </c>
      <c r="DW111" s="313">
        <f t="shared" si="9"/>
        <v>0</v>
      </c>
      <c r="DX111" s="313">
        <f t="shared" si="9"/>
        <v>0</v>
      </c>
      <c r="DY111" s="313">
        <f t="shared" si="9"/>
        <v>0</v>
      </c>
      <c r="DZ111" s="313">
        <f t="shared" si="9"/>
        <v>0</v>
      </c>
      <c r="EA111" s="313">
        <f t="shared" si="9"/>
        <v>0</v>
      </c>
      <c r="EB111" s="313">
        <f t="shared" si="9"/>
        <v>0</v>
      </c>
      <c r="EC111" s="313">
        <f t="shared" si="9"/>
        <v>0</v>
      </c>
      <c r="ED111" s="313">
        <f t="shared" si="9"/>
        <v>0</v>
      </c>
      <c r="EE111" s="313">
        <f t="shared" si="9"/>
        <v>0</v>
      </c>
      <c r="EF111" s="313">
        <f t="shared" ref="EF111:FF111" si="10">SUM(EF7:EF110)</f>
        <v>0</v>
      </c>
      <c r="EG111" s="313">
        <f t="shared" si="10"/>
        <v>0</v>
      </c>
      <c r="EH111" s="313">
        <f t="shared" si="10"/>
        <v>0</v>
      </c>
      <c r="EI111" s="313">
        <f t="shared" si="10"/>
        <v>0</v>
      </c>
      <c r="EJ111" s="313">
        <f t="shared" si="10"/>
        <v>0</v>
      </c>
      <c r="EK111" s="313">
        <f t="shared" si="10"/>
        <v>0</v>
      </c>
      <c r="EL111" s="313">
        <f t="shared" si="10"/>
        <v>0</v>
      </c>
      <c r="EM111" s="313">
        <f t="shared" si="10"/>
        <v>360</v>
      </c>
      <c r="EN111" s="313">
        <f t="shared" si="10"/>
        <v>0</v>
      </c>
      <c r="EO111" s="313">
        <f t="shared" si="10"/>
        <v>0</v>
      </c>
      <c r="EP111" s="313">
        <f t="shared" si="10"/>
        <v>700</v>
      </c>
      <c r="EQ111" s="313">
        <f t="shared" si="10"/>
        <v>155</v>
      </c>
      <c r="ER111" s="313">
        <f t="shared" si="10"/>
        <v>0</v>
      </c>
      <c r="ES111" s="313">
        <f t="shared" si="10"/>
        <v>2</v>
      </c>
      <c r="ET111" s="313">
        <f t="shared" si="10"/>
        <v>30</v>
      </c>
      <c r="EU111" s="313">
        <f t="shared" si="10"/>
        <v>5</v>
      </c>
      <c r="EV111" s="313">
        <f t="shared" si="10"/>
        <v>0</v>
      </c>
      <c r="EW111" s="313">
        <f t="shared" si="10"/>
        <v>0</v>
      </c>
      <c r="EX111" s="313">
        <f t="shared" si="10"/>
        <v>2</v>
      </c>
      <c r="EY111" s="313">
        <f t="shared" si="10"/>
        <v>0</v>
      </c>
      <c r="EZ111" s="313">
        <f t="shared" si="10"/>
        <v>0</v>
      </c>
      <c r="FA111" s="313">
        <f t="shared" si="10"/>
        <v>0</v>
      </c>
      <c r="FB111" s="313">
        <f t="shared" si="10"/>
        <v>0</v>
      </c>
      <c r="FC111" s="313">
        <f t="shared" si="10"/>
        <v>330</v>
      </c>
      <c r="FD111" s="313">
        <f t="shared" si="10"/>
        <v>0</v>
      </c>
      <c r="FE111" s="313">
        <f t="shared" si="10"/>
        <v>0</v>
      </c>
      <c r="FF111" s="313">
        <f t="shared" si="10"/>
        <v>0</v>
      </c>
      <c r="FG111" s="314"/>
      <c r="FH111" s="315">
        <f>SUM(H111:FF111)</f>
        <v>34296</v>
      </c>
      <c r="FI111" s="316"/>
      <c r="FJ111" s="317"/>
      <c r="FK111" s="317"/>
      <c r="FL111" s="313">
        <f>SUM(FL7:FL110)</f>
        <v>33676</v>
      </c>
      <c r="FM111" s="260"/>
    </row>
    <row r="113" spans="1:169">
      <c r="E113" s="194" t="s">
        <v>770</v>
      </c>
      <c r="AC113" s="273">
        <v>80</v>
      </c>
      <c r="AE113" s="273">
        <v>60</v>
      </c>
      <c r="AM113" s="273">
        <v>300</v>
      </c>
      <c r="AO113" s="273">
        <v>100</v>
      </c>
      <c r="AT113" s="273">
        <v>1200</v>
      </c>
      <c r="BD113" s="273">
        <v>400</v>
      </c>
      <c r="BP113" s="273">
        <v>140</v>
      </c>
      <c r="BR113" s="273">
        <v>150</v>
      </c>
      <c r="BS113" s="273">
        <v>500</v>
      </c>
      <c r="BT113" s="273">
        <v>200</v>
      </c>
      <c r="BU113" s="273">
        <v>10</v>
      </c>
      <c r="BV113" s="273">
        <v>5</v>
      </c>
      <c r="CC113" s="273">
        <v>160</v>
      </c>
      <c r="CF113" s="273">
        <v>110</v>
      </c>
      <c r="CG113" s="273">
        <v>10</v>
      </c>
      <c r="CI113" s="273">
        <v>12</v>
      </c>
      <c r="CJ113" s="273">
        <v>15</v>
      </c>
      <c r="CK113" s="273">
        <v>25</v>
      </c>
      <c r="CN113" s="273">
        <v>80</v>
      </c>
      <c r="CV113" s="273">
        <v>17</v>
      </c>
      <c r="CZ113" s="273">
        <v>8</v>
      </c>
      <c r="DA113" s="273">
        <v>10</v>
      </c>
      <c r="DB113" s="273">
        <v>40</v>
      </c>
      <c r="DF113" s="273">
        <v>14</v>
      </c>
      <c r="EM113" s="273">
        <v>20</v>
      </c>
      <c r="EP113" s="273">
        <v>120</v>
      </c>
      <c r="EQ113" s="273">
        <v>10</v>
      </c>
      <c r="FC113" s="273">
        <v>330</v>
      </c>
      <c r="FH113" s="273">
        <f t="shared" ref="FH113:FH117" si="11">SUM(H113:FF113)</f>
        <v>4126</v>
      </c>
    </row>
    <row r="114" spans="1:169">
      <c r="E114" s="194" t="s">
        <v>769</v>
      </c>
      <c r="AC114" s="273">
        <v>20</v>
      </c>
      <c r="AE114" s="273">
        <v>20</v>
      </c>
      <c r="AM114" s="273">
        <v>40</v>
      </c>
      <c r="AO114" s="273">
        <v>30</v>
      </c>
      <c r="AT114" s="273">
        <v>2200</v>
      </c>
      <c r="BD114" s="273">
        <v>1080</v>
      </c>
      <c r="BP114" s="273">
        <v>10</v>
      </c>
      <c r="BS114" s="273">
        <v>120</v>
      </c>
      <c r="BT114" s="273">
        <v>40</v>
      </c>
      <c r="BV114" s="273">
        <v>5</v>
      </c>
      <c r="CC114" s="273">
        <v>20</v>
      </c>
      <c r="CF114" s="273">
        <v>120</v>
      </c>
      <c r="CK114" s="273">
        <v>5</v>
      </c>
      <c r="DB114" s="273">
        <v>5</v>
      </c>
      <c r="DE114" s="273">
        <v>1</v>
      </c>
      <c r="EM114" s="273">
        <v>10</v>
      </c>
      <c r="EP114" s="273">
        <v>30</v>
      </c>
      <c r="EQ114" s="273">
        <v>5</v>
      </c>
      <c r="FH114" s="273">
        <f t="shared" si="11"/>
        <v>3761</v>
      </c>
    </row>
    <row r="115" spans="1:169">
      <c r="E115" s="194" t="s">
        <v>768</v>
      </c>
      <c r="AC115" s="273">
        <v>10</v>
      </c>
      <c r="AE115" s="273">
        <v>10</v>
      </c>
      <c r="AM115" s="273">
        <v>30</v>
      </c>
      <c r="AO115" s="273">
        <v>40</v>
      </c>
      <c r="AT115" s="273">
        <v>120</v>
      </c>
      <c r="BD115" s="273">
        <v>60</v>
      </c>
      <c r="BP115" s="273">
        <v>20</v>
      </c>
      <c r="BS115" s="273">
        <v>60</v>
      </c>
      <c r="BT115" s="273">
        <v>40</v>
      </c>
      <c r="BV115" s="273">
        <v>5</v>
      </c>
      <c r="CC115" s="273">
        <v>40</v>
      </c>
      <c r="CF115" s="273">
        <v>30</v>
      </c>
      <c r="CG115" s="273">
        <v>5</v>
      </c>
      <c r="CK115" s="273">
        <v>10</v>
      </c>
      <c r="DB115" s="273">
        <v>5</v>
      </c>
      <c r="DE115" s="273">
        <v>2</v>
      </c>
      <c r="EM115" s="273">
        <v>10</v>
      </c>
      <c r="EP115" s="273">
        <v>10</v>
      </c>
      <c r="FH115" s="273">
        <f t="shared" si="11"/>
        <v>507</v>
      </c>
    </row>
    <row r="116" spans="1:169">
      <c r="E116" s="194" t="s">
        <v>766</v>
      </c>
      <c r="AC116" s="273">
        <v>20</v>
      </c>
      <c r="AE116" s="273">
        <v>20</v>
      </c>
      <c r="AM116" s="273">
        <v>50</v>
      </c>
      <c r="AO116" s="273">
        <v>40</v>
      </c>
      <c r="AT116" s="273">
        <v>300</v>
      </c>
      <c r="BD116" s="273">
        <v>100</v>
      </c>
      <c r="BP116" s="273">
        <v>20</v>
      </c>
      <c r="BS116" s="273">
        <v>80</v>
      </c>
      <c r="BT116" s="273">
        <v>50</v>
      </c>
      <c r="BV116" s="273">
        <v>5</v>
      </c>
      <c r="CC116" s="273">
        <v>40</v>
      </c>
      <c r="CF116" s="273">
        <v>30</v>
      </c>
      <c r="CG116" s="273">
        <v>5</v>
      </c>
      <c r="CK116" s="273">
        <v>5</v>
      </c>
      <c r="CN116" s="273">
        <v>10</v>
      </c>
      <c r="DB116" s="273">
        <v>5</v>
      </c>
      <c r="DE116" s="273">
        <v>2</v>
      </c>
      <c r="EM116" s="273">
        <v>10</v>
      </c>
      <c r="EP116" s="273">
        <v>10</v>
      </c>
      <c r="FH116" s="273">
        <f t="shared" si="11"/>
        <v>802</v>
      </c>
    </row>
    <row r="117" spans="1:169">
      <c r="A117" s="274"/>
      <c r="B117" s="274"/>
      <c r="C117" s="274"/>
      <c r="D117" s="274"/>
      <c r="E117" s="291" t="s">
        <v>767</v>
      </c>
      <c r="F117" s="274"/>
      <c r="G117" s="274"/>
      <c r="H117" s="274"/>
      <c r="I117" s="274"/>
      <c r="J117" s="274"/>
      <c r="K117" s="274"/>
      <c r="L117" s="274"/>
      <c r="M117" s="274"/>
      <c r="N117" s="274"/>
      <c r="O117" s="274"/>
      <c r="P117" s="274"/>
      <c r="Q117" s="274"/>
      <c r="R117" s="274"/>
      <c r="S117" s="274"/>
      <c r="T117" s="274"/>
      <c r="U117" s="274"/>
      <c r="V117" s="274"/>
      <c r="W117" s="274"/>
      <c r="X117" s="274"/>
      <c r="Y117" s="274"/>
      <c r="Z117" s="274"/>
      <c r="AA117" s="274"/>
      <c r="AB117" s="274"/>
      <c r="AC117" s="274">
        <v>20</v>
      </c>
      <c r="AD117" s="274"/>
      <c r="AE117" s="274">
        <v>10</v>
      </c>
      <c r="AF117" s="274"/>
      <c r="AG117" s="274"/>
      <c r="AH117" s="274"/>
      <c r="AI117" s="274"/>
      <c r="AJ117" s="274"/>
      <c r="AK117" s="274"/>
      <c r="AL117" s="274"/>
      <c r="AM117" s="274">
        <v>30</v>
      </c>
      <c r="AN117" s="274"/>
      <c r="AO117" s="274">
        <v>30</v>
      </c>
      <c r="AP117" s="274"/>
      <c r="AQ117" s="274"/>
      <c r="AR117" s="274"/>
      <c r="AS117" s="274"/>
      <c r="AT117" s="274">
        <v>120</v>
      </c>
      <c r="AU117" s="274"/>
      <c r="AV117" s="274"/>
      <c r="AW117" s="274"/>
      <c r="AX117" s="274"/>
      <c r="AY117" s="274"/>
      <c r="AZ117" s="274"/>
      <c r="BA117" s="274"/>
      <c r="BB117" s="274"/>
      <c r="BC117" s="274"/>
      <c r="BD117" s="274">
        <v>60</v>
      </c>
      <c r="BE117" s="274"/>
      <c r="BF117" s="274"/>
      <c r="BG117" s="274"/>
      <c r="BH117" s="274"/>
      <c r="BI117" s="274"/>
      <c r="BJ117" s="274"/>
      <c r="BK117" s="274"/>
      <c r="BL117" s="274"/>
      <c r="BM117" s="274"/>
      <c r="BN117" s="274"/>
      <c r="BO117" s="274"/>
      <c r="BP117" s="274">
        <v>10</v>
      </c>
      <c r="BQ117" s="274"/>
      <c r="BR117" s="274"/>
      <c r="BS117" s="274">
        <v>40</v>
      </c>
      <c r="BT117" s="274">
        <v>20</v>
      </c>
      <c r="BU117" s="274"/>
      <c r="BV117" s="274"/>
      <c r="BW117" s="274"/>
      <c r="BX117" s="274"/>
      <c r="BY117" s="274"/>
      <c r="BZ117" s="274"/>
      <c r="CA117" s="274"/>
      <c r="CB117" s="274">
        <v>1</v>
      </c>
      <c r="CC117" s="274">
        <v>20</v>
      </c>
      <c r="CD117" s="274"/>
      <c r="CE117" s="274"/>
      <c r="CF117" s="274">
        <v>10</v>
      </c>
      <c r="CG117" s="274"/>
      <c r="CH117" s="274"/>
      <c r="CI117" s="274"/>
      <c r="CJ117" s="274"/>
      <c r="CK117" s="274">
        <v>5</v>
      </c>
      <c r="CL117" s="274"/>
      <c r="CM117" s="274"/>
      <c r="CN117" s="274">
        <v>10</v>
      </c>
      <c r="CO117" s="274"/>
      <c r="CP117" s="274"/>
      <c r="CQ117" s="274"/>
      <c r="CR117" s="274"/>
      <c r="CS117" s="274"/>
      <c r="CT117" s="274"/>
      <c r="CU117" s="274"/>
      <c r="CV117" s="274"/>
      <c r="CW117" s="274"/>
      <c r="CX117" s="274"/>
      <c r="CY117" s="274"/>
      <c r="CZ117" s="274"/>
      <c r="DA117" s="274"/>
      <c r="DB117" s="274">
        <v>5</v>
      </c>
      <c r="DC117" s="274"/>
      <c r="DD117" s="274"/>
      <c r="DE117" s="274"/>
      <c r="DF117" s="274"/>
      <c r="DG117" s="274"/>
      <c r="DH117" s="274"/>
      <c r="DI117" s="274"/>
      <c r="DJ117" s="274"/>
      <c r="DK117" s="274"/>
      <c r="DL117" s="274"/>
      <c r="DM117" s="274"/>
      <c r="DN117" s="274"/>
      <c r="DO117" s="274"/>
      <c r="DP117" s="274"/>
      <c r="DQ117" s="274"/>
      <c r="DR117" s="274"/>
      <c r="DS117" s="274"/>
      <c r="DT117" s="274"/>
      <c r="DU117" s="274"/>
      <c r="DV117" s="274"/>
      <c r="DW117" s="274"/>
      <c r="DX117" s="274"/>
      <c r="DY117" s="274"/>
      <c r="DZ117" s="274"/>
      <c r="EA117" s="274"/>
      <c r="EB117" s="274"/>
      <c r="EC117" s="274"/>
      <c r="ED117" s="274"/>
      <c r="EE117" s="274"/>
      <c r="EF117" s="274"/>
      <c r="EG117" s="274"/>
      <c r="EH117" s="274"/>
      <c r="EI117" s="274"/>
      <c r="EJ117" s="274"/>
      <c r="EK117" s="274"/>
      <c r="EL117" s="274"/>
      <c r="EM117" s="274">
        <v>10</v>
      </c>
      <c r="EN117" s="274"/>
      <c r="EO117" s="274"/>
      <c r="EP117" s="274">
        <v>10</v>
      </c>
      <c r="EQ117" s="274">
        <v>5</v>
      </c>
      <c r="ER117" s="274"/>
      <c r="ES117" s="274"/>
      <c r="ET117" s="274"/>
      <c r="EU117" s="274"/>
      <c r="EV117" s="274"/>
      <c r="EW117" s="274"/>
      <c r="EX117" s="274"/>
      <c r="EY117" s="274"/>
      <c r="EZ117" s="274"/>
      <c r="FA117" s="274"/>
      <c r="FB117" s="274"/>
      <c r="FC117" s="274"/>
      <c r="FD117" s="274"/>
      <c r="FE117" s="274"/>
      <c r="FF117" s="274"/>
      <c r="FG117" s="274"/>
      <c r="FH117" s="274">
        <f t="shared" si="11"/>
        <v>416</v>
      </c>
      <c r="FI117" s="274"/>
      <c r="FJ117" s="274"/>
      <c r="FK117" s="274"/>
      <c r="FL117" s="274"/>
      <c r="FM117" s="274"/>
    </row>
    <row r="118" spans="1:169">
      <c r="E118" s="318" t="s">
        <v>771</v>
      </c>
      <c r="AC118" s="273">
        <f>SUBTOTAL(9,AC113:AC117)</f>
        <v>150</v>
      </c>
      <c r="AE118" s="273">
        <f>SUBTOTAL(9,AE113:AE117)</f>
        <v>120</v>
      </c>
      <c r="AM118" s="273">
        <f>SUBTOTAL(9,AM113:AM117)</f>
        <v>450</v>
      </c>
      <c r="AO118" s="273">
        <f>SUBTOTAL(9,AO113:AO117)</f>
        <v>240</v>
      </c>
      <c r="AT118" s="273">
        <f>SUBTOTAL(9,AT113:AT117)</f>
        <v>3940</v>
      </c>
      <c r="BD118" s="273">
        <f>SUBTOTAL(9,BD113:BD117)</f>
        <v>1700</v>
      </c>
      <c r="BP118" s="273">
        <f>SUBTOTAL(9,BP113:BP117)</f>
        <v>200</v>
      </c>
      <c r="BR118" s="273">
        <f>SUBTOTAL(9,BR113:BR117)</f>
        <v>150</v>
      </c>
      <c r="BS118" s="273">
        <f>SUBTOTAL(9,BS113:BS117)</f>
        <v>800</v>
      </c>
      <c r="BT118" s="273">
        <f>SUBTOTAL(9,BT113:BT117)</f>
        <v>350</v>
      </c>
      <c r="BU118" s="273">
        <f>SUBTOTAL(9,BU113:BU117)</f>
        <v>10</v>
      </c>
      <c r="BV118" s="273">
        <f>SUBTOTAL(9,BV113:BV117)</f>
        <v>20</v>
      </c>
      <c r="CB118" s="273">
        <f>SUBTOTAL(9,CB113:CB117)</f>
        <v>1</v>
      </c>
      <c r="CC118" s="273">
        <f>SUBTOTAL(9,CC113:CC117)</f>
        <v>280</v>
      </c>
      <c r="CF118" s="273">
        <f>SUBTOTAL(9,CF113:CF117)</f>
        <v>300</v>
      </c>
      <c r="CG118" s="273">
        <f>SUBTOTAL(9,CG113:CG117)</f>
        <v>20</v>
      </c>
      <c r="CI118" s="273">
        <f>SUBTOTAL(9,CI113:CI117)</f>
        <v>12</v>
      </c>
      <c r="CJ118" s="273">
        <f>SUBTOTAL(9,CJ113:CJ117)</f>
        <v>15</v>
      </c>
      <c r="CK118" s="273">
        <f>SUBTOTAL(9,CK113:CK117)</f>
        <v>50</v>
      </c>
      <c r="CN118" s="273">
        <f>SUBTOTAL(9,CN113:CN117)</f>
        <v>100</v>
      </c>
      <c r="CV118" s="273">
        <f>SUBTOTAL(9,CV113:CV117)</f>
        <v>17</v>
      </c>
      <c r="CZ118" s="273">
        <f>SUBTOTAL(9,CZ113:CZ117)</f>
        <v>8</v>
      </c>
      <c r="DA118" s="273">
        <f t="shared" ref="DA118:DB118" si="12">SUBTOTAL(9,DA113:DA117)</f>
        <v>10</v>
      </c>
      <c r="DB118" s="273">
        <f t="shared" si="12"/>
        <v>60</v>
      </c>
      <c r="DE118" s="273">
        <f t="shared" ref="DE118" si="13">SUBTOTAL(9,DE113:DE117)</f>
        <v>5</v>
      </c>
      <c r="DF118" s="273">
        <f>SUBTOTAL(9,DF113:DF117)</f>
        <v>14</v>
      </c>
      <c r="EM118" s="273">
        <f t="shared" ref="EM118" si="14">SUBTOTAL(9,EM113:EM117)</f>
        <v>60</v>
      </c>
      <c r="EP118" s="273">
        <f t="shared" ref="EP118:EQ118" si="15">SUBTOTAL(9,EP113:EP117)</f>
        <v>180</v>
      </c>
      <c r="EQ118" s="273">
        <f t="shared" si="15"/>
        <v>20</v>
      </c>
      <c r="FC118" s="273">
        <f t="shared" ref="FC118" si="16">SUBTOTAL(9,FC113:FC117)</f>
        <v>330</v>
      </c>
      <c r="FH118" s="273">
        <f>SUM(H118:FF118)</f>
        <v>9612</v>
      </c>
    </row>
  </sheetData>
  <autoFilter ref="A6:FM111">
    <filterColumn colId="2">
      <filters blank="1">
        <filter val="UA1J"/>
        <filter val="UA1K"/>
      </filters>
    </filterColumn>
  </autoFilter>
  <phoneticPr fontId="1" type="noConversion"/>
  <conditionalFormatting sqref="F111 F5:F6">
    <cfRule type="cellIs" dxfId="1607" priority="258" stopIfTrue="1" operator="equal">
      <formula>"E7"</formula>
    </cfRule>
    <cfRule type="cellIs" dxfId="1606" priority="259" stopIfTrue="1" operator="equal">
      <formula>"E7A"</formula>
    </cfRule>
  </conditionalFormatting>
  <conditionalFormatting sqref="F110">
    <cfRule type="cellIs" dxfId="1605" priority="256" stopIfTrue="1" operator="equal">
      <formula>"E7"</formula>
    </cfRule>
    <cfRule type="cellIs" dxfId="1604" priority="257" stopIfTrue="1" operator="equal">
      <formula>"E7A"</formula>
    </cfRule>
  </conditionalFormatting>
  <conditionalFormatting sqref="F7">
    <cfRule type="cellIs" dxfId="1603" priority="254" stopIfTrue="1" operator="equal">
      <formula>"E7"</formula>
    </cfRule>
    <cfRule type="cellIs" dxfId="1602" priority="255" stopIfTrue="1" operator="equal">
      <formula>"E7A"</formula>
    </cfRule>
  </conditionalFormatting>
  <conditionalFormatting sqref="F8">
    <cfRule type="cellIs" dxfId="1601" priority="252" stopIfTrue="1" operator="equal">
      <formula>"E7"</formula>
    </cfRule>
    <cfRule type="cellIs" dxfId="1600" priority="253" stopIfTrue="1" operator="equal">
      <formula>"E7A"</formula>
    </cfRule>
  </conditionalFormatting>
  <conditionalFormatting sqref="F80">
    <cfRule type="cellIs" dxfId="1599" priority="250" stopIfTrue="1" operator="equal">
      <formula>"E7"</formula>
    </cfRule>
    <cfRule type="cellIs" dxfId="1598" priority="251" stopIfTrue="1" operator="equal">
      <formula>"E7A"</formula>
    </cfRule>
  </conditionalFormatting>
  <conditionalFormatting sqref="F9">
    <cfRule type="cellIs" dxfId="1597" priority="246" stopIfTrue="1" operator="equal">
      <formula>"E7"</formula>
    </cfRule>
    <cfRule type="cellIs" dxfId="1596" priority="247" stopIfTrue="1" operator="equal">
      <formula>"E7A"</formula>
    </cfRule>
  </conditionalFormatting>
  <conditionalFormatting sqref="F79">
    <cfRule type="cellIs" dxfId="1595" priority="248" stopIfTrue="1" operator="equal">
      <formula>"E7"</formula>
    </cfRule>
    <cfRule type="cellIs" dxfId="1594" priority="249" stopIfTrue="1" operator="equal">
      <formula>"E7A"</formula>
    </cfRule>
  </conditionalFormatting>
  <conditionalFormatting sqref="F78">
    <cfRule type="cellIs" dxfId="1593" priority="244" stopIfTrue="1" operator="equal">
      <formula>"E7"</formula>
    </cfRule>
    <cfRule type="cellIs" dxfId="1592" priority="245" stopIfTrue="1" operator="equal">
      <formula>"E7A"</formula>
    </cfRule>
  </conditionalFormatting>
  <conditionalFormatting sqref="F81">
    <cfRule type="cellIs" dxfId="1591" priority="242" stopIfTrue="1" operator="equal">
      <formula>"E7"</formula>
    </cfRule>
    <cfRule type="cellIs" dxfId="1590" priority="243" stopIfTrue="1" operator="equal">
      <formula>"E7A"</formula>
    </cfRule>
  </conditionalFormatting>
  <conditionalFormatting sqref="F109">
    <cfRule type="cellIs" dxfId="1589" priority="240" stopIfTrue="1" operator="equal">
      <formula>"E7"</formula>
    </cfRule>
    <cfRule type="cellIs" dxfId="1588" priority="241" stopIfTrue="1" operator="equal">
      <formula>"E7A"</formula>
    </cfRule>
  </conditionalFormatting>
  <conditionalFormatting sqref="B7 B90 B105:B110">
    <cfRule type="expression" dxfId="1587" priority="239">
      <formula>$B7="A"</formula>
    </cfRule>
  </conditionalFormatting>
  <conditionalFormatting sqref="B8:B9 B78:B81">
    <cfRule type="expression" dxfId="1586" priority="238">
      <formula>$B8="A"</formula>
    </cfRule>
  </conditionalFormatting>
  <conditionalFormatting sqref="H6 AT6:FF6">
    <cfRule type="expression" dxfId="1585" priority="200">
      <formula>H277=0</formula>
    </cfRule>
  </conditionalFormatting>
  <conditionalFormatting sqref="F90">
    <cfRule type="cellIs" dxfId="1584" priority="236" stopIfTrue="1" operator="equal">
      <formula>"E7"</formula>
    </cfRule>
    <cfRule type="cellIs" dxfId="1583" priority="237" stopIfTrue="1" operator="equal">
      <formula>"E7A"</formula>
    </cfRule>
  </conditionalFormatting>
  <conditionalFormatting sqref="F105">
    <cfRule type="cellIs" dxfId="1582" priority="234" stopIfTrue="1" operator="equal">
      <formula>"E7"</formula>
    </cfRule>
    <cfRule type="cellIs" dxfId="1581" priority="235" stopIfTrue="1" operator="equal">
      <formula>"E7A"</formula>
    </cfRule>
  </conditionalFormatting>
  <conditionalFormatting sqref="F106">
    <cfRule type="cellIs" dxfId="1580" priority="232" stopIfTrue="1" operator="equal">
      <formula>"E7"</formula>
    </cfRule>
    <cfRule type="cellIs" dxfId="1579" priority="233" stopIfTrue="1" operator="equal">
      <formula>"E7A"</formula>
    </cfRule>
  </conditionalFormatting>
  <conditionalFormatting sqref="F107:F108">
    <cfRule type="cellIs" dxfId="1578" priority="230" stopIfTrue="1" operator="equal">
      <formula>"E7"</formula>
    </cfRule>
    <cfRule type="cellIs" dxfId="1577" priority="231" stopIfTrue="1" operator="equal">
      <formula>"E7A"</formula>
    </cfRule>
  </conditionalFormatting>
  <conditionalFormatting sqref="F102">
    <cfRule type="cellIs" dxfId="1576" priority="228" stopIfTrue="1" operator="equal">
      <formula>"E7"</formula>
    </cfRule>
    <cfRule type="cellIs" dxfId="1575" priority="229" stopIfTrue="1" operator="equal">
      <formula>"E7A"</formula>
    </cfRule>
  </conditionalFormatting>
  <conditionalFormatting sqref="F103">
    <cfRule type="cellIs" dxfId="1574" priority="226" stopIfTrue="1" operator="equal">
      <formula>"E7"</formula>
    </cfRule>
    <cfRule type="cellIs" dxfId="1573" priority="227" stopIfTrue="1" operator="equal">
      <formula>"E7A"</formula>
    </cfRule>
  </conditionalFormatting>
  <conditionalFormatting sqref="F104">
    <cfRule type="cellIs" dxfId="1572" priority="224" stopIfTrue="1" operator="equal">
      <formula>"E7"</formula>
    </cfRule>
    <cfRule type="cellIs" dxfId="1571" priority="225" stopIfTrue="1" operator="equal">
      <formula>"E7A"</formula>
    </cfRule>
  </conditionalFormatting>
  <conditionalFormatting sqref="B92:B94 B102:B104">
    <cfRule type="expression" dxfId="1570" priority="223">
      <formula>$B92="A"</formula>
    </cfRule>
  </conditionalFormatting>
  <conditionalFormatting sqref="F92">
    <cfRule type="cellIs" dxfId="1569" priority="221" stopIfTrue="1" operator="equal">
      <formula>"E7"</formula>
    </cfRule>
    <cfRule type="cellIs" dxfId="1568" priority="222" stopIfTrue="1" operator="equal">
      <formula>"E7A"</formula>
    </cfRule>
  </conditionalFormatting>
  <conditionalFormatting sqref="F93">
    <cfRule type="cellIs" dxfId="1567" priority="219" stopIfTrue="1" operator="equal">
      <formula>"E7"</formula>
    </cfRule>
    <cfRule type="cellIs" dxfId="1566" priority="220" stopIfTrue="1" operator="equal">
      <formula>"E7A"</formula>
    </cfRule>
  </conditionalFormatting>
  <conditionalFormatting sqref="F94">
    <cfRule type="cellIs" dxfId="1565" priority="217" stopIfTrue="1" operator="equal">
      <formula>"E7"</formula>
    </cfRule>
    <cfRule type="cellIs" dxfId="1564" priority="218" stopIfTrue="1" operator="equal">
      <formula>"E7A"</formula>
    </cfRule>
  </conditionalFormatting>
  <conditionalFormatting sqref="B83">
    <cfRule type="expression" dxfId="1563" priority="216">
      <formula>$B83="A"</formula>
    </cfRule>
  </conditionalFormatting>
  <conditionalFormatting sqref="F83">
    <cfRule type="cellIs" dxfId="1562" priority="214" stopIfTrue="1" operator="equal">
      <formula>"E7"</formula>
    </cfRule>
    <cfRule type="cellIs" dxfId="1561" priority="215" stopIfTrue="1" operator="equal">
      <formula>"E7A"</formula>
    </cfRule>
  </conditionalFormatting>
  <conditionalFormatting sqref="F87">
    <cfRule type="cellIs" dxfId="1560" priority="212" stopIfTrue="1" operator="equal">
      <formula>"E7"</formula>
    </cfRule>
    <cfRule type="cellIs" dxfId="1559" priority="213" stopIfTrue="1" operator="equal">
      <formula>"E7A"</formula>
    </cfRule>
  </conditionalFormatting>
  <conditionalFormatting sqref="F88">
    <cfRule type="cellIs" dxfId="1558" priority="210" stopIfTrue="1" operator="equal">
      <formula>"E7"</formula>
    </cfRule>
    <cfRule type="cellIs" dxfId="1557" priority="211" stopIfTrue="1" operator="equal">
      <formula>"E7A"</formula>
    </cfRule>
  </conditionalFormatting>
  <conditionalFormatting sqref="F89">
    <cfRule type="cellIs" dxfId="1556" priority="208" stopIfTrue="1" operator="equal">
      <formula>"E7"</formula>
    </cfRule>
    <cfRule type="cellIs" dxfId="1555" priority="209" stopIfTrue="1" operator="equal">
      <formula>"E7A"</formula>
    </cfRule>
  </conditionalFormatting>
  <conditionalFormatting sqref="B84:B89">
    <cfRule type="expression" dxfId="1554" priority="207">
      <formula>$B84="A"</formula>
    </cfRule>
  </conditionalFormatting>
  <conditionalFormatting sqref="F84">
    <cfRule type="cellIs" dxfId="1553" priority="205" stopIfTrue="1" operator="equal">
      <formula>"E7"</formula>
    </cfRule>
    <cfRule type="cellIs" dxfId="1552" priority="206" stopIfTrue="1" operator="equal">
      <formula>"E7A"</formula>
    </cfRule>
  </conditionalFormatting>
  <conditionalFormatting sqref="F85">
    <cfRule type="cellIs" dxfId="1551" priority="203" stopIfTrue="1" operator="equal">
      <formula>"E7"</formula>
    </cfRule>
    <cfRule type="cellIs" dxfId="1550" priority="204" stopIfTrue="1" operator="equal">
      <formula>"E7A"</formula>
    </cfRule>
  </conditionalFormatting>
  <conditionalFormatting sqref="F86">
    <cfRule type="cellIs" dxfId="1549" priority="201" stopIfTrue="1" operator="equal">
      <formula>"E7"</formula>
    </cfRule>
    <cfRule type="cellIs" dxfId="1548" priority="202" stopIfTrue="1" operator="equal">
      <formula>"E7A"</formula>
    </cfRule>
  </conditionalFormatting>
  <conditionalFormatting sqref="I6:L6">
    <cfRule type="expression" dxfId="1547" priority="199">
      <formula>I277=0</formula>
    </cfRule>
  </conditionalFormatting>
  <conditionalFormatting sqref="I1:K1">
    <cfRule type="duplicateValues" dxfId="1546" priority="198"/>
  </conditionalFormatting>
  <conditionalFormatting sqref="AV1">
    <cfRule type="duplicateValues" dxfId="1545" priority="197"/>
  </conditionalFormatting>
  <conditionalFormatting sqref="F12">
    <cfRule type="cellIs" dxfId="1544" priority="195" stopIfTrue="1" operator="equal">
      <formula>"E7"</formula>
    </cfRule>
    <cfRule type="cellIs" dxfId="1543" priority="196" stopIfTrue="1" operator="equal">
      <formula>"E7A"</formula>
    </cfRule>
  </conditionalFormatting>
  <conditionalFormatting sqref="F11">
    <cfRule type="cellIs" dxfId="1542" priority="193" stopIfTrue="1" operator="equal">
      <formula>"E7"</formula>
    </cfRule>
    <cfRule type="cellIs" dxfId="1541" priority="194" stopIfTrue="1" operator="equal">
      <formula>"E7A"</formula>
    </cfRule>
  </conditionalFormatting>
  <conditionalFormatting sqref="F10">
    <cfRule type="cellIs" dxfId="1540" priority="191" stopIfTrue="1" operator="equal">
      <formula>"E7"</formula>
    </cfRule>
    <cfRule type="cellIs" dxfId="1539" priority="192" stopIfTrue="1" operator="equal">
      <formula>"E7A"</formula>
    </cfRule>
  </conditionalFormatting>
  <conditionalFormatting sqref="F71">
    <cfRule type="cellIs" dxfId="1538" priority="189" stopIfTrue="1" operator="equal">
      <formula>"E7"</formula>
    </cfRule>
    <cfRule type="cellIs" dxfId="1537" priority="190" stopIfTrue="1" operator="equal">
      <formula>"E7A"</formula>
    </cfRule>
  </conditionalFormatting>
  <conditionalFormatting sqref="B10:B12 B71">
    <cfRule type="expression" dxfId="1536" priority="188">
      <formula>$B10="A"</formula>
    </cfRule>
  </conditionalFormatting>
  <conditionalFormatting sqref="B72">
    <cfRule type="expression" dxfId="1535" priority="187">
      <formula>$B72="A"</formula>
    </cfRule>
  </conditionalFormatting>
  <conditionalFormatting sqref="F72">
    <cfRule type="cellIs" dxfId="1534" priority="185" stopIfTrue="1" operator="equal">
      <formula>"E7"</formula>
    </cfRule>
    <cfRule type="cellIs" dxfId="1533" priority="186" stopIfTrue="1" operator="equal">
      <formula>"E7A"</formula>
    </cfRule>
  </conditionalFormatting>
  <conditionalFormatting sqref="F76">
    <cfRule type="cellIs" dxfId="1532" priority="183" stopIfTrue="1" operator="equal">
      <formula>"E7"</formula>
    </cfRule>
    <cfRule type="cellIs" dxfId="1531" priority="184" stopIfTrue="1" operator="equal">
      <formula>"E7A"</formula>
    </cfRule>
  </conditionalFormatting>
  <conditionalFormatting sqref="F77">
    <cfRule type="cellIs" dxfId="1530" priority="181" stopIfTrue="1" operator="equal">
      <formula>"E7"</formula>
    </cfRule>
    <cfRule type="cellIs" dxfId="1529" priority="182" stopIfTrue="1" operator="equal">
      <formula>"E7A"</formula>
    </cfRule>
  </conditionalFormatting>
  <conditionalFormatting sqref="B73:B77">
    <cfRule type="expression" dxfId="1528" priority="180">
      <formula>$B73="A"</formula>
    </cfRule>
  </conditionalFormatting>
  <conditionalFormatting sqref="F73">
    <cfRule type="cellIs" dxfId="1527" priority="178" stopIfTrue="1" operator="equal">
      <formula>"E7"</formula>
    </cfRule>
    <cfRule type="cellIs" dxfId="1526" priority="179" stopIfTrue="1" operator="equal">
      <formula>"E7A"</formula>
    </cfRule>
  </conditionalFormatting>
  <conditionalFormatting sqref="F74">
    <cfRule type="cellIs" dxfId="1525" priority="176" stopIfTrue="1" operator="equal">
      <formula>"E7"</formula>
    </cfRule>
    <cfRule type="cellIs" dxfId="1524" priority="177" stopIfTrue="1" operator="equal">
      <formula>"E7A"</formula>
    </cfRule>
  </conditionalFormatting>
  <conditionalFormatting sqref="F75">
    <cfRule type="cellIs" dxfId="1523" priority="174" stopIfTrue="1" operator="equal">
      <formula>"E7"</formula>
    </cfRule>
    <cfRule type="cellIs" dxfId="1522" priority="175" stopIfTrue="1" operator="equal">
      <formula>"E7A"</formula>
    </cfRule>
  </conditionalFormatting>
  <conditionalFormatting sqref="H4">
    <cfRule type="duplicateValues" dxfId="1521" priority="173"/>
  </conditionalFormatting>
  <conditionalFormatting sqref="AI6:AS6">
    <cfRule type="expression" dxfId="1520" priority="172">
      <formula>AI277=0</formula>
    </cfRule>
  </conditionalFormatting>
  <conditionalFormatting sqref="AI1:AS1">
    <cfRule type="duplicateValues" dxfId="1519" priority="171"/>
  </conditionalFormatting>
  <conditionalFormatting sqref="AK1">
    <cfRule type="duplicateValues" dxfId="1518" priority="170"/>
  </conditionalFormatting>
  <conditionalFormatting sqref="AI4:AS4">
    <cfRule type="duplicateValues" dxfId="1517" priority="169"/>
  </conditionalFormatting>
  <conditionalFormatting sqref="X6:AH6">
    <cfRule type="expression" dxfId="1516" priority="168">
      <formula>X277=0</formula>
    </cfRule>
  </conditionalFormatting>
  <conditionalFormatting sqref="X1:AH1">
    <cfRule type="duplicateValues" dxfId="1515" priority="167"/>
  </conditionalFormatting>
  <conditionalFormatting sqref="Z1">
    <cfRule type="duplicateValues" dxfId="1514" priority="166"/>
  </conditionalFormatting>
  <conditionalFormatting sqref="X4:AH4">
    <cfRule type="duplicateValues" dxfId="1513" priority="165"/>
  </conditionalFormatting>
  <conditionalFormatting sqref="M6:W6">
    <cfRule type="expression" dxfId="1512" priority="164">
      <formula>M277=0</formula>
    </cfRule>
  </conditionalFormatting>
  <conditionalFormatting sqref="M1:W1">
    <cfRule type="duplicateValues" dxfId="1511" priority="163"/>
  </conditionalFormatting>
  <conditionalFormatting sqref="O1">
    <cfRule type="duplicateValues" dxfId="1510" priority="162"/>
  </conditionalFormatting>
  <conditionalFormatting sqref="M4:W4">
    <cfRule type="duplicateValues" dxfId="1509" priority="161"/>
  </conditionalFormatting>
  <conditionalFormatting sqref="F61">
    <cfRule type="cellIs" dxfId="1508" priority="159" stopIfTrue="1" operator="equal">
      <formula>"E7"</formula>
    </cfRule>
    <cfRule type="cellIs" dxfId="1507" priority="160" stopIfTrue="1" operator="equal">
      <formula>"E7A"</formula>
    </cfRule>
  </conditionalFormatting>
  <conditionalFormatting sqref="F60">
    <cfRule type="cellIs" dxfId="1506" priority="157" stopIfTrue="1" operator="equal">
      <formula>"E7"</formula>
    </cfRule>
    <cfRule type="cellIs" dxfId="1505" priority="158" stopIfTrue="1" operator="equal">
      <formula>"E7A"</formula>
    </cfRule>
  </conditionalFormatting>
  <conditionalFormatting sqref="F59">
    <cfRule type="cellIs" dxfId="1504" priority="155" stopIfTrue="1" operator="equal">
      <formula>"E7"</formula>
    </cfRule>
    <cfRule type="cellIs" dxfId="1503" priority="156" stopIfTrue="1" operator="equal">
      <formula>"E7A"</formula>
    </cfRule>
  </conditionalFormatting>
  <conditionalFormatting sqref="F62">
    <cfRule type="cellIs" dxfId="1502" priority="153" stopIfTrue="1" operator="equal">
      <formula>"E7"</formula>
    </cfRule>
    <cfRule type="cellIs" dxfId="1501" priority="154" stopIfTrue="1" operator="equal">
      <formula>"E7A"</formula>
    </cfRule>
  </conditionalFormatting>
  <conditionalFormatting sqref="B70">
    <cfRule type="expression" dxfId="1500" priority="152">
      <formula>$B70="A"</formula>
    </cfRule>
  </conditionalFormatting>
  <conditionalFormatting sqref="B59:B62">
    <cfRule type="expression" dxfId="1499" priority="151">
      <formula>$B59="A"</formula>
    </cfRule>
  </conditionalFormatting>
  <conditionalFormatting sqref="F70">
    <cfRule type="cellIs" dxfId="1498" priority="149" stopIfTrue="1" operator="equal">
      <formula>"E7"</formula>
    </cfRule>
    <cfRule type="cellIs" dxfId="1497" priority="150" stopIfTrue="1" operator="equal">
      <formula>"E7A"</formula>
    </cfRule>
  </conditionalFormatting>
  <conditionalFormatting sqref="B63">
    <cfRule type="expression" dxfId="1496" priority="148">
      <formula>$B63="A"</formula>
    </cfRule>
  </conditionalFormatting>
  <conditionalFormatting sqref="F63">
    <cfRule type="cellIs" dxfId="1495" priority="146" stopIfTrue="1" operator="equal">
      <formula>"E7"</formula>
    </cfRule>
    <cfRule type="cellIs" dxfId="1494" priority="147" stopIfTrue="1" operator="equal">
      <formula>"E7A"</formula>
    </cfRule>
  </conditionalFormatting>
  <conditionalFormatting sqref="F67">
    <cfRule type="cellIs" dxfId="1493" priority="144" stopIfTrue="1" operator="equal">
      <formula>"E7"</formula>
    </cfRule>
    <cfRule type="cellIs" dxfId="1492" priority="145" stopIfTrue="1" operator="equal">
      <formula>"E7A"</formula>
    </cfRule>
  </conditionalFormatting>
  <conditionalFormatting sqref="F68">
    <cfRule type="cellIs" dxfId="1491" priority="142" stopIfTrue="1" operator="equal">
      <formula>"E7"</formula>
    </cfRule>
    <cfRule type="cellIs" dxfId="1490" priority="143" stopIfTrue="1" operator="equal">
      <formula>"E7A"</formula>
    </cfRule>
  </conditionalFormatting>
  <conditionalFormatting sqref="F69">
    <cfRule type="cellIs" dxfId="1489" priority="140" stopIfTrue="1" operator="equal">
      <formula>"E7"</formula>
    </cfRule>
    <cfRule type="cellIs" dxfId="1488" priority="141" stopIfTrue="1" operator="equal">
      <formula>"E7A"</formula>
    </cfRule>
  </conditionalFormatting>
  <conditionalFormatting sqref="B64:B69">
    <cfRule type="expression" dxfId="1487" priority="139">
      <formula>$B64="A"</formula>
    </cfRule>
  </conditionalFormatting>
  <conditionalFormatting sqref="F64">
    <cfRule type="cellIs" dxfId="1486" priority="137" stopIfTrue="1" operator="equal">
      <formula>"E7"</formula>
    </cfRule>
    <cfRule type="cellIs" dxfId="1485" priority="138" stopIfTrue="1" operator="equal">
      <formula>"E7A"</formula>
    </cfRule>
  </conditionalFormatting>
  <conditionalFormatting sqref="F65">
    <cfRule type="cellIs" dxfId="1484" priority="135" stopIfTrue="1" operator="equal">
      <formula>"E7"</formula>
    </cfRule>
    <cfRule type="cellIs" dxfId="1483" priority="136" stopIfTrue="1" operator="equal">
      <formula>"E7A"</formula>
    </cfRule>
  </conditionalFormatting>
  <conditionalFormatting sqref="F66">
    <cfRule type="cellIs" dxfId="1482" priority="133" stopIfTrue="1" operator="equal">
      <formula>"E7"</formula>
    </cfRule>
    <cfRule type="cellIs" dxfId="1481" priority="134" stopIfTrue="1" operator="equal">
      <formula>"E7A"</formula>
    </cfRule>
  </conditionalFormatting>
  <conditionalFormatting sqref="F52">
    <cfRule type="cellIs" dxfId="1480" priority="131" stopIfTrue="1" operator="equal">
      <formula>"E7"</formula>
    </cfRule>
    <cfRule type="cellIs" dxfId="1479" priority="132" stopIfTrue="1" operator="equal">
      <formula>"E7A"</formula>
    </cfRule>
  </conditionalFormatting>
  <conditionalFormatting sqref="B52">
    <cfRule type="expression" dxfId="1478" priority="130">
      <formula>$B52="A"</formula>
    </cfRule>
  </conditionalFormatting>
  <conditionalFormatting sqref="B53">
    <cfRule type="expression" dxfId="1477" priority="129">
      <formula>$B53="A"</formula>
    </cfRule>
  </conditionalFormatting>
  <conditionalFormatting sqref="F53">
    <cfRule type="cellIs" dxfId="1476" priority="127" stopIfTrue="1" operator="equal">
      <formula>"E7"</formula>
    </cfRule>
    <cfRule type="cellIs" dxfId="1475" priority="128" stopIfTrue="1" operator="equal">
      <formula>"E7A"</formula>
    </cfRule>
  </conditionalFormatting>
  <conditionalFormatting sqref="F57">
    <cfRule type="cellIs" dxfId="1474" priority="125" stopIfTrue="1" operator="equal">
      <formula>"E7"</formula>
    </cfRule>
    <cfRule type="cellIs" dxfId="1473" priority="126" stopIfTrue="1" operator="equal">
      <formula>"E7A"</formula>
    </cfRule>
  </conditionalFormatting>
  <conditionalFormatting sqref="F58">
    <cfRule type="cellIs" dxfId="1472" priority="123" stopIfTrue="1" operator="equal">
      <formula>"E7"</formula>
    </cfRule>
    <cfRule type="cellIs" dxfId="1471" priority="124" stopIfTrue="1" operator="equal">
      <formula>"E7A"</formula>
    </cfRule>
  </conditionalFormatting>
  <conditionalFormatting sqref="B54:B58">
    <cfRule type="expression" dxfId="1470" priority="122">
      <formula>$B54="A"</formula>
    </cfRule>
  </conditionalFormatting>
  <conditionalFormatting sqref="F54">
    <cfRule type="cellIs" dxfId="1469" priority="120" stopIfTrue="1" operator="equal">
      <formula>"E7"</formula>
    </cfRule>
    <cfRule type="cellIs" dxfId="1468" priority="121" stopIfTrue="1" operator="equal">
      <formula>"E7A"</formula>
    </cfRule>
  </conditionalFormatting>
  <conditionalFormatting sqref="F55">
    <cfRule type="cellIs" dxfId="1467" priority="118" stopIfTrue="1" operator="equal">
      <formula>"E7"</formula>
    </cfRule>
    <cfRule type="cellIs" dxfId="1466" priority="119" stopIfTrue="1" operator="equal">
      <formula>"E7A"</formula>
    </cfRule>
  </conditionalFormatting>
  <conditionalFormatting sqref="F56">
    <cfRule type="cellIs" dxfId="1465" priority="116" stopIfTrue="1" operator="equal">
      <formula>"E7"</formula>
    </cfRule>
    <cfRule type="cellIs" dxfId="1464" priority="117" stopIfTrue="1" operator="equal">
      <formula>"E7A"</formula>
    </cfRule>
  </conditionalFormatting>
  <conditionalFormatting sqref="F42">
    <cfRule type="cellIs" dxfId="1463" priority="114" stopIfTrue="1" operator="equal">
      <formula>"E7"</formula>
    </cfRule>
    <cfRule type="cellIs" dxfId="1462" priority="115" stopIfTrue="1" operator="equal">
      <formula>"E7A"</formula>
    </cfRule>
  </conditionalFormatting>
  <conditionalFormatting sqref="F41">
    <cfRule type="cellIs" dxfId="1461" priority="112" stopIfTrue="1" operator="equal">
      <formula>"E7"</formula>
    </cfRule>
    <cfRule type="cellIs" dxfId="1460" priority="113" stopIfTrue="1" operator="equal">
      <formula>"E7A"</formula>
    </cfRule>
  </conditionalFormatting>
  <conditionalFormatting sqref="F39">
    <cfRule type="cellIs" dxfId="1459" priority="110" stopIfTrue="1" operator="equal">
      <formula>"E7"</formula>
    </cfRule>
    <cfRule type="cellIs" dxfId="1458" priority="111" stopIfTrue="1" operator="equal">
      <formula>"E7A"</formula>
    </cfRule>
  </conditionalFormatting>
  <conditionalFormatting sqref="F43">
    <cfRule type="cellIs" dxfId="1457" priority="108" stopIfTrue="1" operator="equal">
      <formula>"E7"</formula>
    </cfRule>
    <cfRule type="cellIs" dxfId="1456" priority="109" stopIfTrue="1" operator="equal">
      <formula>"E7A"</formula>
    </cfRule>
  </conditionalFormatting>
  <conditionalFormatting sqref="B51">
    <cfRule type="expression" dxfId="1455" priority="107">
      <formula>$B51="A"</formula>
    </cfRule>
  </conditionalFormatting>
  <conditionalFormatting sqref="B39 B41:B43">
    <cfRule type="expression" dxfId="1454" priority="106">
      <formula>$B39="A"</formula>
    </cfRule>
  </conditionalFormatting>
  <conditionalFormatting sqref="F51">
    <cfRule type="cellIs" dxfId="1453" priority="104" stopIfTrue="1" operator="equal">
      <formula>"E7"</formula>
    </cfRule>
    <cfRule type="cellIs" dxfId="1452" priority="105" stopIfTrue="1" operator="equal">
      <formula>"E7A"</formula>
    </cfRule>
  </conditionalFormatting>
  <conditionalFormatting sqref="B44">
    <cfRule type="expression" dxfId="1451" priority="103">
      <formula>$B44="A"</formula>
    </cfRule>
  </conditionalFormatting>
  <conditionalFormatting sqref="F44">
    <cfRule type="cellIs" dxfId="1450" priority="101" stopIfTrue="1" operator="equal">
      <formula>"E7"</formula>
    </cfRule>
    <cfRule type="cellIs" dxfId="1449" priority="102" stopIfTrue="1" operator="equal">
      <formula>"E7A"</formula>
    </cfRule>
  </conditionalFormatting>
  <conditionalFormatting sqref="F48">
    <cfRule type="cellIs" dxfId="1448" priority="99" stopIfTrue="1" operator="equal">
      <formula>"E7"</formula>
    </cfRule>
    <cfRule type="cellIs" dxfId="1447" priority="100" stopIfTrue="1" operator="equal">
      <formula>"E7A"</formula>
    </cfRule>
  </conditionalFormatting>
  <conditionalFormatting sqref="F49">
    <cfRule type="cellIs" dxfId="1446" priority="97" stopIfTrue="1" operator="equal">
      <formula>"E7"</formula>
    </cfRule>
    <cfRule type="cellIs" dxfId="1445" priority="98" stopIfTrue="1" operator="equal">
      <formula>"E7A"</formula>
    </cfRule>
  </conditionalFormatting>
  <conditionalFormatting sqref="F50">
    <cfRule type="cellIs" dxfId="1444" priority="95" stopIfTrue="1" operator="equal">
      <formula>"E7"</formula>
    </cfRule>
    <cfRule type="cellIs" dxfId="1443" priority="96" stopIfTrue="1" operator="equal">
      <formula>"E7A"</formula>
    </cfRule>
  </conditionalFormatting>
  <conditionalFormatting sqref="B45:B50">
    <cfRule type="expression" dxfId="1442" priority="94">
      <formula>$B45="A"</formula>
    </cfRule>
  </conditionalFormatting>
  <conditionalFormatting sqref="F45">
    <cfRule type="cellIs" dxfId="1441" priority="92" stopIfTrue="1" operator="equal">
      <formula>"E7"</formula>
    </cfRule>
    <cfRule type="cellIs" dxfId="1440" priority="93" stopIfTrue="1" operator="equal">
      <formula>"E7A"</formula>
    </cfRule>
  </conditionalFormatting>
  <conditionalFormatting sqref="F46">
    <cfRule type="cellIs" dxfId="1439" priority="90" stopIfTrue="1" operator="equal">
      <formula>"E7"</formula>
    </cfRule>
    <cfRule type="cellIs" dxfId="1438" priority="91" stopIfTrue="1" operator="equal">
      <formula>"E7A"</formula>
    </cfRule>
  </conditionalFormatting>
  <conditionalFormatting sqref="F47">
    <cfRule type="cellIs" dxfId="1437" priority="88" stopIfTrue="1" operator="equal">
      <formula>"E7"</formula>
    </cfRule>
    <cfRule type="cellIs" dxfId="1436" priority="89" stopIfTrue="1" operator="equal">
      <formula>"E7A"</formula>
    </cfRule>
  </conditionalFormatting>
  <conditionalFormatting sqref="F32">
    <cfRule type="cellIs" dxfId="1435" priority="86" stopIfTrue="1" operator="equal">
      <formula>"E7"</formula>
    </cfRule>
    <cfRule type="cellIs" dxfId="1434" priority="87" stopIfTrue="1" operator="equal">
      <formula>"E7A"</formula>
    </cfRule>
  </conditionalFormatting>
  <conditionalFormatting sqref="B32">
    <cfRule type="expression" dxfId="1433" priority="85">
      <formula>$B32="A"</formula>
    </cfRule>
  </conditionalFormatting>
  <conditionalFormatting sqref="B33">
    <cfRule type="expression" dxfId="1432" priority="84">
      <formula>$B33="A"</formula>
    </cfRule>
  </conditionalFormatting>
  <conditionalFormatting sqref="F33">
    <cfRule type="cellIs" dxfId="1431" priority="82" stopIfTrue="1" operator="equal">
      <formula>"E7"</formula>
    </cfRule>
    <cfRule type="cellIs" dxfId="1430" priority="83" stopIfTrue="1" operator="equal">
      <formula>"E7A"</formula>
    </cfRule>
  </conditionalFormatting>
  <conditionalFormatting sqref="F37">
    <cfRule type="cellIs" dxfId="1429" priority="80" stopIfTrue="1" operator="equal">
      <formula>"E7"</formula>
    </cfRule>
    <cfRule type="cellIs" dxfId="1428" priority="81" stopIfTrue="1" operator="equal">
      <formula>"E7A"</formula>
    </cfRule>
  </conditionalFormatting>
  <conditionalFormatting sqref="F38">
    <cfRule type="cellIs" dxfId="1427" priority="78" stopIfTrue="1" operator="equal">
      <formula>"E7"</formula>
    </cfRule>
    <cfRule type="cellIs" dxfId="1426" priority="79" stopIfTrue="1" operator="equal">
      <formula>"E7A"</formula>
    </cfRule>
  </conditionalFormatting>
  <conditionalFormatting sqref="B34:B38">
    <cfRule type="expression" dxfId="1425" priority="77">
      <formula>$B34="A"</formula>
    </cfRule>
  </conditionalFormatting>
  <conditionalFormatting sqref="F34">
    <cfRule type="cellIs" dxfId="1424" priority="75" stopIfTrue="1" operator="equal">
      <formula>"E7"</formula>
    </cfRule>
    <cfRule type="cellIs" dxfId="1423" priority="76" stopIfTrue="1" operator="equal">
      <formula>"E7A"</formula>
    </cfRule>
  </conditionalFormatting>
  <conditionalFormatting sqref="F35">
    <cfRule type="cellIs" dxfId="1422" priority="73" stopIfTrue="1" operator="equal">
      <formula>"E7"</formula>
    </cfRule>
    <cfRule type="cellIs" dxfId="1421" priority="74" stopIfTrue="1" operator="equal">
      <formula>"E7A"</formula>
    </cfRule>
  </conditionalFormatting>
  <conditionalFormatting sqref="F36">
    <cfRule type="cellIs" dxfId="1420" priority="71" stopIfTrue="1" operator="equal">
      <formula>"E7"</formula>
    </cfRule>
    <cfRule type="cellIs" dxfId="1419" priority="72" stopIfTrue="1" operator="equal">
      <formula>"E7A"</formula>
    </cfRule>
  </conditionalFormatting>
  <conditionalFormatting sqref="F22">
    <cfRule type="cellIs" dxfId="1418" priority="69" stopIfTrue="1" operator="equal">
      <formula>"E7"</formula>
    </cfRule>
    <cfRule type="cellIs" dxfId="1417" priority="70" stopIfTrue="1" operator="equal">
      <formula>"E7A"</formula>
    </cfRule>
  </conditionalFormatting>
  <conditionalFormatting sqref="F21">
    <cfRule type="cellIs" dxfId="1416" priority="67" stopIfTrue="1" operator="equal">
      <formula>"E7"</formula>
    </cfRule>
    <cfRule type="cellIs" dxfId="1415" priority="68" stopIfTrue="1" operator="equal">
      <formula>"E7A"</formula>
    </cfRule>
  </conditionalFormatting>
  <conditionalFormatting sqref="F20">
    <cfRule type="cellIs" dxfId="1414" priority="65" stopIfTrue="1" operator="equal">
      <formula>"E7"</formula>
    </cfRule>
    <cfRule type="cellIs" dxfId="1413" priority="66" stopIfTrue="1" operator="equal">
      <formula>"E7A"</formula>
    </cfRule>
  </conditionalFormatting>
  <conditionalFormatting sqref="F23">
    <cfRule type="cellIs" dxfId="1412" priority="63" stopIfTrue="1" operator="equal">
      <formula>"E7"</formula>
    </cfRule>
    <cfRule type="cellIs" dxfId="1411" priority="64" stopIfTrue="1" operator="equal">
      <formula>"E7A"</formula>
    </cfRule>
  </conditionalFormatting>
  <conditionalFormatting sqref="B31">
    <cfRule type="expression" dxfId="1410" priority="62">
      <formula>$B31="A"</formula>
    </cfRule>
  </conditionalFormatting>
  <conditionalFormatting sqref="B20:B23">
    <cfRule type="expression" dxfId="1409" priority="61">
      <formula>$B20="A"</formula>
    </cfRule>
  </conditionalFormatting>
  <conditionalFormatting sqref="F31">
    <cfRule type="cellIs" dxfId="1408" priority="59" stopIfTrue="1" operator="equal">
      <formula>"E7"</formula>
    </cfRule>
    <cfRule type="cellIs" dxfId="1407" priority="60" stopIfTrue="1" operator="equal">
      <formula>"E7A"</formula>
    </cfRule>
  </conditionalFormatting>
  <conditionalFormatting sqref="B24">
    <cfRule type="expression" dxfId="1406" priority="58">
      <formula>$B24="A"</formula>
    </cfRule>
  </conditionalFormatting>
  <conditionalFormatting sqref="F24">
    <cfRule type="cellIs" dxfId="1405" priority="56" stopIfTrue="1" operator="equal">
      <formula>"E7"</formula>
    </cfRule>
    <cfRule type="cellIs" dxfId="1404" priority="57" stopIfTrue="1" operator="equal">
      <formula>"E7A"</formula>
    </cfRule>
  </conditionalFormatting>
  <conditionalFormatting sqref="F28">
    <cfRule type="cellIs" dxfId="1403" priority="54" stopIfTrue="1" operator="equal">
      <formula>"E7"</formula>
    </cfRule>
    <cfRule type="cellIs" dxfId="1402" priority="55" stopIfTrue="1" operator="equal">
      <formula>"E7A"</formula>
    </cfRule>
  </conditionalFormatting>
  <conditionalFormatting sqref="F29">
    <cfRule type="cellIs" dxfId="1401" priority="52" stopIfTrue="1" operator="equal">
      <formula>"E7"</formula>
    </cfRule>
    <cfRule type="cellIs" dxfId="1400" priority="53" stopIfTrue="1" operator="equal">
      <formula>"E7A"</formula>
    </cfRule>
  </conditionalFormatting>
  <conditionalFormatting sqref="F30">
    <cfRule type="cellIs" dxfId="1399" priority="50" stopIfTrue="1" operator="equal">
      <formula>"E7"</formula>
    </cfRule>
    <cfRule type="cellIs" dxfId="1398" priority="51" stopIfTrue="1" operator="equal">
      <formula>"E7A"</formula>
    </cfRule>
  </conditionalFormatting>
  <conditionalFormatting sqref="B25:B30">
    <cfRule type="expression" dxfId="1397" priority="49">
      <formula>$B25="A"</formula>
    </cfRule>
  </conditionalFormatting>
  <conditionalFormatting sqref="F25">
    <cfRule type="cellIs" dxfId="1396" priority="47" stopIfTrue="1" operator="equal">
      <formula>"E7"</formula>
    </cfRule>
    <cfRule type="cellIs" dxfId="1395" priority="48" stopIfTrue="1" operator="equal">
      <formula>"E7A"</formula>
    </cfRule>
  </conditionalFormatting>
  <conditionalFormatting sqref="F26">
    <cfRule type="cellIs" dxfId="1394" priority="45" stopIfTrue="1" operator="equal">
      <formula>"E7"</formula>
    </cfRule>
    <cfRule type="cellIs" dxfId="1393" priority="46" stopIfTrue="1" operator="equal">
      <formula>"E7A"</formula>
    </cfRule>
  </conditionalFormatting>
  <conditionalFormatting sqref="F27">
    <cfRule type="cellIs" dxfId="1392" priority="43" stopIfTrue="1" operator="equal">
      <formula>"E7"</formula>
    </cfRule>
    <cfRule type="cellIs" dxfId="1391" priority="44" stopIfTrue="1" operator="equal">
      <formula>"E7A"</formula>
    </cfRule>
  </conditionalFormatting>
  <conditionalFormatting sqref="F13">
    <cfRule type="cellIs" dxfId="1390" priority="41" stopIfTrue="1" operator="equal">
      <formula>"E7"</formula>
    </cfRule>
    <cfRule type="cellIs" dxfId="1389" priority="42" stopIfTrue="1" operator="equal">
      <formula>"E7A"</formula>
    </cfRule>
  </conditionalFormatting>
  <conditionalFormatting sqref="B13">
    <cfRule type="expression" dxfId="1388" priority="40">
      <formula>$B13="A"</formula>
    </cfRule>
  </conditionalFormatting>
  <conditionalFormatting sqref="B14">
    <cfRule type="expression" dxfId="1387" priority="39">
      <formula>$B14="A"</formula>
    </cfRule>
  </conditionalFormatting>
  <conditionalFormatting sqref="F14">
    <cfRule type="cellIs" dxfId="1386" priority="37" stopIfTrue="1" operator="equal">
      <formula>"E7"</formula>
    </cfRule>
    <cfRule type="cellIs" dxfId="1385" priority="38" stopIfTrue="1" operator="equal">
      <formula>"E7A"</formula>
    </cfRule>
  </conditionalFormatting>
  <conditionalFormatting sqref="F18">
    <cfRule type="cellIs" dxfId="1384" priority="35" stopIfTrue="1" operator="equal">
      <formula>"E7"</formula>
    </cfRule>
    <cfRule type="cellIs" dxfId="1383" priority="36" stopIfTrue="1" operator="equal">
      <formula>"E7A"</formula>
    </cfRule>
  </conditionalFormatting>
  <conditionalFormatting sqref="F19">
    <cfRule type="cellIs" dxfId="1382" priority="33" stopIfTrue="1" operator="equal">
      <formula>"E7"</formula>
    </cfRule>
    <cfRule type="cellIs" dxfId="1381" priority="34" stopIfTrue="1" operator="equal">
      <formula>"E7A"</formula>
    </cfRule>
  </conditionalFormatting>
  <conditionalFormatting sqref="B15:B19">
    <cfRule type="expression" dxfId="1380" priority="32">
      <formula>$B15="A"</formula>
    </cfRule>
  </conditionalFormatting>
  <conditionalFormatting sqref="F15">
    <cfRule type="cellIs" dxfId="1379" priority="30" stopIfTrue="1" operator="equal">
      <formula>"E7"</formula>
    </cfRule>
    <cfRule type="cellIs" dxfId="1378" priority="31" stopIfTrue="1" operator="equal">
      <formula>"E7A"</formula>
    </cfRule>
  </conditionalFormatting>
  <conditionalFormatting sqref="F16">
    <cfRule type="cellIs" dxfId="1377" priority="28" stopIfTrue="1" operator="equal">
      <formula>"E7"</formula>
    </cfRule>
    <cfRule type="cellIs" dxfId="1376" priority="29" stopIfTrue="1" operator="equal">
      <formula>"E7A"</formula>
    </cfRule>
  </conditionalFormatting>
  <conditionalFormatting sqref="F17">
    <cfRule type="cellIs" dxfId="1375" priority="26" stopIfTrue="1" operator="equal">
      <formula>"E7"</formula>
    </cfRule>
    <cfRule type="cellIs" dxfId="1374" priority="27" stopIfTrue="1" operator="equal">
      <formula>"E7A"</formula>
    </cfRule>
  </conditionalFormatting>
  <conditionalFormatting sqref="FE1:FF1 H1:L1 AT1:FA1">
    <cfRule type="duplicateValues" dxfId="1373" priority="260"/>
  </conditionalFormatting>
  <conditionalFormatting sqref="FE4:FF4 I4:L4 AT4:FA4">
    <cfRule type="duplicateValues" dxfId="1372" priority="261"/>
  </conditionalFormatting>
  <conditionalFormatting sqref="FB1:FC1">
    <cfRule type="duplicateValues" dxfId="1371" priority="262"/>
  </conditionalFormatting>
  <conditionalFormatting sqref="FB4:FC4">
    <cfRule type="duplicateValues" dxfId="1370" priority="263"/>
  </conditionalFormatting>
  <conditionalFormatting sqref="FD1">
    <cfRule type="duplicateValues" dxfId="1369" priority="264"/>
  </conditionalFormatting>
  <conditionalFormatting sqref="FD4">
    <cfRule type="duplicateValues" dxfId="1368" priority="265"/>
  </conditionalFormatting>
  <conditionalFormatting sqref="F101">
    <cfRule type="cellIs" dxfId="1367" priority="24" stopIfTrue="1" operator="equal">
      <formula>"E7"</formula>
    </cfRule>
    <cfRule type="cellIs" dxfId="1366" priority="25" stopIfTrue="1" operator="equal">
      <formula>"E7A"</formula>
    </cfRule>
  </conditionalFormatting>
  <conditionalFormatting sqref="B98:B101">
    <cfRule type="expression" dxfId="1365" priority="23">
      <formula>$B98="A"</formula>
    </cfRule>
  </conditionalFormatting>
  <conditionalFormatting sqref="F98">
    <cfRule type="cellIs" dxfId="1364" priority="21" stopIfTrue="1" operator="equal">
      <formula>"E7"</formula>
    </cfRule>
    <cfRule type="cellIs" dxfId="1363" priority="22" stopIfTrue="1" operator="equal">
      <formula>"E7A"</formula>
    </cfRule>
  </conditionalFormatting>
  <conditionalFormatting sqref="F99">
    <cfRule type="cellIs" dxfId="1362" priority="19" stopIfTrue="1" operator="equal">
      <formula>"E7"</formula>
    </cfRule>
    <cfRule type="cellIs" dxfId="1361" priority="20" stopIfTrue="1" operator="equal">
      <formula>"E7A"</formula>
    </cfRule>
  </conditionalFormatting>
  <conditionalFormatting sqref="F100">
    <cfRule type="cellIs" dxfId="1360" priority="17" stopIfTrue="1" operator="equal">
      <formula>"E7"</formula>
    </cfRule>
    <cfRule type="cellIs" dxfId="1359" priority="18" stopIfTrue="1" operator="equal">
      <formula>"E7A"</formula>
    </cfRule>
  </conditionalFormatting>
  <conditionalFormatting sqref="F95">
    <cfRule type="cellIs" dxfId="1358" priority="15" stopIfTrue="1" operator="equal">
      <formula>"E7"</formula>
    </cfRule>
    <cfRule type="cellIs" dxfId="1357" priority="16" stopIfTrue="1" operator="equal">
      <formula>"E7A"</formula>
    </cfRule>
  </conditionalFormatting>
  <conditionalFormatting sqref="F96">
    <cfRule type="cellIs" dxfId="1356" priority="13" stopIfTrue="1" operator="equal">
      <formula>"E7"</formula>
    </cfRule>
    <cfRule type="cellIs" dxfId="1355" priority="14" stopIfTrue="1" operator="equal">
      <formula>"E7A"</formula>
    </cfRule>
  </conditionalFormatting>
  <conditionalFormatting sqref="F97">
    <cfRule type="cellIs" dxfId="1354" priority="11" stopIfTrue="1" operator="equal">
      <formula>"E7"</formula>
    </cfRule>
    <cfRule type="cellIs" dxfId="1353" priority="12" stopIfTrue="1" operator="equal">
      <formula>"E7A"</formula>
    </cfRule>
  </conditionalFormatting>
  <conditionalFormatting sqref="B95:B97">
    <cfRule type="expression" dxfId="1352" priority="10">
      <formula>$B95="A"</formula>
    </cfRule>
  </conditionalFormatting>
  <conditionalFormatting sqref="H6">
    <cfRule type="expression" dxfId="1351" priority="266">
      <formula>H$278&gt;0</formula>
    </cfRule>
    <cfRule type="duplicateValues" dxfId="1350" priority="267"/>
  </conditionalFormatting>
  <conditionalFormatting sqref="AI6:AS6">
    <cfRule type="expression" dxfId="1349" priority="268">
      <formula>AI$278&gt;0</formula>
    </cfRule>
    <cfRule type="duplicateValues" dxfId="1348" priority="269"/>
  </conditionalFormatting>
  <conditionalFormatting sqref="X6:AH6">
    <cfRule type="expression" dxfId="1347" priority="270">
      <formula>X$278&gt;0</formula>
    </cfRule>
    <cfRule type="duplicateValues" dxfId="1346" priority="271"/>
  </conditionalFormatting>
  <conditionalFormatting sqref="M6:W6">
    <cfRule type="expression" dxfId="1345" priority="272">
      <formula>M$278&gt;0</formula>
    </cfRule>
    <cfRule type="duplicateValues" dxfId="1344" priority="273"/>
  </conditionalFormatting>
  <conditionalFormatting sqref="FB6:FC6">
    <cfRule type="expression" dxfId="1343" priority="274">
      <formula>FB$278&gt;0</formula>
    </cfRule>
    <cfRule type="duplicateValues" dxfId="1342" priority="275"/>
  </conditionalFormatting>
  <conditionalFormatting sqref="I6:L6 AT6:FA6 FE6:FF6">
    <cfRule type="expression" dxfId="1341" priority="276">
      <formula>I$278&gt;0</formula>
    </cfRule>
    <cfRule type="duplicateValues" dxfId="1340" priority="277"/>
  </conditionalFormatting>
  <conditionalFormatting sqref="FD6">
    <cfRule type="expression" dxfId="1339" priority="278">
      <formula>FD$278&gt;0</formula>
    </cfRule>
    <cfRule type="duplicateValues" dxfId="1338" priority="279"/>
  </conditionalFormatting>
  <conditionalFormatting sqref="B91">
    <cfRule type="expression" dxfId="1337" priority="9">
      <formula>$B91="A"</formula>
    </cfRule>
  </conditionalFormatting>
  <conditionalFormatting sqref="F91">
    <cfRule type="cellIs" dxfId="1336" priority="7" stopIfTrue="1" operator="equal">
      <formula>"E7"</formula>
    </cfRule>
    <cfRule type="cellIs" dxfId="1335" priority="8" stopIfTrue="1" operator="equal">
      <formula>"E7A"</formula>
    </cfRule>
  </conditionalFormatting>
  <conditionalFormatting sqref="F82">
    <cfRule type="cellIs" dxfId="1334" priority="5" stopIfTrue="1" operator="equal">
      <formula>"E7"</formula>
    </cfRule>
    <cfRule type="cellIs" dxfId="1333" priority="6" stopIfTrue="1" operator="equal">
      <formula>"E7A"</formula>
    </cfRule>
  </conditionalFormatting>
  <conditionalFormatting sqref="B82">
    <cfRule type="expression" dxfId="1332" priority="4">
      <formula>$B82="A"</formula>
    </cfRule>
  </conditionalFormatting>
  <conditionalFormatting sqref="F40">
    <cfRule type="cellIs" dxfId="1331" priority="2" stopIfTrue="1" operator="equal">
      <formula>"E7"</formula>
    </cfRule>
    <cfRule type="cellIs" dxfId="1330" priority="3" stopIfTrue="1" operator="equal">
      <formula>"E7A"</formula>
    </cfRule>
  </conditionalFormatting>
  <conditionalFormatting sqref="B40">
    <cfRule type="expression" dxfId="1329" priority="1">
      <formula>$B40="A"</formula>
    </cfRule>
  </conditionalFormatting>
  <pageMargins left="0.7" right="0.7" top="0.75" bottom="0.75" header="0.3" footer="0.3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FW110"/>
  <sheetViews>
    <sheetView workbookViewId="0">
      <pane xSplit="7" ySplit="6" topLeftCell="CL86" activePane="bottomRight" state="frozen"/>
      <selection pane="topRight" activeCell="H1" sqref="H1"/>
      <selection pane="bottomLeft" activeCell="A7" sqref="A7"/>
      <selection pane="bottomRight" activeCell="A103" sqref="A103:XFD103"/>
    </sheetView>
  </sheetViews>
  <sheetFormatPr defaultColWidth="17.88671875" defaultRowHeight="10.199999999999999"/>
  <cols>
    <col min="1" max="1" width="4.21875" style="273" bestFit="1" customWidth="1"/>
    <col min="2" max="2" width="7.88671875" style="273" bestFit="1" customWidth="1"/>
    <col min="3" max="3" width="5.21875" style="273" bestFit="1" customWidth="1"/>
    <col min="4" max="4" width="4.6640625" style="273" bestFit="1" customWidth="1"/>
    <col min="5" max="5" width="16.21875" style="273" bestFit="1" customWidth="1"/>
    <col min="6" max="6" width="9.21875" style="273" bestFit="1" customWidth="1"/>
    <col min="7" max="7" width="9.44140625" style="273" bestFit="1" customWidth="1"/>
    <col min="8" max="8" width="13.5546875" style="273" bestFit="1" customWidth="1"/>
    <col min="9" max="9" width="14.109375" style="273" bestFit="1" customWidth="1"/>
    <col min="10" max="10" width="13.88671875" style="273" bestFit="1" customWidth="1"/>
    <col min="11" max="11" width="13.77734375" style="273" bestFit="1" customWidth="1"/>
    <col min="12" max="12" width="14.109375" style="273" bestFit="1" customWidth="1"/>
    <col min="13" max="13" width="14.5546875" style="273" bestFit="1" customWidth="1"/>
    <col min="14" max="14" width="13.109375" style="273" bestFit="1" customWidth="1"/>
    <col min="15" max="16" width="14.44140625" style="273" bestFit="1" customWidth="1"/>
    <col min="17" max="18" width="14.5546875" style="273" bestFit="1" customWidth="1"/>
    <col min="19" max="19" width="14.21875" style="273" bestFit="1" customWidth="1"/>
    <col min="20" max="20" width="14.109375" style="273" bestFit="1" customWidth="1"/>
    <col min="21" max="21" width="20.6640625" style="273" bestFit="1" customWidth="1"/>
    <col min="22" max="22" width="15" style="273" bestFit="1" customWidth="1"/>
    <col min="23" max="23" width="13.44140625" style="273" bestFit="1" customWidth="1"/>
    <col min="24" max="24" width="13.77734375" style="273" bestFit="1" customWidth="1"/>
    <col min="25" max="25" width="14.21875" style="273" bestFit="1" customWidth="1"/>
    <col min="26" max="26" width="14.88671875" style="273" bestFit="1" customWidth="1"/>
    <col min="27" max="28" width="13.44140625" style="273" bestFit="1" customWidth="1"/>
    <col min="29" max="29" width="14.109375" style="273" bestFit="1" customWidth="1"/>
    <col min="30" max="30" width="19.6640625" style="273" bestFit="1" customWidth="1"/>
    <col min="31" max="31" width="13.77734375" style="273" bestFit="1" customWidth="1"/>
    <col min="32" max="32" width="14.21875" style="273" bestFit="1" customWidth="1"/>
    <col min="33" max="33" width="14.88671875" style="273" bestFit="1" customWidth="1"/>
    <col min="34" max="34" width="17.21875" style="273" bestFit="1" customWidth="1"/>
    <col min="35" max="35" width="13.6640625" style="273" bestFit="1" customWidth="1"/>
    <col min="36" max="36" width="14" style="273" bestFit="1" customWidth="1"/>
    <col min="37" max="37" width="17.44140625" style="273" bestFit="1" customWidth="1"/>
    <col min="38" max="38" width="13.44140625" style="273" bestFit="1" customWidth="1"/>
    <col min="39" max="39" width="17.77734375" style="273" bestFit="1" customWidth="1"/>
    <col min="40" max="40" width="20.6640625" style="273" bestFit="1" customWidth="1"/>
    <col min="41" max="41" width="15" style="273" bestFit="1" customWidth="1"/>
    <col min="42" max="42" width="13.77734375" style="273" bestFit="1" customWidth="1"/>
    <col min="43" max="43" width="17.33203125" style="273" bestFit="1" customWidth="1"/>
    <col min="44" max="44" width="13.6640625" style="273" bestFit="1" customWidth="1"/>
    <col min="45" max="45" width="18.109375" style="273" bestFit="1" customWidth="1"/>
    <col min="46" max="46" width="20.88671875" style="273" bestFit="1" customWidth="1"/>
    <col min="47" max="47" width="15.21875" style="273" bestFit="1" customWidth="1"/>
    <col min="48" max="48" width="13.6640625" style="273" bestFit="1" customWidth="1"/>
    <col min="49" max="49" width="14" style="273" bestFit="1" customWidth="1"/>
    <col min="50" max="50" width="20.6640625" style="273" bestFit="1" customWidth="1"/>
    <col min="51" max="51" width="15" style="273" bestFit="1" customWidth="1"/>
    <col min="52" max="52" width="13.44140625" style="273" bestFit="1" customWidth="1"/>
    <col min="53" max="53" width="13.77734375" style="273" bestFit="1" customWidth="1"/>
    <col min="54" max="54" width="14.88671875" style="273" bestFit="1" customWidth="1"/>
    <col min="55" max="55" width="13.44140625" style="273" bestFit="1" customWidth="1"/>
    <col min="56" max="56" width="24" style="273" bestFit="1" customWidth="1"/>
    <col min="57" max="57" width="15" style="273" bestFit="1" customWidth="1"/>
    <col min="58" max="58" width="13.44140625" style="273" bestFit="1" customWidth="1"/>
    <col min="59" max="59" width="13.77734375" style="273" bestFit="1" customWidth="1"/>
    <col min="60" max="60" width="14.88671875" style="273" bestFit="1" customWidth="1"/>
    <col min="61" max="61" width="17.21875" style="273" bestFit="1" customWidth="1"/>
    <col min="62" max="63" width="15.109375" style="273" bestFit="1" customWidth="1"/>
    <col min="64" max="65" width="17.44140625" style="273" bestFit="1" customWidth="1"/>
    <col min="66" max="66" width="19.5546875" style="273" bestFit="1" customWidth="1"/>
    <col min="67" max="67" width="17.6640625" style="273" bestFit="1" customWidth="1"/>
    <col min="68" max="68" width="20.44140625" style="273" bestFit="1" customWidth="1"/>
    <col min="69" max="69" width="21.44140625" style="273" bestFit="1" customWidth="1"/>
    <col min="70" max="70" width="20.33203125" style="273" bestFit="1" customWidth="1"/>
    <col min="71" max="71" width="18.6640625" style="273" bestFit="1" customWidth="1"/>
    <col min="72" max="72" width="18.88671875" style="273" bestFit="1" customWidth="1"/>
    <col min="73" max="73" width="16.88671875" style="273" bestFit="1" customWidth="1"/>
    <col min="74" max="74" width="19.6640625" style="273" bestFit="1" customWidth="1"/>
    <col min="75" max="75" width="17.77734375" style="273" bestFit="1" customWidth="1"/>
    <col min="76" max="76" width="20.6640625" style="273" bestFit="1" customWidth="1"/>
    <col min="77" max="77" width="24" style="273" bestFit="1" customWidth="1"/>
    <col min="78" max="78" width="21.6640625" style="273" bestFit="1" customWidth="1"/>
    <col min="79" max="79" width="19.5546875" style="273" bestFit="1" customWidth="1"/>
    <col min="80" max="80" width="18.88671875" style="273" bestFit="1" customWidth="1"/>
    <col min="81" max="81" width="16.88671875" style="273" bestFit="1" customWidth="1"/>
    <col min="82" max="82" width="19.6640625" style="273" bestFit="1" customWidth="1"/>
    <col min="83" max="83" width="20.6640625" style="273" bestFit="1" customWidth="1"/>
    <col min="84" max="84" width="19.5546875" style="273" bestFit="1" customWidth="1"/>
    <col min="85" max="86" width="19.77734375" style="273" bestFit="1" customWidth="1"/>
    <col min="87" max="87" width="20.88671875" style="273" bestFit="1" customWidth="1"/>
    <col min="88" max="88" width="22" style="273" bestFit="1" customWidth="1"/>
    <col min="89" max="89" width="19.21875" style="273" bestFit="1" customWidth="1"/>
    <col min="90" max="90" width="17.6640625" style="273" bestFit="1" customWidth="1"/>
    <col min="91" max="91" width="20.44140625" style="273" bestFit="1" customWidth="1"/>
    <col min="92" max="92" width="21.44140625" style="273" bestFit="1" customWidth="1"/>
    <col min="93" max="93" width="24.109375" style="273" bestFit="1" customWidth="1"/>
    <col min="94" max="99" width="15.77734375" style="273" bestFit="1" customWidth="1"/>
    <col min="100" max="100" width="17.6640625" style="273" bestFit="1" customWidth="1"/>
    <col min="101" max="101" width="20.33203125" style="273" bestFit="1" customWidth="1"/>
    <col min="102" max="102" width="19.21875" style="273" bestFit="1" customWidth="1"/>
    <col min="103" max="103" width="21.44140625" style="273" bestFit="1" customWidth="1"/>
    <col min="104" max="104" width="19.77734375" style="273" bestFit="1" customWidth="1"/>
    <col min="105" max="105" width="20.88671875" style="273" bestFit="1" customWidth="1"/>
    <col min="106" max="106" width="22" style="273" bestFit="1" customWidth="1"/>
    <col min="107" max="107" width="19.21875" style="273" bestFit="1" customWidth="1"/>
    <col min="108" max="108" width="17.6640625" style="273" bestFit="1" customWidth="1"/>
    <col min="109" max="109" width="20.44140625" style="273" bestFit="1" customWidth="1"/>
    <col min="110" max="110" width="21.44140625" style="273" bestFit="1" customWidth="1"/>
    <col min="111" max="114" width="15.77734375" style="273" bestFit="1" customWidth="1"/>
    <col min="115" max="116" width="17.6640625" style="273" bestFit="1" customWidth="1"/>
    <col min="117" max="117" width="20.33203125" style="273" bestFit="1" customWidth="1"/>
    <col min="118" max="118" width="12.5546875" style="273" bestFit="1" customWidth="1"/>
    <col min="119" max="119" width="19.77734375" style="273" bestFit="1" customWidth="1"/>
    <col min="120" max="120" width="20.88671875" style="273" bestFit="1" customWidth="1"/>
    <col min="121" max="121" width="22" style="273" bestFit="1" customWidth="1"/>
    <col min="122" max="122" width="19.21875" style="273" bestFit="1" customWidth="1"/>
    <col min="123" max="123" width="17.6640625" style="273" bestFit="1" customWidth="1"/>
    <col min="124" max="124" width="20.44140625" style="273" bestFit="1" customWidth="1"/>
    <col min="125" max="125" width="21.44140625" style="273" bestFit="1" customWidth="1"/>
    <col min="126" max="126" width="17.6640625" style="273" bestFit="1" customWidth="1"/>
    <col min="127" max="127" width="20.33203125" style="273" bestFit="1" customWidth="1"/>
    <col min="128" max="128" width="13.44140625" style="273" bestFit="1" customWidth="1"/>
    <col min="129" max="129" width="14.21875" style="273" bestFit="1" customWidth="1"/>
    <col min="130" max="131" width="14.109375" style="273" bestFit="1" customWidth="1"/>
    <col min="132" max="132" width="14.5546875" style="273" bestFit="1" customWidth="1"/>
    <col min="133" max="133" width="13.6640625" style="273" bestFit="1" customWidth="1"/>
    <col min="134" max="134" width="14.109375" style="273" bestFit="1" customWidth="1"/>
    <col min="135" max="135" width="13.44140625" style="273" bestFit="1" customWidth="1"/>
    <col min="136" max="136" width="14.109375" style="273" bestFit="1" customWidth="1"/>
    <col min="137" max="138" width="20.6640625" style="273" bestFit="1" customWidth="1"/>
    <col min="139" max="139" width="13.77734375" style="273" bestFit="1" customWidth="1"/>
    <col min="140" max="140" width="14.5546875" style="273" bestFit="1" customWidth="1"/>
    <col min="141" max="141" width="20.6640625" style="273" bestFit="1" customWidth="1"/>
    <col min="142" max="142" width="14.88671875" style="273" bestFit="1" customWidth="1"/>
    <col min="143" max="143" width="17.21875" style="273" bestFit="1" customWidth="1"/>
    <col min="144" max="144" width="16.109375" style="273" bestFit="1" customWidth="1"/>
    <col min="145" max="145" width="18.88671875" style="273" bestFit="1" customWidth="1"/>
    <col min="146" max="146" width="17.109375" style="273" bestFit="1" customWidth="1"/>
    <col min="147" max="147" width="17.77734375" style="273" bestFit="1" customWidth="1"/>
    <col min="148" max="149" width="20.6640625" style="273" bestFit="1" customWidth="1"/>
    <col min="150" max="150" width="15.109375" style="273" bestFit="1" customWidth="1"/>
    <col min="151" max="151" width="18.88671875" style="273" bestFit="1" customWidth="1"/>
    <col min="152" max="152" width="19.5546875" style="273" bestFit="1" customWidth="1"/>
    <col min="153" max="154" width="13.88671875" style="273" bestFit="1" customWidth="1"/>
    <col min="155" max="155" width="17.6640625" style="273" bestFit="1" customWidth="1"/>
    <col min="156" max="156" width="21.44140625" style="273" bestFit="1" customWidth="1"/>
    <col min="157" max="157" width="18.109375" style="273" bestFit="1" customWidth="1"/>
    <col min="158" max="158" width="12.21875" style="273" bestFit="1" customWidth="1"/>
    <col min="159" max="161" width="19.77734375" style="273" bestFit="1" customWidth="1"/>
    <col min="162" max="162" width="13.88671875" style="273" bestFit="1" customWidth="1"/>
    <col min="163" max="163" width="21.44140625" style="273" bestFit="1" customWidth="1"/>
    <col min="164" max="164" width="19.77734375" style="273" bestFit="1" customWidth="1"/>
    <col min="165" max="165" width="22" style="273" bestFit="1" customWidth="1"/>
    <col min="166" max="166" width="13.88671875" style="273" bestFit="1" customWidth="1"/>
    <col min="167" max="167" width="21.44140625" style="273" bestFit="1" customWidth="1"/>
    <col min="168" max="168" width="13.44140625" style="273" bestFit="1" customWidth="1"/>
    <col min="169" max="170" width="17.77734375" style="273" bestFit="1" customWidth="1"/>
    <col min="171" max="171" width="17.5546875" style="273" bestFit="1" customWidth="1"/>
    <col min="172" max="172" width="15.6640625" style="273" bestFit="1" customWidth="1"/>
    <col min="173" max="173" width="4.21875" style="273" bestFit="1" customWidth="1"/>
    <col min="174" max="174" width="8.44140625" style="273" bestFit="1" customWidth="1"/>
    <col min="175" max="175" width="4.6640625" style="273" bestFit="1" customWidth="1"/>
    <col min="176" max="176" width="14.88671875" style="273" bestFit="1" customWidth="1"/>
    <col min="177" max="177" width="12.109375" style="273" bestFit="1" customWidth="1"/>
    <col min="178" max="178" width="5.6640625" style="273" bestFit="1" customWidth="1"/>
    <col min="179" max="179" width="12" style="273" bestFit="1" customWidth="1"/>
    <col min="180" max="16384" width="17.88671875" style="273"/>
  </cols>
  <sheetData>
    <row r="1" spans="1:179" s="221" customFormat="1" ht="11.4">
      <c r="A1" s="220"/>
      <c r="D1" s="222"/>
      <c r="E1" s="223"/>
      <c r="F1" s="223"/>
      <c r="G1" s="229" t="s">
        <v>875</v>
      </c>
      <c r="H1" s="223"/>
      <c r="I1" s="223"/>
      <c r="J1" s="223"/>
      <c r="K1" s="223"/>
      <c r="L1" s="223"/>
      <c r="M1" s="223"/>
      <c r="N1" s="223"/>
      <c r="O1" s="223"/>
      <c r="P1" s="223"/>
      <c r="Q1" s="223"/>
      <c r="R1" s="223"/>
      <c r="S1" s="223"/>
      <c r="T1" s="223"/>
      <c r="U1" s="223"/>
      <c r="V1" s="223"/>
      <c r="W1" s="223"/>
      <c r="X1" s="223"/>
      <c r="Y1" s="223"/>
      <c r="Z1" s="223"/>
      <c r="AA1" s="223"/>
      <c r="AB1" s="223"/>
      <c r="AC1" s="223"/>
      <c r="AD1" s="223"/>
      <c r="AE1" s="223"/>
      <c r="AF1" s="223"/>
      <c r="AG1" s="223"/>
      <c r="AH1" s="223"/>
      <c r="AI1" s="223"/>
      <c r="AJ1" s="223"/>
      <c r="AK1" s="223"/>
      <c r="AL1" s="223"/>
      <c r="AM1" s="223"/>
      <c r="AN1" s="223"/>
      <c r="AO1" s="223"/>
      <c r="AP1" s="223"/>
      <c r="AQ1" s="223"/>
      <c r="AR1" s="223"/>
      <c r="AS1" s="223"/>
      <c r="AT1" s="223"/>
      <c r="AU1" s="223"/>
      <c r="AV1" s="223"/>
      <c r="AW1" s="223"/>
      <c r="AX1" s="223"/>
      <c r="AY1" s="223"/>
      <c r="AZ1" s="223"/>
      <c r="BA1" s="223"/>
      <c r="BB1" s="223"/>
      <c r="BC1" s="223"/>
      <c r="BD1" s="223"/>
      <c r="BE1" s="223"/>
      <c r="BF1" s="223"/>
      <c r="BG1" s="223"/>
      <c r="BH1" s="223"/>
      <c r="BI1" s="223"/>
      <c r="BJ1" s="223"/>
      <c r="BK1" s="223"/>
      <c r="BL1" s="223"/>
      <c r="BM1" s="223"/>
      <c r="BN1" s="223"/>
      <c r="BO1" s="223"/>
      <c r="BP1" s="223"/>
      <c r="BQ1" s="223"/>
      <c r="BR1" s="223"/>
      <c r="BS1" s="223"/>
      <c r="BT1" s="223"/>
      <c r="BU1" s="223"/>
      <c r="BV1" s="223"/>
      <c r="BW1" s="223"/>
      <c r="BX1" s="223"/>
      <c r="BY1" s="223"/>
      <c r="BZ1" s="223"/>
      <c r="CA1" s="223"/>
      <c r="CB1" s="223"/>
      <c r="CC1" s="223"/>
      <c r="CD1" s="223"/>
      <c r="CE1" s="223"/>
      <c r="CF1" s="223"/>
      <c r="CG1" s="223"/>
      <c r="CH1" s="223"/>
      <c r="CI1" s="223"/>
      <c r="CJ1" s="223"/>
      <c r="CK1" s="223"/>
      <c r="CL1" s="223"/>
      <c r="CM1" s="223"/>
      <c r="CN1" s="223"/>
      <c r="CO1" s="223"/>
      <c r="CP1" s="223"/>
      <c r="CQ1" s="223"/>
      <c r="CR1" s="223"/>
      <c r="CS1" s="223"/>
      <c r="CT1" s="223"/>
      <c r="CU1" s="223"/>
      <c r="CV1" s="223"/>
      <c r="CW1" s="223"/>
      <c r="CX1" s="223"/>
      <c r="CY1" s="223"/>
      <c r="CZ1" s="223"/>
      <c r="DA1" s="223"/>
      <c r="DB1" s="223"/>
      <c r="DC1" s="223"/>
      <c r="DD1" s="223"/>
      <c r="DE1" s="223"/>
      <c r="DF1" s="223"/>
      <c r="DG1" s="223"/>
      <c r="DH1" s="223"/>
      <c r="DI1" s="223"/>
      <c r="DJ1" s="223"/>
      <c r="DK1" s="223"/>
      <c r="DL1" s="223"/>
      <c r="DM1" s="223"/>
      <c r="DN1" s="223"/>
      <c r="DO1" s="223"/>
      <c r="DP1" s="223"/>
      <c r="DQ1" s="223"/>
      <c r="DR1" s="223"/>
      <c r="DS1" s="223"/>
      <c r="DT1" s="223"/>
      <c r="DU1" s="223"/>
      <c r="DV1" s="223"/>
      <c r="DW1" s="223"/>
      <c r="DX1" s="223"/>
      <c r="DY1" s="223"/>
      <c r="DZ1" s="223"/>
      <c r="EA1" s="223"/>
      <c r="EB1" s="223"/>
      <c r="EC1" s="223"/>
      <c r="ED1" s="223"/>
      <c r="EE1" s="223"/>
      <c r="EF1" s="223"/>
      <c r="EG1" s="223"/>
      <c r="EH1" s="223"/>
      <c r="EI1" s="223"/>
      <c r="EJ1" s="223"/>
      <c r="EK1" s="223"/>
      <c r="EL1" s="223"/>
      <c r="EM1" s="223"/>
      <c r="EN1" s="223"/>
      <c r="EO1" s="223"/>
      <c r="EP1" s="223"/>
      <c r="EQ1" s="223"/>
      <c r="ER1" s="223"/>
      <c r="ES1" s="223"/>
      <c r="ET1" s="223"/>
      <c r="EU1" s="223"/>
      <c r="EV1" s="223"/>
      <c r="EW1" s="223"/>
      <c r="EX1" s="223"/>
      <c r="EY1" s="223"/>
      <c r="EZ1" s="223"/>
      <c r="FA1" s="223"/>
      <c r="FB1" s="223"/>
      <c r="FC1" s="223"/>
      <c r="FD1" s="223"/>
      <c r="FE1" s="223"/>
      <c r="FF1" s="223"/>
      <c r="FG1" s="223"/>
      <c r="FH1" s="223"/>
      <c r="FI1" s="223"/>
      <c r="FJ1" s="223"/>
      <c r="FK1" s="223"/>
      <c r="FL1" s="223"/>
      <c r="FM1" s="223"/>
      <c r="FN1" s="223"/>
      <c r="FO1" s="223"/>
      <c r="FP1" s="223"/>
      <c r="FQ1" s="275"/>
      <c r="FR1" s="225"/>
      <c r="FS1" s="226"/>
    </row>
    <row r="2" spans="1:179" s="228" customFormat="1" ht="11.4">
      <c r="A2" s="227"/>
      <c r="E2" s="229"/>
      <c r="F2" s="229"/>
      <c r="G2" s="229" t="s">
        <v>876</v>
      </c>
      <c r="H2" s="230" t="s">
        <v>1</v>
      </c>
      <c r="I2" s="230" t="s">
        <v>291</v>
      </c>
      <c r="J2" s="230" t="s">
        <v>293</v>
      </c>
      <c r="K2" s="230" t="s">
        <v>291</v>
      </c>
      <c r="L2" s="230" t="s">
        <v>1</v>
      </c>
      <c r="M2" s="230" t="s">
        <v>1</v>
      </c>
      <c r="N2" s="231" t="s">
        <v>777</v>
      </c>
      <c r="O2" s="231" t="s">
        <v>772</v>
      </c>
      <c r="P2" s="231" t="s">
        <v>772</v>
      </c>
      <c r="Q2" s="230" t="s">
        <v>1</v>
      </c>
      <c r="R2" s="230" t="s">
        <v>1</v>
      </c>
      <c r="S2" s="230" t="s">
        <v>1</v>
      </c>
      <c r="T2" s="230" t="s">
        <v>291</v>
      </c>
      <c r="U2" s="230" t="s">
        <v>291</v>
      </c>
      <c r="V2" s="230" t="s">
        <v>1</v>
      </c>
      <c r="W2" s="231" t="s">
        <v>772</v>
      </c>
      <c r="X2" s="230" t="s">
        <v>1</v>
      </c>
      <c r="Y2" s="230" t="s">
        <v>1</v>
      </c>
      <c r="Z2" s="230" t="s">
        <v>1</v>
      </c>
      <c r="AA2" s="230" t="s">
        <v>1</v>
      </c>
      <c r="AB2" s="230" t="s">
        <v>1</v>
      </c>
      <c r="AC2" s="230" t="s">
        <v>1</v>
      </c>
      <c r="AD2" s="230" t="s">
        <v>1</v>
      </c>
      <c r="AE2" s="230" t="s">
        <v>1</v>
      </c>
      <c r="AF2" s="230" t="s">
        <v>1</v>
      </c>
      <c r="AG2" s="230" t="s">
        <v>1</v>
      </c>
      <c r="AH2" s="231" t="s">
        <v>773</v>
      </c>
      <c r="AI2" s="230" t="s">
        <v>1</v>
      </c>
      <c r="AJ2" s="230" t="s">
        <v>291</v>
      </c>
      <c r="AK2" s="230" t="s">
        <v>291</v>
      </c>
      <c r="AL2" s="230" t="s">
        <v>1</v>
      </c>
      <c r="AM2" s="230" t="s">
        <v>1</v>
      </c>
      <c r="AN2" s="230" t="s">
        <v>1</v>
      </c>
      <c r="AO2" s="230" t="s">
        <v>1</v>
      </c>
      <c r="AP2" s="230" t="s">
        <v>1</v>
      </c>
      <c r="AQ2" s="230" t="s">
        <v>1</v>
      </c>
      <c r="AR2" s="231" t="s">
        <v>772</v>
      </c>
      <c r="AS2" s="230" t="s">
        <v>291</v>
      </c>
      <c r="AT2" s="230" t="s">
        <v>291</v>
      </c>
      <c r="AU2" s="230" t="s">
        <v>1</v>
      </c>
      <c r="AV2" s="231" t="s">
        <v>774</v>
      </c>
      <c r="AW2" s="230" t="s">
        <v>1</v>
      </c>
      <c r="AX2" s="230" t="s">
        <v>1</v>
      </c>
      <c r="AY2" s="230" t="s">
        <v>1</v>
      </c>
      <c r="AZ2" s="231" t="s">
        <v>773</v>
      </c>
      <c r="BA2" s="230" t="s">
        <v>291</v>
      </c>
      <c r="BB2" s="230" t="s">
        <v>291</v>
      </c>
      <c r="BC2" s="231" t="s">
        <v>775</v>
      </c>
      <c r="BD2" s="230" t="s">
        <v>1</v>
      </c>
      <c r="BE2" s="230" t="s">
        <v>1</v>
      </c>
      <c r="BF2" s="230" t="s">
        <v>1</v>
      </c>
      <c r="BG2" s="231" t="s">
        <v>775</v>
      </c>
      <c r="BH2" s="230" t="s">
        <v>1</v>
      </c>
      <c r="BI2" s="230" t="s">
        <v>1</v>
      </c>
      <c r="BJ2" s="230" t="s">
        <v>1</v>
      </c>
      <c r="BK2" s="230" t="s">
        <v>1</v>
      </c>
      <c r="BL2" s="230" t="s">
        <v>1</v>
      </c>
      <c r="BM2" s="230" t="s">
        <v>1</v>
      </c>
      <c r="BN2" s="230" t="s">
        <v>1</v>
      </c>
      <c r="BO2" s="231" t="s">
        <v>776</v>
      </c>
      <c r="BP2" s="231" t="s">
        <v>776</v>
      </c>
      <c r="BQ2" s="231" t="s">
        <v>776</v>
      </c>
      <c r="BR2" s="230" t="s">
        <v>1</v>
      </c>
      <c r="BS2" s="230" t="s">
        <v>1</v>
      </c>
      <c r="BT2" s="230" t="s">
        <v>1</v>
      </c>
      <c r="BU2" s="230" t="s">
        <v>1</v>
      </c>
      <c r="BV2" s="230" t="s">
        <v>1</v>
      </c>
      <c r="BW2" s="230" t="s">
        <v>1</v>
      </c>
      <c r="BX2" s="230" t="s">
        <v>1</v>
      </c>
      <c r="BY2" s="230" t="s">
        <v>1</v>
      </c>
      <c r="BZ2" s="230" t="s">
        <v>1</v>
      </c>
      <c r="CA2" s="230" t="s">
        <v>1</v>
      </c>
      <c r="CB2" s="231" t="s">
        <v>776</v>
      </c>
      <c r="CC2" s="230" t="s">
        <v>1</v>
      </c>
      <c r="CD2" s="230" t="s">
        <v>1</v>
      </c>
      <c r="CE2" s="231" t="s">
        <v>776</v>
      </c>
      <c r="CF2" s="231" t="s">
        <v>776</v>
      </c>
      <c r="CG2" s="231" t="s">
        <v>776</v>
      </c>
      <c r="CH2" s="230" t="s">
        <v>1</v>
      </c>
      <c r="CI2" s="230" t="s">
        <v>1</v>
      </c>
      <c r="CJ2" s="230" t="s">
        <v>1</v>
      </c>
      <c r="CK2" s="230" t="s">
        <v>1</v>
      </c>
      <c r="CL2" s="230" t="s">
        <v>1</v>
      </c>
      <c r="CM2" s="230" t="s">
        <v>1</v>
      </c>
      <c r="CN2" s="230" t="s">
        <v>1</v>
      </c>
      <c r="CO2" s="230" t="s">
        <v>1</v>
      </c>
      <c r="CP2" s="230" t="s">
        <v>1</v>
      </c>
      <c r="CQ2" s="230" t="s">
        <v>1</v>
      </c>
      <c r="CR2" s="230" t="s">
        <v>1</v>
      </c>
      <c r="CS2" s="230" t="s">
        <v>1</v>
      </c>
      <c r="CT2" s="230" t="s">
        <v>1</v>
      </c>
      <c r="CU2" s="230" t="s">
        <v>1</v>
      </c>
      <c r="CV2" s="230" t="s">
        <v>1</v>
      </c>
      <c r="CW2" s="230" t="s">
        <v>1</v>
      </c>
      <c r="CX2" s="230" t="s">
        <v>1</v>
      </c>
      <c r="CY2" s="230" t="s">
        <v>1</v>
      </c>
      <c r="CZ2" s="231" t="s">
        <v>777</v>
      </c>
      <c r="DA2" s="230" t="s">
        <v>1</v>
      </c>
      <c r="DB2" s="230" t="s">
        <v>1</v>
      </c>
      <c r="DC2" s="230" t="s">
        <v>1</v>
      </c>
      <c r="DD2" s="230" t="s">
        <v>1</v>
      </c>
      <c r="DE2" s="230" t="s">
        <v>1</v>
      </c>
      <c r="DF2" s="230" t="s">
        <v>1</v>
      </c>
      <c r="DG2" s="230" t="s">
        <v>1</v>
      </c>
      <c r="DH2" s="230" t="s">
        <v>1</v>
      </c>
      <c r="DI2" s="230" t="s">
        <v>1</v>
      </c>
      <c r="DJ2" s="230" t="s">
        <v>1</v>
      </c>
      <c r="DK2" s="230" t="s">
        <v>1</v>
      </c>
      <c r="DL2" s="230" t="s">
        <v>1</v>
      </c>
      <c r="DM2" s="230" t="s">
        <v>1</v>
      </c>
      <c r="DN2" s="230" t="s">
        <v>291</v>
      </c>
      <c r="DO2" s="230" t="s">
        <v>1</v>
      </c>
      <c r="DP2" s="230" t="s">
        <v>1</v>
      </c>
      <c r="DQ2" s="230" t="s">
        <v>1</v>
      </c>
      <c r="DR2" s="230" t="s">
        <v>1</v>
      </c>
      <c r="DS2" s="230" t="s">
        <v>1</v>
      </c>
      <c r="DT2" s="230" t="s">
        <v>1</v>
      </c>
      <c r="DU2" s="230" t="s">
        <v>1</v>
      </c>
      <c r="DV2" s="230" t="s">
        <v>1</v>
      </c>
      <c r="DW2" s="230" t="s">
        <v>1</v>
      </c>
      <c r="DX2" s="230" t="s">
        <v>291</v>
      </c>
      <c r="DY2" s="231" t="s">
        <v>775</v>
      </c>
      <c r="DZ2" s="231" t="s">
        <v>775</v>
      </c>
      <c r="EA2" s="230" t="s">
        <v>1</v>
      </c>
      <c r="EB2" s="230" t="s">
        <v>291</v>
      </c>
      <c r="EC2" s="230" t="s">
        <v>291</v>
      </c>
      <c r="ED2" s="230" t="s">
        <v>291</v>
      </c>
      <c r="EE2" s="230" t="s">
        <v>1</v>
      </c>
      <c r="EF2" s="230" t="s">
        <v>1</v>
      </c>
      <c r="EG2" s="230" t="s">
        <v>1</v>
      </c>
      <c r="EH2" s="230" t="s">
        <v>1</v>
      </c>
      <c r="EI2" s="230" t="s">
        <v>1</v>
      </c>
      <c r="EJ2" s="230" t="s">
        <v>1</v>
      </c>
      <c r="EK2" s="230" t="s">
        <v>1</v>
      </c>
      <c r="EL2" s="230" t="s">
        <v>1</v>
      </c>
      <c r="EM2" s="230" t="s">
        <v>1</v>
      </c>
      <c r="EN2" s="230" t="s">
        <v>1</v>
      </c>
      <c r="EO2" s="230" t="s">
        <v>1</v>
      </c>
      <c r="EP2" s="230" t="s">
        <v>1</v>
      </c>
      <c r="EQ2" s="230" t="s">
        <v>1</v>
      </c>
      <c r="ER2" s="230" t="s">
        <v>1</v>
      </c>
      <c r="ES2" s="230" t="s">
        <v>1</v>
      </c>
      <c r="ET2" s="230" t="s">
        <v>1</v>
      </c>
      <c r="EU2" s="230" t="s">
        <v>1</v>
      </c>
      <c r="EV2" s="230" t="s">
        <v>1</v>
      </c>
      <c r="EW2" s="230" t="s">
        <v>293</v>
      </c>
      <c r="EX2" s="230" t="s">
        <v>293</v>
      </c>
      <c r="EY2" s="230" t="s">
        <v>1</v>
      </c>
      <c r="EZ2" s="230" t="s">
        <v>1</v>
      </c>
      <c r="FA2" s="230" t="s">
        <v>1</v>
      </c>
      <c r="FB2" s="230" t="s">
        <v>293</v>
      </c>
      <c r="FC2" s="230" t="s">
        <v>1</v>
      </c>
      <c r="FD2" s="230" t="s">
        <v>1</v>
      </c>
      <c r="FE2" s="230" t="s">
        <v>1</v>
      </c>
      <c r="FF2" s="230" t="s">
        <v>293</v>
      </c>
      <c r="FG2" s="230" t="s">
        <v>1</v>
      </c>
      <c r="FH2" s="230" t="s">
        <v>1</v>
      </c>
      <c r="FI2" s="230" t="s">
        <v>1</v>
      </c>
      <c r="FJ2" s="230" t="s">
        <v>293</v>
      </c>
      <c r="FK2" s="230" t="s">
        <v>1</v>
      </c>
      <c r="FL2" s="230" t="s">
        <v>291</v>
      </c>
      <c r="FM2" s="230" t="s">
        <v>1</v>
      </c>
      <c r="FN2" s="230" t="s">
        <v>1</v>
      </c>
      <c r="FO2" s="230" t="s">
        <v>1</v>
      </c>
      <c r="FP2" s="230" t="s">
        <v>1</v>
      </c>
      <c r="FQ2" s="275"/>
      <c r="FR2" s="232"/>
      <c r="FS2" s="233"/>
    </row>
    <row r="3" spans="1:179" s="228" customFormat="1">
      <c r="A3" s="227"/>
      <c r="E3" s="229"/>
      <c r="F3" s="229"/>
      <c r="G3" s="229" t="s">
        <v>296</v>
      </c>
      <c r="H3" s="230">
        <v>20</v>
      </c>
      <c r="I3" s="230">
        <v>20</v>
      </c>
      <c r="J3" s="230">
        <v>20</v>
      </c>
      <c r="K3" s="230">
        <v>20</v>
      </c>
      <c r="L3" s="230">
        <v>20</v>
      </c>
      <c r="M3" s="230">
        <v>20</v>
      </c>
      <c r="N3" s="230">
        <v>20</v>
      </c>
      <c r="O3" s="230">
        <v>20</v>
      </c>
      <c r="P3" s="230">
        <v>20</v>
      </c>
      <c r="Q3" s="230">
        <v>20</v>
      </c>
      <c r="R3" s="230">
        <v>20</v>
      </c>
      <c r="S3" s="230">
        <v>20</v>
      </c>
      <c r="T3" s="230">
        <v>20</v>
      </c>
      <c r="U3" s="230">
        <v>10</v>
      </c>
      <c r="V3" s="230">
        <v>20</v>
      </c>
      <c r="W3" s="230">
        <v>20</v>
      </c>
      <c r="X3" s="230">
        <v>20</v>
      </c>
      <c r="Y3" s="230">
        <v>20</v>
      </c>
      <c r="Z3" s="230">
        <v>10</v>
      </c>
      <c r="AA3" s="230">
        <v>20</v>
      </c>
      <c r="AB3" s="230">
        <v>20</v>
      </c>
      <c r="AC3" s="230">
        <v>20</v>
      </c>
      <c r="AD3" s="230">
        <v>10</v>
      </c>
      <c r="AE3" s="230">
        <v>20</v>
      </c>
      <c r="AF3" s="230">
        <v>20</v>
      </c>
      <c r="AG3" s="230">
        <v>20</v>
      </c>
      <c r="AH3" s="230">
        <v>20</v>
      </c>
      <c r="AI3" s="230">
        <v>20</v>
      </c>
      <c r="AJ3" s="230">
        <v>20</v>
      </c>
      <c r="AK3" s="230">
        <v>10</v>
      </c>
      <c r="AL3" s="230">
        <v>10</v>
      </c>
      <c r="AM3" s="230">
        <v>10</v>
      </c>
      <c r="AN3" s="230">
        <v>10</v>
      </c>
      <c r="AO3" s="230">
        <v>20</v>
      </c>
      <c r="AP3" s="230">
        <v>10</v>
      </c>
      <c r="AQ3" s="230">
        <v>10</v>
      </c>
      <c r="AR3" s="230">
        <v>10</v>
      </c>
      <c r="AS3" s="230">
        <v>10</v>
      </c>
      <c r="AT3" s="230">
        <v>10</v>
      </c>
      <c r="AU3" s="230">
        <v>20</v>
      </c>
      <c r="AV3" s="230">
        <v>20</v>
      </c>
      <c r="AW3" s="230">
        <v>10</v>
      </c>
      <c r="AX3" s="230">
        <v>10</v>
      </c>
      <c r="AY3" s="230">
        <v>20</v>
      </c>
      <c r="AZ3" s="230">
        <v>20</v>
      </c>
      <c r="BA3" s="230">
        <v>10</v>
      </c>
      <c r="BB3" s="230">
        <v>10</v>
      </c>
      <c r="BC3" s="230">
        <v>10</v>
      </c>
      <c r="BD3" s="230">
        <v>10</v>
      </c>
      <c r="BE3" s="230">
        <v>20</v>
      </c>
      <c r="BF3" s="230">
        <v>20</v>
      </c>
      <c r="BG3" s="230">
        <v>10</v>
      </c>
      <c r="BH3" s="230">
        <v>10</v>
      </c>
      <c r="BI3" s="230">
        <v>10</v>
      </c>
      <c r="BJ3" s="230">
        <v>10</v>
      </c>
      <c r="BK3" s="230">
        <v>10</v>
      </c>
      <c r="BL3" s="230">
        <v>10</v>
      </c>
      <c r="BM3" s="230">
        <v>10</v>
      </c>
      <c r="BN3" s="230">
        <v>10</v>
      </c>
      <c r="BO3" s="230">
        <v>10</v>
      </c>
      <c r="BP3" s="230">
        <v>10</v>
      </c>
      <c r="BQ3" s="230">
        <v>10</v>
      </c>
      <c r="BR3" s="230">
        <v>10</v>
      </c>
      <c r="BS3" s="230">
        <v>10</v>
      </c>
      <c r="BT3" s="230">
        <v>5</v>
      </c>
      <c r="BU3" s="230">
        <v>10</v>
      </c>
      <c r="BV3" s="230">
        <v>10</v>
      </c>
      <c r="BW3" s="230" t="s">
        <v>206</v>
      </c>
      <c r="BX3" s="230">
        <v>10</v>
      </c>
      <c r="BY3" s="230">
        <v>10</v>
      </c>
      <c r="BZ3" s="230">
        <v>10</v>
      </c>
      <c r="CA3" s="230">
        <v>10</v>
      </c>
      <c r="CB3" s="230">
        <v>5</v>
      </c>
      <c r="CC3" s="230">
        <v>10</v>
      </c>
      <c r="CD3" s="230">
        <v>10</v>
      </c>
      <c r="CE3" s="230">
        <v>10</v>
      </c>
      <c r="CF3" s="230">
        <v>10</v>
      </c>
      <c r="CG3" s="230">
        <v>5</v>
      </c>
      <c r="CH3" s="230">
        <v>5</v>
      </c>
      <c r="CI3" s="230">
        <v>4</v>
      </c>
      <c r="CJ3" s="230">
        <v>5</v>
      </c>
      <c r="CK3" s="230">
        <v>5</v>
      </c>
      <c r="CL3" s="230">
        <v>10</v>
      </c>
      <c r="CM3" s="230">
        <v>10</v>
      </c>
      <c r="CN3" s="230">
        <v>10</v>
      </c>
      <c r="CO3" s="230">
        <v>10</v>
      </c>
      <c r="CP3" s="230">
        <v>1</v>
      </c>
      <c r="CQ3" s="230">
        <v>1</v>
      </c>
      <c r="CR3" s="230">
        <v>1</v>
      </c>
      <c r="CS3" s="230">
        <v>1</v>
      </c>
      <c r="CT3" s="230">
        <v>1</v>
      </c>
      <c r="CU3" s="230">
        <v>1</v>
      </c>
      <c r="CV3" s="230">
        <v>10</v>
      </c>
      <c r="CW3" s="230">
        <v>10</v>
      </c>
      <c r="CX3" s="230">
        <v>5</v>
      </c>
      <c r="CY3" s="230">
        <v>10</v>
      </c>
      <c r="CZ3" s="230">
        <v>5</v>
      </c>
      <c r="DA3" s="230">
        <v>4</v>
      </c>
      <c r="DB3" s="230">
        <v>5</v>
      </c>
      <c r="DC3" s="230">
        <v>5</v>
      </c>
      <c r="DD3" s="230">
        <v>10</v>
      </c>
      <c r="DE3" s="230">
        <v>10</v>
      </c>
      <c r="DF3" s="230">
        <v>10</v>
      </c>
      <c r="DG3" s="230">
        <v>1</v>
      </c>
      <c r="DH3" s="230">
        <v>1</v>
      </c>
      <c r="DI3" s="230">
        <v>1</v>
      </c>
      <c r="DJ3" s="230">
        <v>1</v>
      </c>
      <c r="DK3" s="230">
        <v>10</v>
      </c>
      <c r="DL3" s="230">
        <v>5</v>
      </c>
      <c r="DM3" s="230">
        <v>10</v>
      </c>
      <c r="DN3" s="230" t="s">
        <v>206</v>
      </c>
      <c r="DO3" s="230" t="s">
        <v>206</v>
      </c>
      <c r="DP3" s="230" t="s">
        <v>206</v>
      </c>
      <c r="DQ3" s="230" t="s">
        <v>206</v>
      </c>
      <c r="DR3" s="230" t="s">
        <v>206</v>
      </c>
      <c r="DS3" s="230" t="s">
        <v>206</v>
      </c>
      <c r="DT3" s="230" t="s">
        <v>206</v>
      </c>
      <c r="DU3" s="230" t="s">
        <v>206</v>
      </c>
      <c r="DV3" s="230" t="s">
        <v>206</v>
      </c>
      <c r="DW3" s="230" t="s">
        <v>206</v>
      </c>
      <c r="DX3" s="230">
        <v>30</v>
      </c>
      <c r="DY3" s="230">
        <v>20</v>
      </c>
      <c r="DZ3" s="230">
        <v>30</v>
      </c>
      <c r="EA3" s="230">
        <v>30</v>
      </c>
      <c r="EB3" s="230">
        <v>30</v>
      </c>
      <c r="EC3" s="230">
        <v>20</v>
      </c>
      <c r="ED3" s="230">
        <v>30</v>
      </c>
      <c r="EE3" s="230">
        <v>10</v>
      </c>
      <c r="EF3" s="230">
        <v>10</v>
      </c>
      <c r="EG3" s="230">
        <v>10</v>
      </c>
      <c r="EH3" s="230">
        <v>10</v>
      </c>
      <c r="EI3" s="230">
        <v>10</v>
      </c>
      <c r="EJ3" s="230">
        <v>10</v>
      </c>
      <c r="EK3" s="230">
        <v>10</v>
      </c>
      <c r="EL3" s="230">
        <v>10</v>
      </c>
      <c r="EM3" s="230">
        <v>10</v>
      </c>
      <c r="EN3" s="230">
        <v>10</v>
      </c>
      <c r="EO3" s="230">
        <v>10</v>
      </c>
      <c r="EP3" s="230">
        <v>5</v>
      </c>
      <c r="EQ3" s="230">
        <v>10</v>
      </c>
      <c r="ER3" s="230">
        <v>10</v>
      </c>
      <c r="ES3" s="230" t="s">
        <v>206</v>
      </c>
      <c r="ET3" s="230">
        <v>10</v>
      </c>
      <c r="EU3" s="230">
        <v>10</v>
      </c>
      <c r="EV3" s="230">
        <v>10</v>
      </c>
      <c r="EW3" s="230">
        <v>10</v>
      </c>
      <c r="EX3" s="230">
        <v>10</v>
      </c>
      <c r="EY3" s="230">
        <v>10</v>
      </c>
      <c r="EZ3" s="230">
        <v>10</v>
      </c>
      <c r="FA3" s="230">
        <v>5</v>
      </c>
      <c r="FB3" s="230">
        <v>10</v>
      </c>
      <c r="FC3" s="230">
        <v>10</v>
      </c>
      <c r="FD3" s="230">
        <v>5</v>
      </c>
      <c r="FE3" s="230">
        <v>5</v>
      </c>
      <c r="FF3" s="230">
        <v>10</v>
      </c>
      <c r="FG3" s="230">
        <v>10</v>
      </c>
      <c r="FH3" s="230">
        <v>5</v>
      </c>
      <c r="FI3" s="230" t="s">
        <v>206</v>
      </c>
      <c r="FJ3" s="230">
        <v>10</v>
      </c>
      <c r="FK3" s="230">
        <v>10</v>
      </c>
      <c r="FL3" s="230">
        <v>20</v>
      </c>
      <c r="FM3" s="230">
        <v>10</v>
      </c>
      <c r="FN3" s="230">
        <v>10</v>
      </c>
      <c r="FO3" s="230">
        <v>10</v>
      </c>
      <c r="FP3" s="230">
        <v>10</v>
      </c>
      <c r="FQ3" s="277"/>
      <c r="FR3" s="227"/>
      <c r="FT3" s="232"/>
      <c r="FU3" s="233"/>
    </row>
    <row r="4" spans="1:179" s="235" customFormat="1">
      <c r="A4" s="234"/>
      <c r="E4" s="234"/>
      <c r="F4" s="234"/>
      <c r="G4" s="234" t="s">
        <v>778</v>
      </c>
      <c r="H4" s="236" t="s">
        <v>453</v>
      </c>
      <c r="I4" s="236" t="s">
        <v>454</v>
      </c>
      <c r="J4" s="236" t="s">
        <v>455</v>
      </c>
      <c r="K4" s="236" t="s">
        <v>456</v>
      </c>
      <c r="L4" s="236" t="s">
        <v>297</v>
      </c>
      <c r="M4" s="236" t="s">
        <v>1025</v>
      </c>
      <c r="N4" s="236" t="s">
        <v>457</v>
      </c>
      <c r="O4" s="237" t="s">
        <v>298</v>
      </c>
      <c r="P4" s="237" t="s">
        <v>298</v>
      </c>
      <c r="Q4" s="237" t="s">
        <v>458</v>
      </c>
      <c r="R4" s="237" t="s">
        <v>458</v>
      </c>
      <c r="S4" s="236" t="s">
        <v>459</v>
      </c>
      <c r="T4" s="236" t="s">
        <v>460</v>
      </c>
      <c r="U4" s="236" t="s">
        <v>461</v>
      </c>
      <c r="V4" s="236" t="s">
        <v>462</v>
      </c>
      <c r="W4" s="236" t="s">
        <v>463</v>
      </c>
      <c r="X4" s="236" t="s">
        <v>464</v>
      </c>
      <c r="Y4" s="236" t="s">
        <v>465</v>
      </c>
      <c r="Z4" s="236" t="s">
        <v>466</v>
      </c>
      <c r="AA4" s="238" t="s">
        <v>468</v>
      </c>
      <c r="AB4" s="238" t="s">
        <v>468</v>
      </c>
      <c r="AC4" s="236" t="s">
        <v>469</v>
      </c>
      <c r="AD4" s="236" t="s">
        <v>470</v>
      </c>
      <c r="AE4" s="236" t="s">
        <v>299</v>
      </c>
      <c r="AF4" s="236" t="s">
        <v>471</v>
      </c>
      <c r="AG4" s="236" t="s">
        <v>300</v>
      </c>
      <c r="AH4" s="236" t="s">
        <v>472</v>
      </c>
      <c r="AI4" s="236" t="s">
        <v>473</v>
      </c>
      <c r="AJ4" s="236" t="s">
        <v>474</v>
      </c>
      <c r="AK4" s="236" t="s">
        <v>301</v>
      </c>
      <c r="AL4" s="236" t="s">
        <v>475</v>
      </c>
      <c r="AM4" s="236" t="s">
        <v>476</v>
      </c>
      <c r="AN4" s="236" t="s">
        <v>477</v>
      </c>
      <c r="AO4" s="236" t="s">
        <v>478</v>
      </c>
      <c r="AP4" s="236" t="s">
        <v>479</v>
      </c>
      <c r="AQ4" s="236" t="s">
        <v>480</v>
      </c>
      <c r="AR4" s="236" t="s">
        <v>302</v>
      </c>
      <c r="AS4" s="236" t="s">
        <v>482</v>
      </c>
      <c r="AT4" s="236" t="s">
        <v>483</v>
      </c>
      <c r="AU4" s="236" t="s">
        <v>484</v>
      </c>
      <c r="AV4" s="236" t="s">
        <v>303</v>
      </c>
      <c r="AW4" s="236" t="s">
        <v>304</v>
      </c>
      <c r="AX4" s="236" t="s">
        <v>486</v>
      </c>
      <c r="AY4" s="236" t="s">
        <v>487</v>
      </c>
      <c r="AZ4" s="236" t="s">
        <v>488</v>
      </c>
      <c r="BA4" s="236" t="s">
        <v>489</v>
      </c>
      <c r="BB4" s="236" t="s">
        <v>490</v>
      </c>
      <c r="BC4" s="236" t="s">
        <v>305</v>
      </c>
      <c r="BD4" s="236" t="s">
        <v>491</v>
      </c>
      <c r="BE4" s="236" t="s">
        <v>492</v>
      </c>
      <c r="BF4" s="236" t="s">
        <v>493</v>
      </c>
      <c r="BG4" s="236" t="s">
        <v>306</v>
      </c>
      <c r="BH4" s="236" t="s">
        <v>494</v>
      </c>
      <c r="BI4" s="236" t="s">
        <v>495</v>
      </c>
      <c r="BJ4" s="236" t="s">
        <v>497</v>
      </c>
      <c r="BK4" s="236" t="s">
        <v>307</v>
      </c>
      <c r="BL4" s="238" t="s">
        <v>784</v>
      </c>
      <c r="BM4" s="238" t="s">
        <v>784</v>
      </c>
      <c r="BN4" s="236" t="s">
        <v>285</v>
      </c>
      <c r="BO4" s="236" t="s">
        <v>272</v>
      </c>
      <c r="BP4" s="236" t="s">
        <v>257</v>
      </c>
      <c r="BQ4" s="236" t="s">
        <v>258</v>
      </c>
      <c r="BR4" s="236" t="s">
        <v>273</v>
      </c>
      <c r="BS4" s="236" t="s">
        <v>500</v>
      </c>
      <c r="BT4" s="236" t="s">
        <v>20</v>
      </c>
      <c r="BU4" s="236" t="s">
        <v>11</v>
      </c>
      <c r="BV4" s="236" t="s">
        <v>12</v>
      </c>
      <c r="BW4" s="236" t="s">
        <v>1026</v>
      </c>
      <c r="BX4" s="236" t="s">
        <v>13</v>
      </c>
      <c r="BY4" s="236" t="s">
        <v>70</v>
      </c>
      <c r="BZ4" s="236" t="s">
        <v>501</v>
      </c>
      <c r="CA4" s="236" t="s">
        <v>231</v>
      </c>
      <c r="CB4" s="236" t="s">
        <v>17</v>
      </c>
      <c r="CC4" s="236" t="s">
        <v>14</v>
      </c>
      <c r="CD4" s="236" t="s">
        <v>6</v>
      </c>
      <c r="CE4" s="236" t="s">
        <v>7</v>
      </c>
      <c r="CF4" s="236" t="s">
        <v>18</v>
      </c>
      <c r="CG4" s="238" t="s">
        <v>8</v>
      </c>
      <c r="CH4" s="238" t="s">
        <v>8</v>
      </c>
      <c r="CI4" s="236" t="s">
        <v>87</v>
      </c>
      <c r="CJ4" s="236" t="s">
        <v>71</v>
      </c>
      <c r="CK4" s="236" t="s">
        <v>16</v>
      </c>
      <c r="CL4" s="236" t="s">
        <v>72</v>
      </c>
      <c r="CM4" s="236" t="s">
        <v>2</v>
      </c>
      <c r="CN4" s="236" t="s">
        <v>3</v>
      </c>
      <c r="CO4" s="236" t="s">
        <v>502</v>
      </c>
      <c r="CP4" s="236" t="s">
        <v>115</v>
      </c>
      <c r="CQ4" s="236" t="s">
        <v>115</v>
      </c>
      <c r="CR4" s="236" t="s">
        <v>115</v>
      </c>
      <c r="CS4" s="236" t="s">
        <v>115</v>
      </c>
      <c r="CT4" s="236" t="s">
        <v>115</v>
      </c>
      <c r="CU4" s="236" t="s">
        <v>115</v>
      </c>
      <c r="CV4" s="236" t="s">
        <v>308</v>
      </c>
      <c r="CW4" s="236" t="s">
        <v>9</v>
      </c>
      <c r="CX4" s="236" t="s">
        <v>506</v>
      </c>
      <c r="CY4" s="236" t="s">
        <v>509</v>
      </c>
      <c r="CZ4" s="236" t="s">
        <v>15</v>
      </c>
      <c r="DA4" s="236" t="s">
        <v>167</v>
      </c>
      <c r="DB4" s="236" t="s">
        <v>240</v>
      </c>
      <c r="DC4" s="236" t="s">
        <v>101</v>
      </c>
      <c r="DD4" s="236" t="s">
        <v>207</v>
      </c>
      <c r="DE4" s="236" t="s">
        <v>4</v>
      </c>
      <c r="DF4" s="236" t="s">
        <v>5</v>
      </c>
      <c r="DG4" s="236" t="s">
        <v>227</v>
      </c>
      <c r="DH4" s="236" t="s">
        <v>227</v>
      </c>
      <c r="DI4" s="236" t="s">
        <v>227</v>
      </c>
      <c r="DJ4" s="236" t="s">
        <v>227</v>
      </c>
      <c r="DK4" s="236" t="s">
        <v>10</v>
      </c>
      <c r="DL4" s="236" t="s">
        <v>10</v>
      </c>
      <c r="DM4" s="236" t="s">
        <v>19</v>
      </c>
      <c r="DN4" s="236" t="s">
        <v>1027</v>
      </c>
      <c r="DO4" s="236" t="s">
        <v>986</v>
      </c>
      <c r="DP4" s="236" t="s">
        <v>1028</v>
      </c>
      <c r="DQ4" s="236" t="s">
        <v>1029</v>
      </c>
      <c r="DR4" s="236" t="s">
        <v>987</v>
      </c>
      <c r="DS4" s="236" t="s">
        <v>1030</v>
      </c>
      <c r="DT4" s="236" t="s">
        <v>1031</v>
      </c>
      <c r="DU4" s="236" t="s">
        <v>1032</v>
      </c>
      <c r="DV4" s="236" t="s">
        <v>1033</v>
      </c>
      <c r="DW4" s="236" t="s">
        <v>1034</v>
      </c>
      <c r="DX4" s="236" t="s">
        <v>512</v>
      </c>
      <c r="DY4" s="236" t="s">
        <v>513</v>
      </c>
      <c r="DZ4" s="236" t="s">
        <v>309</v>
      </c>
      <c r="EA4" s="236" t="s">
        <v>514</v>
      </c>
      <c r="EB4" s="236" t="s">
        <v>310</v>
      </c>
      <c r="EC4" s="236" t="s">
        <v>515</v>
      </c>
      <c r="ED4" s="236" t="s">
        <v>516</v>
      </c>
      <c r="EE4" s="236" t="s">
        <v>517</v>
      </c>
      <c r="EF4" s="236" t="s">
        <v>311</v>
      </c>
      <c r="EG4" s="236" t="s">
        <v>518</v>
      </c>
      <c r="EH4" s="236" t="s">
        <v>519</v>
      </c>
      <c r="EI4" s="236" t="s">
        <v>312</v>
      </c>
      <c r="EJ4" s="236" t="s">
        <v>520</v>
      </c>
      <c r="EK4" s="236" t="s">
        <v>521</v>
      </c>
      <c r="EL4" s="236" t="s">
        <v>522</v>
      </c>
      <c r="EM4" s="236" t="s">
        <v>523</v>
      </c>
      <c r="EN4" s="236" t="s">
        <v>524</v>
      </c>
      <c r="EO4" s="236" t="s">
        <v>313</v>
      </c>
      <c r="EP4" s="236" t="s">
        <v>525</v>
      </c>
      <c r="EQ4" s="236" t="s">
        <v>526</v>
      </c>
      <c r="ER4" s="236" t="s">
        <v>527</v>
      </c>
      <c r="ES4" s="236" t="s">
        <v>1035</v>
      </c>
      <c r="ET4" s="236" t="s">
        <v>528</v>
      </c>
      <c r="EU4" s="236" t="s">
        <v>529</v>
      </c>
      <c r="EV4" s="236" t="s">
        <v>530</v>
      </c>
      <c r="EW4" s="236" t="s">
        <v>531</v>
      </c>
      <c r="EX4" s="236" t="s">
        <v>531</v>
      </c>
      <c r="EY4" s="236" t="s">
        <v>287</v>
      </c>
      <c r="EZ4" s="236" t="s">
        <v>314</v>
      </c>
      <c r="FA4" s="236" t="s">
        <v>261</v>
      </c>
      <c r="FB4" s="236" t="s">
        <v>532</v>
      </c>
      <c r="FC4" s="236" t="s">
        <v>208</v>
      </c>
      <c r="FD4" s="236" t="s">
        <v>228</v>
      </c>
      <c r="FE4" s="236" t="s">
        <v>209</v>
      </c>
      <c r="FF4" s="236" t="s">
        <v>533</v>
      </c>
      <c r="FG4" s="236" t="s">
        <v>229</v>
      </c>
      <c r="FH4" s="236" t="s">
        <v>279</v>
      </c>
      <c r="FI4" s="236" t="s">
        <v>534</v>
      </c>
      <c r="FJ4" s="236" t="s">
        <v>535</v>
      </c>
      <c r="FK4" s="236" t="s">
        <v>230</v>
      </c>
      <c r="FL4" s="236" t="s">
        <v>883</v>
      </c>
      <c r="FM4" s="236" t="s">
        <v>536</v>
      </c>
      <c r="FN4" s="236" t="s">
        <v>315</v>
      </c>
      <c r="FO4" s="236" t="s">
        <v>538</v>
      </c>
      <c r="FP4" s="236" t="s">
        <v>539</v>
      </c>
      <c r="FQ4" s="278"/>
      <c r="FR4" s="234"/>
      <c r="FT4" s="240"/>
    </row>
    <row r="5" spans="1:179" s="221" customFormat="1" ht="11.4">
      <c r="A5" s="241"/>
      <c r="D5" s="222"/>
      <c r="E5" s="223" t="s">
        <v>316</v>
      </c>
      <c r="F5" s="242" t="s">
        <v>870</v>
      </c>
      <c r="G5" s="223" t="s">
        <v>317</v>
      </c>
      <c r="H5" s="243" t="s">
        <v>540</v>
      </c>
      <c r="I5" s="243" t="s">
        <v>541</v>
      </c>
      <c r="J5" s="243" t="s">
        <v>542</v>
      </c>
      <c r="K5" s="243" t="s">
        <v>543</v>
      </c>
      <c r="L5" s="243" t="s">
        <v>318</v>
      </c>
      <c r="M5" s="243" t="s">
        <v>1036</v>
      </c>
      <c r="N5" s="243" t="s">
        <v>544</v>
      </c>
      <c r="O5" s="243" t="s">
        <v>1037</v>
      </c>
      <c r="P5" s="243" t="s">
        <v>319</v>
      </c>
      <c r="Q5" s="243" t="s">
        <v>1038</v>
      </c>
      <c r="R5" s="243" t="s">
        <v>545</v>
      </c>
      <c r="S5" s="243" t="s">
        <v>546</v>
      </c>
      <c r="T5" s="243" t="s">
        <v>547</v>
      </c>
      <c r="U5" s="243" t="s">
        <v>548</v>
      </c>
      <c r="V5" s="243" t="s">
        <v>549</v>
      </c>
      <c r="W5" s="243" t="s">
        <v>550</v>
      </c>
      <c r="X5" s="243" t="s">
        <v>551</v>
      </c>
      <c r="Y5" s="243" t="s">
        <v>552</v>
      </c>
      <c r="Z5" s="243" t="s">
        <v>553</v>
      </c>
      <c r="AA5" s="243" t="s">
        <v>885</v>
      </c>
      <c r="AB5" s="243" t="s">
        <v>555</v>
      </c>
      <c r="AC5" s="243" t="s">
        <v>556</v>
      </c>
      <c r="AD5" s="243" t="s">
        <v>557</v>
      </c>
      <c r="AE5" s="243" t="s">
        <v>320</v>
      </c>
      <c r="AF5" s="243" t="s">
        <v>558</v>
      </c>
      <c r="AG5" s="243" t="s">
        <v>321</v>
      </c>
      <c r="AH5" s="243" t="s">
        <v>790</v>
      </c>
      <c r="AI5" s="243" t="s">
        <v>560</v>
      </c>
      <c r="AJ5" s="243" t="s">
        <v>561</v>
      </c>
      <c r="AK5" s="243" t="s">
        <v>322</v>
      </c>
      <c r="AL5" s="243" t="s">
        <v>562</v>
      </c>
      <c r="AM5" s="243" t="s">
        <v>563</v>
      </c>
      <c r="AN5" s="243" t="s">
        <v>564</v>
      </c>
      <c r="AO5" s="243" t="s">
        <v>565</v>
      </c>
      <c r="AP5" s="243" t="s">
        <v>566</v>
      </c>
      <c r="AQ5" s="243" t="s">
        <v>567</v>
      </c>
      <c r="AR5" s="243" t="s">
        <v>323</v>
      </c>
      <c r="AS5" s="243" t="s">
        <v>569</v>
      </c>
      <c r="AT5" s="243" t="s">
        <v>570</v>
      </c>
      <c r="AU5" s="243" t="s">
        <v>571</v>
      </c>
      <c r="AV5" s="243" t="s">
        <v>324</v>
      </c>
      <c r="AW5" s="243" t="s">
        <v>325</v>
      </c>
      <c r="AX5" s="243" t="s">
        <v>574</v>
      </c>
      <c r="AY5" s="243" t="s">
        <v>575</v>
      </c>
      <c r="AZ5" s="243" t="s">
        <v>576</v>
      </c>
      <c r="BA5" s="243" t="s">
        <v>577</v>
      </c>
      <c r="BB5" s="243" t="s">
        <v>578</v>
      </c>
      <c r="BC5" s="243" t="s">
        <v>326</v>
      </c>
      <c r="BD5" s="243" t="s">
        <v>579</v>
      </c>
      <c r="BE5" s="243" t="s">
        <v>580</v>
      </c>
      <c r="BF5" s="243" t="s">
        <v>581</v>
      </c>
      <c r="BG5" s="243" t="s">
        <v>327</v>
      </c>
      <c r="BH5" s="243" t="s">
        <v>582</v>
      </c>
      <c r="BI5" s="243" t="s">
        <v>583</v>
      </c>
      <c r="BJ5" s="243" t="s">
        <v>1039</v>
      </c>
      <c r="BK5" s="243" t="s">
        <v>328</v>
      </c>
      <c r="BL5" s="243" t="s">
        <v>1040</v>
      </c>
      <c r="BM5" s="243" t="s">
        <v>798</v>
      </c>
      <c r="BN5" s="243" t="s">
        <v>286</v>
      </c>
      <c r="BO5" s="243" t="s">
        <v>274</v>
      </c>
      <c r="BP5" s="243" t="s">
        <v>259</v>
      </c>
      <c r="BQ5" s="243" t="s">
        <v>260</v>
      </c>
      <c r="BR5" s="243" t="s">
        <v>275</v>
      </c>
      <c r="BS5" s="243" t="s">
        <v>588</v>
      </c>
      <c r="BT5" s="243" t="s">
        <v>40</v>
      </c>
      <c r="BU5" s="243" t="s">
        <v>30</v>
      </c>
      <c r="BV5" s="243" t="s">
        <v>31</v>
      </c>
      <c r="BW5" s="243" t="s">
        <v>1041</v>
      </c>
      <c r="BX5" s="243" t="s">
        <v>32</v>
      </c>
      <c r="BY5" s="243" t="s">
        <v>249</v>
      </c>
      <c r="BZ5" s="243" t="s">
        <v>589</v>
      </c>
      <c r="CA5" s="243" t="s">
        <v>232</v>
      </c>
      <c r="CB5" s="243" t="s">
        <v>37</v>
      </c>
      <c r="CC5" s="243" t="s">
        <v>33</v>
      </c>
      <c r="CD5" s="243" t="s">
        <v>25</v>
      </c>
      <c r="CE5" s="243" t="s">
        <v>26</v>
      </c>
      <c r="CF5" s="243" t="s">
        <v>38</v>
      </c>
      <c r="CG5" s="243" t="s">
        <v>27</v>
      </c>
      <c r="CH5" s="243" t="s">
        <v>233</v>
      </c>
      <c r="CI5" s="243" t="s">
        <v>88</v>
      </c>
      <c r="CJ5" s="243" t="s">
        <v>74</v>
      </c>
      <c r="CK5" s="243" t="s">
        <v>35</v>
      </c>
      <c r="CL5" s="243" t="s">
        <v>75</v>
      </c>
      <c r="CM5" s="243" t="s">
        <v>21</v>
      </c>
      <c r="CN5" s="243" t="s">
        <v>22</v>
      </c>
      <c r="CO5" s="243" t="s">
        <v>590</v>
      </c>
      <c r="CP5" s="243" t="s">
        <v>188</v>
      </c>
      <c r="CQ5" s="243" t="s">
        <v>591</v>
      </c>
      <c r="CR5" s="243" t="s">
        <v>592</v>
      </c>
      <c r="CS5" s="243" t="s">
        <v>594</v>
      </c>
      <c r="CT5" s="243" t="s">
        <v>595</v>
      </c>
      <c r="CU5" s="243" t="s">
        <v>596</v>
      </c>
      <c r="CV5" s="243" t="s">
        <v>329</v>
      </c>
      <c r="CW5" s="243" t="s">
        <v>28</v>
      </c>
      <c r="CX5" s="243" t="s">
        <v>600</v>
      </c>
      <c r="CY5" s="243" t="s">
        <v>603</v>
      </c>
      <c r="CZ5" s="243" t="s">
        <v>34</v>
      </c>
      <c r="DA5" s="243" t="s">
        <v>168</v>
      </c>
      <c r="DB5" s="243" t="s">
        <v>169</v>
      </c>
      <c r="DC5" s="243" t="s">
        <v>102</v>
      </c>
      <c r="DD5" s="243" t="s">
        <v>189</v>
      </c>
      <c r="DE5" s="243" t="s">
        <v>23</v>
      </c>
      <c r="DF5" s="243" t="s">
        <v>24</v>
      </c>
      <c r="DG5" s="243" t="s">
        <v>170</v>
      </c>
      <c r="DH5" s="243" t="s">
        <v>606</v>
      </c>
      <c r="DI5" s="243" t="s">
        <v>608</v>
      </c>
      <c r="DJ5" s="243" t="s">
        <v>609</v>
      </c>
      <c r="DK5" s="243" t="s">
        <v>29</v>
      </c>
      <c r="DL5" s="243" t="s">
        <v>610</v>
      </c>
      <c r="DM5" s="243" t="s">
        <v>39</v>
      </c>
      <c r="DN5" s="243" t="s">
        <v>1042</v>
      </c>
      <c r="DO5" s="243" t="s">
        <v>989</v>
      </c>
      <c r="DP5" s="243" t="s">
        <v>1043</v>
      </c>
      <c r="DQ5" s="243" t="s">
        <v>1044</v>
      </c>
      <c r="DR5" s="243" t="s">
        <v>990</v>
      </c>
      <c r="DS5" s="243" t="s">
        <v>1045</v>
      </c>
      <c r="DT5" s="243" t="s">
        <v>1046</v>
      </c>
      <c r="DU5" s="243" t="s">
        <v>1047</v>
      </c>
      <c r="DV5" s="243" t="s">
        <v>1048</v>
      </c>
      <c r="DW5" s="243" t="s">
        <v>1049</v>
      </c>
      <c r="DX5" s="243" t="s">
        <v>611</v>
      </c>
      <c r="DY5" s="243" t="s">
        <v>612</v>
      </c>
      <c r="DZ5" s="243" t="s">
        <v>330</v>
      </c>
      <c r="EA5" s="243" t="s">
        <v>613</v>
      </c>
      <c r="EB5" s="243" t="s">
        <v>331</v>
      </c>
      <c r="EC5" s="243" t="s">
        <v>614</v>
      </c>
      <c r="ED5" s="243" t="s">
        <v>615</v>
      </c>
      <c r="EE5" s="243" t="s">
        <v>616</v>
      </c>
      <c r="EF5" s="243" t="s">
        <v>332</v>
      </c>
      <c r="EG5" s="243" t="s">
        <v>617</v>
      </c>
      <c r="EH5" s="243" t="s">
        <v>618</v>
      </c>
      <c r="EI5" s="243" t="s">
        <v>333</v>
      </c>
      <c r="EJ5" s="243" t="s">
        <v>619</v>
      </c>
      <c r="EK5" s="243" t="s">
        <v>620</v>
      </c>
      <c r="EL5" s="243" t="s">
        <v>621</v>
      </c>
      <c r="EM5" s="243" t="s">
        <v>622</v>
      </c>
      <c r="EN5" s="243" t="s">
        <v>623</v>
      </c>
      <c r="EO5" s="243" t="s">
        <v>335</v>
      </c>
      <c r="EP5" s="243" t="s">
        <v>624</v>
      </c>
      <c r="EQ5" s="243" t="s">
        <v>625</v>
      </c>
      <c r="ER5" s="243" t="s">
        <v>626</v>
      </c>
      <c r="ES5" s="243" t="s">
        <v>1050</v>
      </c>
      <c r="ET5" s="243" t="s">
        <v>627</v>
      </c>
      <c r="EU5" s="243" t="s">
        <v>628</v>
      </c>
      <c r="EV5" s="243" t="s">
        <v>629</v>
      </c>
      <c r="EW5" s="243" t="s">
        <v>630</v>
      </c>
      <c r="EX5" s="243" t="s">
        <v>888</v>
      </c>
      <c r="EY5" s="243" t="s">
        <v>288</v>
      </c>
      <c r="EZ5" s="243" t="s">
        <v>280</v>
      </c>
      <c r="FA5" s="243" t="s">
        <v>210</v>
      </c>
      <c r="FB5" s="243" t="s">
        <v>631</v>
      </c>
      <c r="FC5" s="243" t="s">
        <v>197</v>
      </c>
      <c r="FD5" s="243" t="s">
        <v>211</v>
      </c>
      <c r="FE5" s="243" t="s">
        <v>212</v>
      </c>
      <c r="FF5" s="243" t="s">
        <v>632</v>
      </c>
      <c r="FG5" s="243" t="s">
        <v>213</v>
      </c>
      <c r="FH5" s="243" t="s">
        <v>281</v>
      </c>
      <c r="FI5" s="243" t="s">
        <v>633</v>
      </c>
      <c r="FJ5" s="243" t="s">
        <v>198</v>
      </c>
      <c r="FK5" s="243" t="s">
        <v>214</v>
      </c>
      <c r="FL5" s="243" t="s">
        <v>889</v>
      </c>
      <c r="FM5" s="243" t="s">
        <v>634</v>
      </c>
      <c r="FN5" s="243" t="s">
        <v>336</v>
      </c>
      <c r="FO5" s="243" t="s">
        <v>636</v>
      </c>
      <c r="FP5" s="243" t="s">
        <v>637</v>
      </c>
      <c r="FQ5" s="279"/>
      <c r="FR5" s="225"/>
      <c r="FS5" s="226"/>
    </row>
    <row r="6" spans="1:179" s="227" customFormat="1" ht="11.4">
      <c r="A6" s="245" t="s">
        <v>877</v>
      </c>
      <c r="B6" s="222" t="s">
        <v>878</v>
      </c>
      <c r="C6" s="222" t="s">
        <v>879</v>
      </c>
      <c r="D6" s="222" t="s">
        <v>880</v>
      </c>
      <c r="E6" s="246" t="s">
        <v>804</v>
      </c>
      <c r="F6" s="246"/>
      <c r="G6" s="247" t="s">
        <v>805</v>
      </c>
      <c r="H6" s="248" t="s">
        <v>638</v>
      </c>
      <c r="I6" s="248" t="s">
        <v>639</v>
      </c>
      <c r="J6" s="248" t="s">
        <v>640</v>
      </c>
      <c r="K6" s="248" t="s">
        <v>641</v>
      </c>
      <c r="L6" s="248" t="s">
        <v>339</v>
      </c>
      <c r="M6" s="248" t="s">
        <v>1051</v>
      </c>
      <c r="N6" s="248" t="s">
        <v>642</v>
      </c>
      <c r="O6" s="248" t="s">
        <v>340</v>
      </c>
      <c r="P6" s="248" t="s">
        <v>340</v>
      </c>
      <c r="Q6" s="248" t="s">
        <v>643</v>
      </c>
      <c r="R6" s="248" t="s">
        <v>643</v>
      </c>
      <c r="S6" s="248" t="s">
        <v>644</v>
      </c>
      <c r="T6" s="248" t="s">
        <v>645</v>
      </c>
      <c r="U6" s="248" t="s">
        <v>646</v>
      </c>
      <c r="V6" s="248" t="s">
        <v>647</v>
      </c>
      <c r="W6" s="248" t="s">
        <v>648</v>
      </c>
      <c r="X6" s="248" t="s">
        <v>649</v>
      </c>
      <c r="Y6" s="248" t="s">
        <v>650</v>
      </c>
      <c r="Z6" s="248" t="s">
        <v>651</v>
      </c>
      <c r="AA6" s="248" t="s">
        <v>653</v>
      </c>
      <c r="AB6" s="248" t="s">
        <v>653</v>
      </c>
      <c r="AC6" s="248" t="s">
        <v>654</v>
      </c>
      <c r="AD6" s="248" t="s">
        <v>655</v>
      </c>
      <c r="AE6" s="248" t="s">
        <v>341</v>
      </c>
      <c r="AF6" s="248" t="s">
        <v>656</v>
      </c>
      <c r="AG6" s="248" t="s">
        <v>342</v>
      </c>
      <c r="AH6" s="248" t="s">
        <v>657</v>
      </c>
      <c r="AI6" s="248" t="s">
        <v>658</v>
      </c>
      <c r="AJ6" s="248" t="s">
        <v>659</v>
      </c>
      <c r="AK6" s="248" t="s">
        <v>343</v>
      </c>
      <c r="AL6" s="248" t="s">
        <v>660</v>
      </c>
      <c r="AM6" s="248" t="s">
        <v>661</v>
      </c>
      <c r="AN6" s="248" t="s">
        <v>662</v>
      </c>
      <c r="AO6" s="248" t="s">
        <v>663</v>
      </c>
      <c r="AP6" s="248" t="s">
        <v>664</v>
      </c>
      <c r="AQ6" s="248" t="s">
        <v>665</v>
      </c>
      <c r="AR6" s="248" t="s">
        <v>344</v>
      </c>
      <c r="AS6" s="248" t="s">
        <v>667</v>
      </c>
      <c r="AT6" s="248" t="s">
        <v>668</v>
      </c>
      <c r="AU6" s="248" t="s">
        <v>669</v>
      </c>
      <c r="AV6" s="248" t="s">
        <v>345</v>
      </c>
      <c r="AW6" s="248" t="s">
        <v>346</v>
      </c>
      <c r="AX6" s="248" t="s">
        <v>672</v>
      </c>
      <c r="AY6" s="248" t="s">
        <v>673</v>
      </c>
      <c r="AZ6" s="248" t="s">
        <v>674</v>
      </c>
      <c r="BA6" s="248" t="s">
        <v>675</v>
      </c>
      <c r="BB6" s="248" t="s">
        <v>676</v>
      </c>
      <c r="BC6" s="248" t="s">
        <v>347</v>
      </c>
      <c r="BD6" s="248" t="s">
        <v>677</v>
      </c>
      <c r="BE6" s="248" t="s">
        <v>678</v>
      </c>
      <c r="BF6" s="248" t="s">
        <v>679</v>
      </c>
      <c r="BG6" s="248" t="s">
        <v>348</v>
      </c>
      <c r="BH6" s="248" t="s">
        <v>680</v>
      </c>
      <c r="BI6" s="248" t="s">
        <v>681</v>
      </c>
      <c r="BJ6" s="248" t="s">
        <v>683</v>
      </c>
      <c r="BK6" s="248" t="s">
        <v>349</v>
      </c>
      <c r="BL6" s="248" t="s">
        <v>811</v>
      </c>
      <c r="BM6" s="248" t="s">
        <v>811</v>
      </c>
      <c r="BN6" s="248" t="s">
        <v>350</v>
      </c>
      <c r="BO6" s="248" t="s">
        <v>686</v>
      </c>
      <c r="BP6" s="248" t="s">
        <v>351</v>
      </c>
      <c r="BQ6" s="248" t="s">
        <v>352</v>
      </c>
      <c r="BR6" s="248" t="s">
        <v>687</v>
      </c>
      <c r="BS6" s="248" t="s">
        <v>688</v>
      </c>
      <c r="BT6" s="248" t="s">
        <v>353</v>
      </c>
      <c r="BU6" s="248" t="s">
        <v>354</v>
      </c>
      <c r="BV6" s="248" t="s">
        <v>355</v>
      </c>
      <c r="BW6" s="248" t="s">
        <v>1052</v>
      </c>
      <c r="BX6" s="248" t="s">
        <v>689</v>
      </c>
      <c r="BY6" s="248" t="s">
        <v>356</v>
      </c>
      <c r="BZ6" s="248" t="s">
        <v>690</v>
      </c>
      <c r="CA6" s="248" t="s">
        <v>691</v>
      </c>
      <c r="CB6" s="248" t="s">
        <v>357</v>
      </c>
      <c r="CC6" s="248" t="s">
        <v>358</v>
      </c>
      <c r="CD6" s="248" t="s">
        <v>692</v>
      </c>
      <c r="CE6" s="248" t="s">
        <v>359</v>
      </c>
      <c r="CF6" s="248" t="s">
        <v>360</v>
      </c>
      <c r="CG6" s="248" t="s">
        <v>693</v>
      </c>
      <c r="CH6" s="248" t="s">
        <v>693</v>
      </c>
      <c r="CI6" s="248" t="s">
        <v>694</v>
      </c>
      <c r="CJ6" s="248" t="s">
        <v>695</v>
      </c>
      <c r="CK6" s="248" t="s">
        <v>696</v>
      </c>
      <c r="CL6" s="248" t="s">
        <v>361</v>
      </c>
      <c r="CM6" s="248" t="s">
        <v>362</v>
      </c>
      <c r="CN6" s="248" t="s">
        <v>363</v>
      </c>
      <c r="CO6" s="248" t="s">
        <v>697</v>
      </c>
      <c r="CP6" s="248" t="s">
        <v>698</v>
      </c>
      <c r="CQ6" s="248" t="s">
        <v>699</v>
      </c>
      <c r="CR6" s="248" t="s">
        <v>700</v>
      </c>
      <c r="CS6" s="248" t="s">
        <v>702</v>
      </c>
      <c r="CT6" s="248" t="s">
        <v>703</v>
      </c>
      <c r="CU6" s="248" t="s">
        <v>704</v>
      </c>
      <c r="CV6" s="248" t="s">
        <v>364</v>
      </c>
      <c r="CW6" s="248" t="s">
        <v>365</v>
      </c>
      <c r="CX6" s="248" t="s">
        <v>708</v>
      </c>
      <c r="CY6" s="248" t="s">
        <v>711</v>
      </c>
      <c r="CZ6" s="248" t="s">
        <v>366</v>
      </c>
      <c r="DA6" s="248" t="s">
        <v>714</v>
      </c>
      <c r="DB6" s="248" t="s">
        <v>715</v>
      </c>
      <c r="DC6" s="248" t="s">
        <v>716</v>
      </c>
      <c r="DD6" s="248" t="s">
        <v>367</v>
      </c>
      <c r="DE6" s="248" t="s">
        <v>717</v>
      </c>
      <c r="DF6" s="248" t="s">
        <v>368</v>
      </c>
      <c r="DG6" s="248" t="s">
        <v>369</v>
      </c>
      <c r="DH6" s="248" t="s">
        <v>718</v>
      </c>
      <c r="DI6" s="248" t="s">
        <v>720</v>
      </c>
      <c r="DJ6" s="248" t="s">
        <v>721</v>
      </c>
      <c r="DK6" s="248" t="s">
        <v>722</v>
      </c>
      <c r="DL6" s="248" t="s">
        <v>723</v>
      </c>
      <c r="DM6" s="248" t="s">
        <v>370</v>
      </c>
      <c r="DN6" s="248" t="s">
        <v>1053</v>
      </c>
      <c r="DO6" s="248" t="s">
        <v>991</v>
      </c>
      <c r="DP6" s="248" t="s">
        <v>1054</v>
      </c>
      <c r="DQ6" s="248" t="s">
        <v>1055</v>
      </c>
      <c r="DR6" s="248" t="s">
        <v>992</v>
      </c>
      <c r="DS6" s="248" t="s">
        <v>1056</v>
      </c>
      <c r="DT6" s="248" t="s">
        <v>1057</v>
      </c>
      <c r="DU6" s="248" t="s">
        <v>1058</v>
      </c>
      <c r="DV6" s="248" t="s">
        <v>1059</v>
      </c>
      <c r="DW6" s="248" t="s">
        <v>1060</v>
      </c>
      <c r="DX6" s="248" t="s">
        <v>724</v>
      </c>
      <c r="DY6" s="248" t="s">
        <v>725</v>
      </c>
      <c r="DZ6" s="248" t="s">
        <v>371</v>
      </c>
      <c r="EA6" s="248" t="s">
        <v>726</v>
      </c>
      <c r="EB6" s="248" t="s">
        <v>372</v>
      </c>
      <c r="EC6" s="248" t="s">
        <v>727</v>
      </c>
      <c r="ED6" s="248" t="s">
        <v>728</v>
      </c>
      <c r="EE6" s="248" t="s">
        <v>729</v>
      </c>
      <c r="EF6" s="248" t="s">
        <v>373</v>
      </c>
      <c r="EG6" s="248" t="s">
        <v>730</v>
      </c>
      <c r="EH6" s="248" t="s">
        <v>731</v>
      </c>
      <c r="EI6" s="248" t="s">
        <v>374</v>
      </c>
      <c r="EJ6" s="248" t="s">
        <v>732</v>
      </c>
      <c r="EK6" s="248" t="s">
        <v>733</v>
      </c>
      <c r="EL6" s="248" t="s">
        <v>734</v>
      </c>
      <c r="EM6" s="248" t="s">
        <v>735</v>
      </c>
      <c r="EN6" s="248" t="s">
        <v>736</v>
      </c>
      <c r="EO6" s="248" t="s">
        <v>375</v>
      </c>
      <c r="EP6" s="248" t="s">
        <v>737</v>
      </c>
      <c r="EQ6" s="248" t="s">
        <v>738</v>
      </c>
      <c r="ER6" s="248" t="s">
        <v>739</v>
      </c>
      <c r="ES6" s="248" t="s">
        <v>1061</v>
      </c>
      <c r="ET6" s="248" t="s">
        <v>740</v>
      </c>
      <c r="EU6" s="248" t="s">
        <v>741</v>
      </c>
      <c r="EV6" s="248" t="s">
        <v>742</v>
      </c>
      <c r="EW6" s="248" t="s">
        <v>743</v>
      </c>
      <c r="EX6" s="248" t="s">
        <v>890</v>
      </c>
      <c r="EY6" s="248" t="s">
        <v>376</v>
      </c>
      <c r="EZ6" s="248" t="s">
        <v>377</v>
      </c>
      <c r="FA6" s="248" t="s">
        <v>744</v>
      </c>
      <c r="FB6" s="248" t="s">
        <v>745</v>
      </c>
      <c r="FC6" s="248" t="s">
        <v>378</v>
      </c>
      <c r="FD6" s="248" t="s">
        <v>746</v>
      </c>
      <c r="FE6" s="248" t="s">
        <v>747</v>
      </c>
      <c r="FF6" s="248" t="s">
        <v>748</v>
      </c>
      <c r="FG6" s="248" t="s">
        <v>379</v>
      </c>
      <c r="FH6" s="248" t="s">
        <v>749</v>
      </c>
      <c r="FI6" s="248" t="s">
        <v>750</v>
      </c>
      <c r="FJ6" s="248" t="s">
        <v>751</v>
      </c>
      <c r="FK6" s="248" t="s">
        <v>380</v>
      </c>
      <c r="FL6" s="248" t="s">
        <v>891</v>
      </c>
      <c r="FM6" s="248" t="s">
        <v>752</v>
      </c>
      <c r="FN6" s="248" t="s">
        <v>381</v>
      </c>
      <c r="FO6" s="248" t="s">
        <v>754</v>
      </c>
      <c r="FP6" s="248" t="s">
        <v>755</v>
      </c>
      <c r="FQ6" s="250" t="s">
        <v>872</v>
      </c>
      <c r="FR6" s="250" t="s">
        <v>382</v>
      </c>
      <c r="FS6" s="250" t="s">
        <v>383</v>
      </c>
      <c r="FT6" s="250" t="s">
        <v>873</v>
      </c>
      <c r="FU6" s="250" t="s">
        <v>874</v>
      </c>
      <c r="FV6" s="228"/>
      <c r="FW6" s="227" t="s">
        <v>881</v>
      </c>
    </row>
    <row r="7" spans="1:179" s="260" customFormat="1">
      <c r="A7" s="251" t="s">
        <v>385</v>
      </c>
      <c r="B7" s="251" t="s">
        <v>385</v>
      </c>
      <c r="C7" s="251" t="s">
        <v>386</v>
      </c>
      <c r="D7" s="251" t="s">
        <v>291</v>
      </c>
      <c r="E7" s="252" t="s">
        <v>387</v>
      </c>
      <c r="F7" s="251" t="s">
        <v>388</v>
      </c>
      <c r="G7" s="251"/>
      <c r="H7" s="253"/>
      <c r="I7" s="253"/>
      <c r="J7" s="253"/>
      <c r="K7" s="253"/>
      <c r="L7" s="253"/>
      <c r="M7" s="253"/>
      <c r="N7" s="253"/>
      <c r="O7" s="253"/>
      <c r="P7" s="253"/>
      <c r="Q7" s="253"/>
      <c r="R7" s="253"/>
      <c r="S7" s="253"/>
      <c r="T7" s="253"/>
      <c r="U7" s="253"/>
      <c r="V7" s="253"/>
      <c r="W7" s="253"/>
      <c r="X7" s="253"/>
      <c r="Y7" s="253"/>
      <c r="Z7" s="253"/>
      <c r="AA7" s="253"/>
      <c r="AB7" s="253"/>
      <c r="AC7" s="253"/>
      <c r="AD7" s="253"/>
      <c r="AE7" s="253"/>
      <c r="AF7" s="253"/>
      <c r="AG7" s="253"/>
      <c r="AH7" s="254">
        <f>10000-10000+320-160</f>
        <v>160</v>
      </c>
      <c r="AI7" s="253"/>
      <c r="AJ7" s="255">
        <f>3000-3000</f>
        <v>0</v>
      </c>
      <c r="AK7" s="255">
        <f>5000-5000</f>
        <v>0</v>
      </c>
      <c r="AL7" s="253"/>
      <c r="AM7" s="253"/>
      <c r="AN7" s="253"/>
      <c r="AO7" s="253"/>
      <c r="AP7" s="253"/>
      <c r="AQ7" s="253"/>
      <c r="AR7" s="253"/>
      <c r="AS7" s="255">
        <f>300-300</f>
        <v>0</v>
      </c>
      <c r="AT7" s="255">
        <f>5000-5000</f>
        <v>0</v>
      </c>
      <c r="AU7" s="253"/>
      <c r="AV7" s="253"/>
      <c r="AW7" s="253"/>
      <c r="AX7" s="253"/>
      <c r="AY7" s="253"/>
      <c r="AZ7" s="253"/>
      <c r="BA7" s="255">
        <f>500-500</f>
        <v>0</v>
      </c>
      <c r="BB7" s="255">
        <f>100-100</f>
        <v>0</v>
      </c>
      <c r="BC7" s="253"/>
      <c r="BD7" s="253"/>
      <c r="BE7" s="253"/>
      <c r="BF7" s="253"/>
      <c r="BG7" s="254">
        <f>10000-10000+5000-970-1000</f>
        <v>3030</v>
      </c>
      <c r="BH7" s="253"/>
      <c r="BI7" s="253"/>
      <c r="BJ7" s="253"/>
      <c r="BK7" s="253"/>
      <c r="BL7" s="253"/>
      <c r="BM7" s="253"/>
      <c r="BN7" s="253"/>
      <c r="BO7" s="253"/>
      <c r="BP7" s="253"/>
      <c r="BQ7" s="253"/>
      <c r="BR7" s="253"/>
      <c r="BS7" s="253"/>
      <c r="BT7" s="253"/>
      <c r="BU7" s="253"/>
      <c r="BV7" s="253"/>
      <c r="BW7" s="253"/>
      <c r="BX7" s="253"/>
      <c r="BY7" s="253"/>
      <c r="BZ7" s="253"/>
      <c r="CA7" s="253"/>
      <c r="CB7" s="253"/>
      <c r="CC7" s="253"/>
      <c r="CD7" s="253"/>
      <c r="CE7" s="253"/>
      <c r="CF7" s="253"/>
      <c r="CG7" s="253"/>
      <c r="CH7" s="253"/>
      <c r="CI7" s="253"/>
      <c r="CJ7" s="253"/>
      <c r="CK7" s="253"/>
      <c r="CL7" s="253"/>
      <c r="CM7" s="253"/>
      <c r="CN7" s="253"/>
      <c r="CO7" s="253"/>
      <c r="CP7" s="253"/>
      <c r="CQ7" s="253"/>
      <c r="CR7" s="253"/>
      <c r="CS7" s="253"/>
      <c r="CT7" s="253"/>
      <c r="CU7" s="253"/>
      <c r="CV7" s="253"/>
      <c r="CW7" s="253"/>
      <c r="CX7" s="253"/>
      <c r="CY7" s="253"/>
      <c r="CZ7" s="253"/>
      <c r="DA7" s="253"/>
      <c r="DB7" s="253"/>
      <c r="DC7" s="253"/>
      <c r="DD7" s="253"/>
      <c r="DE7" s="253"/>
      <c r="DF7" s="253"/>
      <c r="DG7" s="253"/>
      <c r="DH7" s="253"/>
      <c r="DI7" s="253"/>
      <c r="DJ7" s="253"/>
      <c r="DK7" s="253"/>
      <c r="DL7" s="253"/>
      <c r="DM7" s="253"/>
      <c r="DN7" s="255">
        <f>5000-5000</f>
        <v>0</v>
      </c>
      <c r="DO7" s="253"/>
      <c r="DP7" s="253"/>
      <c r="DQ7" s="253"/>
      <c r="DR7" s="253"/>
      <c r="DS7" s="253"/>
      <c r="DT7" s="253"/>
      <c r="DU7" s="253"/>
      <c r="DV7" s="253"/>
      <c r="DW7" s="253"/>
      <c r="DX7" s="253"/>
      <c r="DY7" s="253"/>
      <c r="DZ7" s="253"/>
      <c r="EA7" s="253"/>
      <c r="EB7" s="253"/>
      <c r="EC7" s="253"/>
      <c r="ED7" s="253"/>
      <c r="EE7" s="253"/>
      <c r="EF7" s="253"/>
      <c r="EG7" s="253"/>
      <c r="EH7" s="253"/>
      <c r="EI7" s="253"/>
      <c r="EJ7" s="253"/>
      <c r="EK7" s="253"/>
      <c r="EL7" s="253"/>
      <c r="EM7" s="253"/>
      <c r="EN7" s="253"/>
      <c r="EO7" s="253"/>
      <c r="EP7" s="253"/>
      <c r="EQ7" s="253"/>
      <c r="ER7" s="253"/>
      <c r="ES7" s="253"/>
      <c r="ET7" s="253"/>
      <c r="EU7" s="253"/>
      <c r="EV7" s="253"/>
      <c r="EW7" s="253"/>
      <c r="EX7" s="253"/>
      <c r="EY7" s="253"/>
      <c r="EZ7" s="253"/>
      <c r="FA7" s="253"/>
      <c r="FB7" s="253"/>
      <c r="FC7" s="253"/>
      <c r="FD7" s="253"/>
      <c r="FE7" s="253"/>
      <c r="FF7" s="253"/>
      <c r="FG7" s="253"/>
      <c r="FH7" s="253"/>
      <c r="FI7" s="253"/>
      <c r="FJ7" s="253"/>
      <c r="FK7" s="253"/>
      <c r="FL7" s="253"/>
      <c r="FM7" s="253"/>
      <c r="FN7" s="253"/>
      <c r="FO7" s="253"/>
      <c r="FP7" s="253"/>
      <c r="FQ7" s="256"/>
      <c r="FR7" s="257" t="s">
        <v>1062</v>
      </c>
      <c r="FS7" s="258" t="s">
        <v>389</v>
      </c>
      <c r="FT7" s="258"/>
      <c r="FU7" s="258" t="s">
        <v>390</v>
      </c>
      <c r="FV7" s="259">
        <f t="shared" ref="FV7:FV39" si="0">SUM(H7:FP7)</f>
        <v>3190</v>
      </c>
      <c r="FW7" s="260" t="s">
        <v>410</v>
      </c>
    </row>
    <row r="8" spans="1:179" s="260" customFormat="1">
      <c r="A8" s="251" t="s">
        <v>385</v>
      </c>
      <c r="B8" s="251" t="s">
        <v>385</v>
      </c>
      <c r="C8" s="251" t="s">
        <v>386</v>
      </c>
      <c r="D8" s="251" t="s">
        <v>1</v>
      </c>
      <c r="E8" s="252" t="s">
        <v>387</v>
      </c>
      <c r="F8" s="251" t="s">
        <v>388</v>
      </c>
      <c r="G8" s="251"/>
      <c r="H8" s="253">
        <v>100</v>
      </c>
      <c r="I8" s="253"/>
      <c r="J8" s="253"/>
      <c r="K8" s="253"/>
      <c r="L8" s="253"/>
      <c r="M8" s="253"/>
      <c r="N8" s="253"/>
      <c r="O8" s="253"/>
      <c r="P8" s="253"/>
      <c r="Q8" s="253"/>
      <c r="R8" s="253"/>
      <c r="S8" s="253"/>
      <c r="T8" s="253"/>
      <c r="U8" s="253"/>
      <c r="V8" s="255">
        <f>500-500</f>
        <v>0</v>
      </c>
      <c r="W8" s="253"/>
      <c r="X8" s="255">
        <f>1000-1000</f>
        <v>0</v>
      </c>
      <c r="Y8" s="255">
        <f>200-200</f>
        <v>0</v>
      </c>
      <c r="Z8" s="253"/>
      <c r="AA8" s="253"/>
      <c r="AB8" s="253"/>
      <c r="AC8" s="255">
        <f>300-300</f>
        <v>0</v>
      </c>
      <c r="AD8" s="255">
        <f>1000-1000</f>
        <v>0</v>
      </c>
      <c r="AE8" s="255">
        <f>10000-10000</f>
        <v>0</v>
      </c>
      <c r="AF8" s="254">
        <f>1500-1500+260-120</f>
        <v>140</v>
      </c>
      <c r="AG8" s="255">
        <f>500-500</f>
        <v>0</v>
      </c>
      <c r="AH8" s="253"/>
      <c r="AI8" s="253"/>
      <c r="AJ8" s="253"/>
      <c r="AK8" s="253"/>
      <c r="AL8" s="255">
        <f>500-500</f>
        <v>0</v>
      </c>
      <c r="AM8" s="255">
        <f>300-300</f>
        <v>0</v>
      </c>
      <c r="AN8" s="255">
        <f>500-500</f>
        <v>0</v>
      </c>
      <c r="AO8" s="255">
        <f>300-300</f>
        <v>0</v>
      </c>
      <c r="AP8" s="255">
        <f>3000-3000</f>
        <v>0</v>
      </c>
      <c r="AQ8" s="255">
        <f>200-200</f>
        <v>0</v>
      </c>
      <c r="AR8" s="254">
        <f>1000-1000+150-150</f>
        <v>0</v>
      </c>
      <c r="AS8" s="253"/>
      <c r="AT8" s="253"/>
      <c r="AU8" s="255">
        <f>500-500</f>
        <v>0</v>
      </c>
      <c r="AV8" s="255">
        <f>300-300</f>
        <v>0</v>
      </c>
      <c r="AW8" s="254">
        <f>15000-15000+3460-1360-500</f>
        <v>1600</v>
      </c>
      <c r="AX8" s="253"/>
      <c r="AY8" s="253"/>
      <c r="AZ8" s="253"/>
      <c r="BA8" s="253"/>
      <c r="BB8" s="253"/>
      <c r="BC8" s="255">
        <f>1500-1500+150</f>
        <v>150</v>
      </c>
      <c r="BD8" s="255">
        <f>500-500</f>
        <v>0</v>
      </c>
      <c r="BE8" s="255">
        <f>200-200</f>
        <v>0</v>
      </c>
      <c r="BF8" s="255">
        <f>100-100</f>
        <v>0</v>
      </c>
      <c r="BG8" s="253"/>
      <c r="BH8" s="255">
        <f>200-200</f>
        <v>0</v>
      </c>
      <c r="BI8" s="255">
        <f>1000-1000</f>
        <v>0</v>
      </c>
      <c r="BJ8" s="253"/>
      <c r="BK8" s="255">
        <f>100-100+7</f>
        <v>7</v>
      </c>
      <c r="BL8" s="255">
        <f>30-30+2</f>
        <v>2</v>
      </c>
      <c r="BM8" s="255">
        <v>1</v>
      </c>
      <c r="BN8" s="254">
        <f>2000-2000+380-95-175</f>
        <v>110</v>
      </c>
      <c r="BO8" s="255">
        <f>800-800+1</f>
        <v>1</v>
      </c>
      <c r="BP8" s="254">
        <f>3000-3000+590-300</f>
        <v>290</v>
      </c>
      <c r="BQ8" s="254">
        <f>8000-8000+870-330-400</f>
        <v>140</v>
      </c>
      <c r="BR8" s="254">
        <f>4000-4000+380-110</f>
        <v>270</v>
      </c>
      <c r="BS8" s="255">
        <f>1000-1000</f>
        <v>0</v>
      </c>
      <c r="BT8" s="254">
        <f>2000-2000+7-7</f>
        <v>0</v>
      </c>
      <c r="BU8" s="255">
        <f>500-500</f>
        <v>0</v>
      </c>
      <c r="BV8" s="254">
        <f>5000-5000+110-41</f>
        <v>69</v>
      </c>
      <c r="BW8" s="253"/>
      <c r="BX8" s="254">
        <f>4000-4000+40-40</f>
        <v>0</v>
      </c>
      <c r="BY8" s="255">
        <f>4000-4000</f>
        <v>0</v>
      </c>
      <c r="BZ8" s="254">
        <f>500-500+80-10</f>
        <v>70</v>
      </c>
      <c r="CA8" s="255">
        <f>2000-2000</f>
        <v>0</v>
      </c>
      <c r="CB8" s="254">
        <f>2000-2000+440-254</f>
        <v>186</v>
      </c>
      <c r="CC8" s="255">
        <f>1000-1000+12-12</f>
        <v>0</v>
      </c>
      <c r="CD8" s="254">
        <f>3000-3000+840-340-200</f>
        <v>300</v>
      </c>
      <c r="CE8" s="254">
        <f>6000-6000+830-330</f>
        <v>500</v>
      </c>
      <c r="CF8" s="255">
        <f>4000-4000+4-4</f>
        <v>0</v>
      </c>
      <c r="CG8" s="254">
        <f>1500-1500+85-35</f>
        <v>50</v>
      </c>
      <c r="CH8" s="253"/>
      <c r="CI8" s="255">
        <f>400-400</f>
        <v>0</v>
      </c>
      <c r="CJ8" s="255">
        <f>400-400</f>
        <v>0</v>
      </c>
      <c r="CK8" s="254">
        <f>500-500+310-65</f>
        <v>245</v>
      </c>
      <c r="CL8" s="255">
        <f>1000-1000+10-10</f>
        <v>0</v>
      </c>
      <c r="CM8" s="255">
        <f>4000-4000</f>
        <v>0</v>
      </c>
      <c r="CN8" s="254">
        <f>4000-4000+290-80</f>
        <v>210</v>
      </c>
      <c r="CO8" s="255">
        <f>1000-1000</f>
        <v>0</v>
      </c>
      <c r="CP8" s="255">
        <f>100-100</f>
        <v>0</v>
      </c>
      <c r="CQ8" s="253"/>
      <c r="CR8" s="253"/>
      <c r="CS8" s="253"/>
      <c r="CT8" s="253"/>
      <c r="CU8" s="253"/>
      <c r="CV8" s="255">
        <f>2000-2000</f>
        <v>0</v>
      </c>
      <c r="CW8" s="254">
        <f>1500-1500+30-30</f>
        <v>0</v>
      </c>
      <c r="CX8" s="253"/>
      <c r="CY8" s="253"/>
      <c r="CZ8" s="253"/>
      <c r="DA8" s="255">
        <f>200-200</f>
        <v>0</v>
      </c>
      <c r="DB8" s="254">
        <f>200-200+35-20</f>
        <v>15</v>
      </c>
      <c r="DC8" s="254">
        <f>300-300+420-145</f>
        <v>275</v>
      </c>
      <c r="DD8" s="255">
        <f>500-500</f>
        <v>0</v>
      </c>
      <c r="DE8" s="255">
        <f>1000-1000</f>
        <v>0</v>
      </c>
      <c r="DF8" s="255">
        <f>1000-1000</f>
        <v>0</v>
      </c>
      <c r="DG8" s="254">
        <f>50-50+30-15</f>
        <v>15</v>
      </c>
      <c r="DH8" s="253"/>
      <c r="DI8" s="253"/>
      <c r="DJ8" s="253"/>
      <c r="DK8" s="261">
        <f>1000-1000+8</f>
        <v>8</v>
      </c>
      <c r="DL8" s="253"/>
      <c r="DM8" s="255">
        <f>500-500</f>
        <v>0</v>
      </c>
      <c r="DN8" s="253"/>
      <c r="DO8" s="253"/>
      <c r="DP8" s="253"/>
      <c r="DQ8" s="253"/>
      <c r="DR8" s="253"/>
      <c r="DS8" s="253"/>
      <c r="DT8" s="253"/>
      <c r="DU8" s="253"/>
      <c r="DV8" s="253"/>
      <c r="DW8" s="253"/>
      <c r="DX8" s="253"/>
      <c r="DY8" s="253"/>
      <c r="DZ8" s="253"/>
      <c r="EA8" s="253"/>
      <c r="EB8" s="253"/>
      <c r="EC8" s="253"/>
      <c r="ED8" s="253"/>
      <c r="EE8" s="255">
        <f>100-100</f>
        <v>0</v>
      </c>
      <c r="EF8" s="255">
        <f>100-100</f>
        <v>0</v>
      </c>
      <c r="EG8" s="253"/>
      <c r="EH8" s="253"/>
      <c r="EI8" s="255">
        <f>500-500</f>
        <v>0</v>
      </c>
      <c r="EJ8" s="253"/>
      <c r="EK8" s="253"/>
      <c r="EL8" s="253"/>
      <c r="EM8" s="253"/>
      <c r="EN8" s="255">
        <f>200-200</f>
        <v>0</v>
      </c>
      <c r="EO8" s="255">
        <f>1000-1000</f>
        <v>0</v>
      </c>
      <c r="EP8" s="255">
        <f>500-500</f>
        <v>0</v>
      </c>
      <c r="EQ8" s="255">
        <f>500-500</f>
        <v>0</v>
      </c>
      <c r="ER8" s="255">
        <f>3000-3000</f>
        <v>0</v>
      </c>
      <c r="ES8" s="253"/>
      <c r="ET8" s="255">
        <f>1000-1000</f>
        <v>0</v>
      </c>
      <c r="EU8" s="255">
        <f>2000-2000</f>
        <v>0</v>
      </c>
      <c r="EV8" s="254">
        <f>2000-2000+180-60</f>
        <v>120</v>
      </c>
      <c r="EW8" s="253"/>
      <c r="EX8" s="253"/>
      <c r="EY8" s="255">
        <f>2000-2000</f>
        <v>0</v>
      </c>
      <c r="EZ8" s="254">
        <f>3000-3000+180-60</f>
        <v>120</v>
      </c>
      <c r="FA8" s="255">
        <f>800-800</f>
        <v>0</v>
      </c>
      <c r="FB8" s="253"/>
      <c r="FC8" s="255">
        <f>1000-1000</f>
        <v>0</v>
      </c>
      <c r="FD8" s="254">
        <f>1500-1500+1-1</f>
        <v>0</v>
      </c>
      <c r="FE8" s="255">
        <f>500-500</f>
        <v>0</v>
      </c>
      <c r="FF8" s="253"/>
      <c r="FG8" s="255">
        <f>2000-2000</f>
        <v>0</v>
      </c>
      <c r="FH8" s="254">
        <f>500-500+14-4</f>
        <v>10</v>
      </c>
      <c r="FI8" s="255">
        <f>300-300</f>
        <v>0</v>
      </c>
      <c r="FJ8" s="253"/>
      <c r="FK8" s="255">
        <f>800-800+20</f>
        <v>20</v>
      </c>
      <c r="FL8" s="253"/>
      <c r="FM8" s="254">
        <f>500-500+400-400</f>
        <v>0</v>
      </c>
      <c r="FN8" s="254">
        <f>500-500+660-660</f>
        <v>0</v>
      </c>
      <c r="FO8" s="253"/>
      <c r="FP8" s="253"/>
      <c r="FQ8" s="256"/>
      <c r="FR8" s="257" t="s">
        <v>1062</v>
      </c>
      <c r="FS8" s="258" t="s">
        <v>389</v>
      </c>
      <c r="FT8" s="258"/>
      <c r="FU8" s="258" t="s">
        <v>390</v>
      </c>
      <c r="FV8" s="259">
        <f t="shared" si="0"/>
        <v>5024</v>
      </c>
      <c r="FW8" s="260" t="s">
        <v>410</v>
      </c>
    </row>
    <row r="9" spans="1:179" s="260" customFormat="1">
      <c r="A9" s="251" t="s">
        <v>385</v>
      </c>
      <c r="B9" s="251" t="s">
        <v>385</v>
      </c>
      <c r="C9" s="251" t="s">
        <v>386</v>
      </c>
      <c r="D9" s="251" t="s">
        <v>293</v>
      </c>
      <c r="E9" s="252" t="s">
        <v>387</v>
      </c>
      <c r="F9" s="251" t="s">
        <v>388</v>
      </c>
      <c r="G9" s="251"/>
      <c r="H9" s="253"/>
      <c r="I9" s="253"/>
      <c r="J9" s="253"/>
      <c r="K9" s="253"/>
      <c r="L9" s="253"/>
      <c r="M9" s="253"/>
      <c r="N9" s="253"/>
      <c r="O9" s="253"/>
      <c r="P9" s="253"/>
      <c r="Q9" s="253"/>
      <c r="R9" s="253"/>
      <c r="S9" s="253"/>
      <c r="T9" s="253"/>
      <c r="U9" s="253"/>
      <c r="V9" s="253"/>
      <c r="W9" s="253"/>
      <c r="X9" s="253"/>
      <c r="Y9" s="253"/>
      <c r="Z9" s="253"/>
      <c r="AA9" s="253"/>
      <c r="AB9" s="253"/>
      <c r="AC9" s="253"/>
      <c r="AD9" s="253"/>
      <c r="AE9" s="253"/>
      <c r="AF9" s="253"/>
      <c r="AG9" s="253"/>
      <c r="AH9" s="253"/>
      <c r="AI9" s="253"/>
      <c r="AJ9" s="253"/>
      <c r="AK9" s="253"/>
      <c r="AL9" s="253"/>
      <c r="AM9" s="253"/>
      <c r="AN9" s="253"/>
      <c r="AO9" s="253"/>
      <c r="AP9" s="253"/>
      <c r="AQ9" s="253"/>
      <c r="AR9" s="253"/>
      <c r="AS9" s="253"/>
      <c r="AT9" s="253"/>
      <c r="AU9" s="253"/>
      <c r="AV9" s="253"/>
      <c r="AW9" s="253"/>
      <c r="AX9" s="253"/>
      <c r="AY9" s="253"/>
      <c r="AZ9" s="253"/>
      <c r="BA9" s="253"/>
      <c r="BB9" s="253"/>
      <c r="BC9" s="253"/>
      <c r="BD9" s="253"/>
      <c r="BE9" s="253"/>
      <c r="BF9" s="253"/>
      <c r="BG9" s="253"/>
      <c r="BH9" s="253"/>
      <c r="BI9" s="253"/>
      <c r="BJ9" s="253"/>
      <c r="BK9" s="253"/>
      <c r="BL9" s="253"/>
      <c r="BM9" s="253"/>
      <c r="BN9" s="261">
        <f>0+175</f>
        <v>175</v>
      </c>
      <c r="BO9" s="253"/>
      <c r="BP9" s="253"/>
      <c r="BQ9" s="261">
        <f>0+400</f>
        <v>400</v>
      </c>
      <c r="BR9" s="253"/>
      <c r="BS9" s="253"/>
      <c r="BT9" s="253"/>
      <c r="BU9" s="253"/>
      <c r="BV9" s="253"/>
      <c r="BW9" s="253"/>
      <c r="BX9" s="253"/>
      <c r="BY9" s="253"/>
      <c r="BZ9" s="253"/>
      <c r="CA9" s="253"/>
      <c r="CB9" s="255">
        <v>700</v>
      </c>
      <c r="CC9" s="253"/>
      <c r="CD9" s="324">
        <f>0+200</f>
        <v>200</v>
      </c>
      <c r="CE9" s="253"/>
      <c r="CF9" s="253"/>
      <c r="CG9" s="253"/>
      <c r="CH9" s="253"/>
      <c r="CI9" s="253"/>
      <c r="CJ9" s="253"/>
      <c r="CK9" s="253"/>
      <c r="CL9" s="253"/>
      <c r="CM9" s="253"/>
      <c r="CN9" s="253"/>
      <c r="CO9" s="253"/>
      <c r="CP9" s="253"/>
      <c r="CQ9" s="253"/>
      <c r="CR9" s="253"/>
      <c r="CS9" s="253"/>
      <c r="CT9" s="253"/>
      <c r="CU9" s="253"/>
      <c r="CV9" s="253"/>
      <c r="CW9" s="253"/>
      <c r="CX9" s="253"/>
      <c r="CY9" s="253"/>
      <c r="CZ9" s="255">
        <f>500-500+15</f>
        <v>15</v>
      </c>
      <c r="DA9" s="253"/>
      <c r="DB9" s="253"/>
      <c r="DC9" s="253"/>
      <c r="DD9" s="253"/>
      <c r="DE9" s="253"/>
      <c r="DF9" s="253"/>
      <c r="DG9" s="253"/>
      <c r="DH9" s="253"/>
      <c r="DI9" s="253"/>
      <c r="DJ9" s="253"/>
      <c r="DK9" s="253"/>
      <c r="DL9" s="253"/>
      <c r="DM9" s="253"/>
      <c r="DN9" s="253"/>
      <c r="DO9" s="253"/>
      <c r="DP9" s="253"/>
      <c r="DQ9" s="253"/>
      <c r="DR9" s="253"/>
      <c r="DS9" s="253"/>
      <c r="DT9" s="253"/>
      <c r="DU9" s="253"/>
      <c r="DV9" s="253"/>
      <c r="DW9" s="253"/>
      <c r="DX9" s="253"/>
      <c r="DY9" s="253"/>
      <c r="DZ9" s="253"/>
      <c r="EA9" s="253"/>
      <c r="EB9" s="253"/>
      <c r="EC9" s="253"/>
      <c r="ED9" s="253"/>
      <c r="EE9" s="253"/>
      <c r="EF9" s="253"/>
      <c r="EG9" s="253"/>
      <c r="EH9" s="253"/>
      <c r="EI9" s="253"/>
      <c r="EJ9" s="253"/>
      <c r="EK9" s="253"/>
      <c r="EL9" s="253"/>
      <c r="EM9" s="253"/>
      <c r="EN9" s="253"/>
      <c r="EO9" s="253"/>
      <c r="EP9" s="253"/>
      <c r="EQ9" s="253"/>
      <c r="ER9" s="253"/>
      <c r="ES9" s="253"/>
      <c r="ET9" s="253"/>
      <c r="EU9" s="253"/>
      <c r="EV9" s="253"/>
      <c r="EW9" s="254">
        <f>1000-1000+40-20</f>
        <v>20</v>
      </c>
      <c r="EX9" s="253"/>
      <c r="EY9" s="253"/>
      <c r="EZ9" s="253"/>
      <c r="FA9" s="253"/>
      <c r="FB9" s="255">
        <f>100-100</f>
        <v>0</v>
      </c>
      <c r="FC9" s="253"/>
      <c r="FD9" s="253"/>
      <c r="FE9" s="253"/>
      <c r="FF9" s="255">
        <f>100-100</f>
        <v>0</v>
      </c>
      <c r="FG9" s="253"/>
      <c r="FH9" s="253"/>
      <c r="FI9" s="253"/>
      <c r="FJ9" s="255">
        <f>100-100</f>
        <v>0</v>
      </c>
      <c r="FK9" s="253"/>
      <c r="FL9" s="253"/>
      <c r="FM9" s="253"/>
      <c r="FN9" s="253"/>
      <c r="FO9" s="253"/>
      <c r="FP9" s="253"/>
      <c r="FQ9" s="256"/>
      <c r="FR9" s="257" t="s">
        <v>1062</v>
      </c>
      <c r="FS9" s="258" t="s">
        <v>389</v>
      </c>
      <c r="FT9" s="258"/>
      <c r="FU9" s="258" t="s">
        <v>390</v>
      </c>
      <c r="FV9" s="259">
        <f t="shared" si="0"/>
        <v>1510</v>
      </c>
      <c r="FW9" s="260" t="s">
        <v>410</v>
      </c>
    </row>
    <row r="10" spans="1:179" s="260" customFormat="1">
      <c r="A10" s="251" t="s">
        <v>385</v>
      </c>
      <c r="B10" s="251" t="s">
        <v>392</v>
      </c>
      <c r="C10" s="251" t="s">
        <v>386</v>
      </c>
      <c r="D10" s="251" t="s">
        <v>291</v>
      </c>
      <c r="E10" s="252" t="s">
        <v>387</v>
      </c>
      <c r="F10" s="251" t="s">
        <v>388</v>
      </c>
      <c r="G10" s="251"/>
      <c r="H10" s="253"/>
      <c r="I10" s="255">
        <f>2000-2000</f>
        <v>0</v>
      </c>
      <c r="J10" s="253"/>
      <c r="K10" s="255">
        <f>2200-2200</f>
        <v>0</v>
      </c>
      <c r="L10" s="253"/>
      <c r="M10" s="253"/>
      <c r="N10" s="253"/>
      <c r="O10" s="253"/>
      <c r="P10" s="253"/>
      <c r="Q10" s="253"/>
      <c r="R10" s="253"/>
      <c r="S10" s="253"/>
      <c r="T10" s="253"/>
      <c r="U10" s="253"/>
      <c r="V10" s="253"/>
      <c r="W10" s="253"/>
      <c r="X10" s="253"/>
      <c r="Y10" s="253"/>
      <c r="Z10" s="253"/>
      <c r="AA10" s="253"/>
      <c r="AB10" s="253"/>
      <c r="AC10" s="253"/>
      <c r="AD10" s="253"/>
      <c r="AE10" s="253"/>
      <c r="AF10" s="253"/>
      <c r="AG10" s="253"/>
      <c r="AH10" s="253"/>
      <c r="AI10" s="253"/>
      <c r="AJ10" s="253"/>
      <c r="AK10" s="253"/>
      <c r="AL10" s="253"/>
      <c r="AM10" s="253"/>
      <c r="AN10" s="253"/>
      <c r="AO10" s="253"/>
      <c r="AP10" s="253"/>
      <c r="AQ10" s="253"/>
      <c r="AR10" s="253"/>
      <c r="AS10" s="253"/>
      <c r="AT10" s="253"/>
      <c r="AU10" s="253"/>
      <c r="AV10" s="253"/>
      <c r="AW10" s="253"/>
      <c r="AX10" s="253"/>
      <c r="AY10" s="253"/>
      <c r="AZ10" s="253"/>
      <c r="BA10" s="253"/>
      <c r="BB10" s="253"/>
      <c r="BC10" s="253"/>
      <c r="BD10" s="253"/>
      <c r="BE10" s="253"/>
      <c r="BF10" s="253"/>
      <c r="BG10" s="253"/>
      <c r="BH10" s="253"/>
      <c r="BI10" s="253"/>
      <c r="BJ10" s="253"/>
      <c r="BK10" s="253"/>
      <c r="BL10" s="253"/>
      <c r="BM10" s="253"/>
      <c r="BN10" s="253"/>
      <c r="BO10" s="253"/>
      <c r="BP10" s="253"/>
      <c r="BQ10" s="253"/>
      <c r="BR10" s="253"/>
      <c r="BS10" s="253"/>
      <c r="BT10" s="253"/>
      <c r="BU10" s="253"/>
      <c r="BV10" s="253"/>
      <c r="BW10" s="253"/>
      <c r="BX10" s="253"/>
      <c r="BY10" s="253"/>
      <c r="BZ10" s="253"/>
      <c r="CA10" s="253"/>
      <c r="CB10" s="253"/>
      <c r="CC10" s="253"/>
      <c r="CD10" s="253"/>
      <c r="CE10" s="253"/>
      <c r="CF10" s="253"/>
      <c r="CG10" s="253"/>
      <c r="CH10" s="253"/>
      <c r="CI10" s="253"/>
      <c r="CJ10" s="253"/>
      <c r="CK10" s="253"/>
      <c r="CL10" s="253"/>
      <c r="CM10" s="253"/>
      <c r="CN10" s="253"/>
      <c r="CO10" s="253"/>
      <c r="CP10" s="253"/>
      <c r="CQ10" s="253"/>
      <c r="CR10" s="253"/>
      <c r="CS10" s="253"/>
      <c r="CT10" s="253"/>
      <c r="CU10" s="253"/>
      <c r="CV10" s="253"/>
      <c r="CW10" s="253"/>
      <c r="CX10" s="253"/>
      <c r="CY10" s="253"/>
      <c r="CZ10" s="253"/>
      <c r="DA10" s="253"/>
      <c r="DB10" s="253"/>
      <c r="DC10" s="253"/>
      <c r="DD10" s="253"/>
      <c r="DE10" s="253"/>
      <c r="DF10" s="253"/>
      <c r="DG10" s="253"/>
      <c r="DH10" s="253"/>
      <c r="DI10" s="253"/>
      <c r="DJ10" s="253"/>
      <c r="DK10" s="253"/>
      <c r="DL10" s="253"/>
      <c r="DM10" s="253"/>
      <c r="DN10" s="253"/>
      <c r="DO10" s="253"/>
      <c r="DP10" s="253"/>
      <c r="DQ10" s="253"/>
      <c r="DR10" s="253"/>
      <c r="DS10" s="253"/>
      <c r="DT10" s="253"/>
      <c r="DU10" s="253"/>
      <c r="DV10" s="253"/>
      <c r="DW10" s="253"/>
      <c r="DX10" s="255">
        <f>2000-2000</f>
        <v>0</v>
      </c>
      <c r="DY10" s="255">
        <f>1000-1000</f>
        <v>0</v>
      </c>
      <c r="DZ10" s="253">
        <v>5000</v>
      </c>
      <c r="EA10" s="253"/>
      <c r="EB10" s="255">
        <f>3000-3000</f>
        <v>0</v>
      </c>
      <c r="EC10" s="254">
        <f>1000-1000+620-100</f>
        <v>520</v>
      </c>
      <c r="ED10" s="255">
        <f>1000-1000</f>
        <v>0</v>
      </c>
      <c r="EE10" s="253"/>
      <c r="EF10" s="253"/>
      <c r="EG10" s="253"/>
      <c r="EH10" s="253"/>
      <c r="EI10" s="253"/>
      <c r="EJ10" s="253"/>
      <c r="EK10" s="253"/>
      <c r="EL10" s="253"/>
      <c r="EM10" s="253"/>
      <c r="EN10" s="253"/>
      <c r="EO10" s="253"/>
      <c r="EP10" s="253"/>
      <c r="EQ10" s="253"/>
      <c r="ER10" s="253"/>
      <c r="ES10" s="253"/>
      <c r="ET10" s="253"/>
      <c r="EU10" s="253"/>
      <c r="EV10" s="253"/>
      <c r="EW10" s="253"/>
      <c r="EX10" s="253"/>
      <c r="EY10" s="253"/>
      <c r="EZ10" s="253"/>
      <c r="FA10" s="253"/>
      <c r="FB10" s="253"/>
      <c r="FC10" s="253"/>
      <c r="FD10" s="253"/>
      <c r="FE10" s="253"/>
      <c r="FF10" s="253"/>
      <c r="FG10" s="253"/>
      <c r="FH10" s="253"/>
      <c r="FI10" s="253"/>
      <c r="FJ10" s="253"/>
      <c r="FK10" s="253"/>
      <c r="FL10" s="253"/>
      <c r="FM10" s="253"/>
      <c r="FN10" s="253"/>
      <c r="FO10" s="253"/>
      <c r="FP10" s="253"/>
      <c r="FQ10" s="256"/>
      <c r="FR10" s="257" t="s">
        <v>1062</v>
      </c>
      <c r="FS10" s="258" t="s">
        <v>389</v>
      </c>
      <c r="FT10" s="258"/>
      <c r="FU10" s="258" t="s">
        <v>390</v>
      </c>
      <c r="FV10" s="259">
        <f t="shared" si="0"/>
        <v>5520</v>
      </c>
      <c r="FW10" s="260" t="s">
        <v>410</v>
      </c>
    </row>
    <row r="11" spans="1:179" s="260" customFormat="1">
      <c r="A11" s="251" t="s">
        <v>385</v>
      </c>
      <c r="B11" s="251" t="s">
        <v>392</v>
      </c>
      <c r="C11" s="251" t="s">
        <v>386</v>
      </c>
      <c r="D11" s="251" t="s">
        <v>1</v>
      </c>
      <c r="E11" s="252" t="s">
        <v>387</v>
      </c>
      <c r="F11" s="251" t="s">
        <v>388</v>
      </c>
      <c r="G11" s="251"/>
      <c r="H11" s="253"/>
      <c r="I11" s="253"/>
      <c r="J11" s="253"/>
      <c r="K11" s="253"/>
      <c r="L11" s="254">
        <f>8000-8000+3000-620</f>
        <v>2380</v>
      </c>
      <c r="M11" s="253"/>
      <c r="N11" s="253"/>
      <c r="O11" s="253"/>
      <c r="P11" s="261">
        <f>8000-8000+40-40</f>
        <v>0</v>
      </c>
      <c r="Q11" s="253"/>
      <c r="R11" s="254">
        <f>8000-8000+20-20</f>
        <v>0</v>
      </c>
      <c r="S11" s="255">
        <f>8000-8000</f>
        <v>0</v>
      </c>
      <c r="T11" s="253"/>
      <c r="U11" s="253"/>
      <c r="V11" s="253"/>
      <c r="W11" s="253"/>
      <c r="X11" s="253"/>
      <c r="Y11" s="253"/>
      <c r="Z11" s="253"/>
      <c r="AA11" s="253"/>
      <c r="AB11" s="253"/>
      <c r="AC11" s="253"/>
      <c r="AD11" s="253"/>
      <c r="AE11" s="253"/>
      <c r="AF11" s="253"/>
      <c r="AG11" s="253"/>
      <c r="AH11" s="253"/>
      <c r="AI11" s="253"/>
      <c r="AJ11" s="253"/>
      <c r="AK11" s="253"/>
      <c r="AL11" s="253"/>
      <c r="AM11" s="253"/>
      <c r="AN11" s="253"/>
      <c r="AO11" s="253"/>
      <c r="AP11" s="253"/>
      <c r="AQ11" s="253"/>
      <c r="AR11" s="253"/>
      <c r="AS11" s="253"/>
      <c r="AT11" s="253"/>
      <c r="AU11" s="253"/>
      <c r="AV11" s="253"/>
      <c r="AW11" s="253"/>
      <c r="AX11" s="253"/>
      <c r="AY11" s="253"/>
      <c r="AZ11" s="253"/>
      <c r="BA11" s="253"/>
      <c r="BB11" s="253"/>
      <c r="BC11" s="253"/>
      <c r="BD11" s="253"/>
      <c r="BE11" s="253"/>
      <c r="BF11" s="253"/>
      <c r="BG11" s="253"/>
      <c r="BH11" s="253"/>
      <c r="BI11" s="253"/>
      <c r="BJ11" s="253"/>
      <c r="BK11" s="253"/>
      <c r="BL11" s="253"/>
      <c r="BM11" s="253"/>
      <c r="BN11" s="253"/>
      <c r="BO11" s="253"/>
      <c r="BP11" s="253"/>
      <c r="BQ11" s="253"/>
      <c r="BR11" s="253"/>
      <c r="BS11" s="253"/>
      <c r="BT11" s="253"/>
      <c r="BU11" s="253"/>
      <c r="BV11" s="253"/>
      <c r="BW11" s="253"/>
      <c r="BX11" s="253"/>
      <c r="BY11" s="253"/>
      <c r="BZ11" s="253"/>
      <c r="CA11" s="253"/>
      <c r="CB11" s="253"/>
      <c r="CC11" s="253"/>
      <c r="CD11" s="253"/>
      <c r="CE11" s="253"/>
      <c r="CF11" s="253"/>
      <c r="CG11" s="253"/>
      <c r="CH11" s="253"/>
      <c r="CI11" s="253"/>
      <c r="CJ11" s="253"/>
      <c r="CK11" s="253"/>
      <c r="CL11" s="253"/>
      <c r="CM11" s="253"/>
      <c r="CN11" s="253"/>
      <c r="CO11" s="253"/>
      <c r="CP11" s="253"/>
      <c r="CQ11" s="253"/>
      <c r="CR11" s="253"/>
      <c r="CS11" s="253"/>
      <c r="CT11" s="253"/>
      <c r="CU11" s="253"/>
      <c r="CV11" s="253"/>
      <c r="CW11" s="253"/>
      <c r="CX11" s="253"/>
      <c r="CY11" s="253"/>
      <c r="CZ11" s="253"/>
      <c r="DA11" s="253"/>
      <c r="DB11" s="253"/>
      <c r="DC11" s="253"/>
      <c r="DD11" s="253"/>
      <c r="DE11" s="253"/>
      <c r="DF11" s="253"/>
      <c r="DG11" s="253"/>
      <c r="DH11" s="253"/>
      <c r="DI11" s="253"/>
      <c r="DJ11" s="253"/>
      <c r="DK11" s="253"/>
      <c r="DL11" s="253"/>
      <c r="DM11" s="253"/>
      <c r="DN11" s="253"/>
      <c r="DO11" s="253"/>
      <c r="DP11" s="253"/>
      <c r="DQ11" s="253"/>
      <c r="DR11" s="253"/>
      <c r="DS11" s="253"/>
      <c r="DT11" s="253"/>
      <c r="DU11" s="253"/>
      <c r="DV11" s="253"/>
      <c r="DW11" s="253"/>
      <c r="DX11" s="253"/>
      <c r="DY11" s="253"/>
      <c r="DZ11" s="253"/>
      <c r="EA11" s="255">
        <f>3000-3000</f>
        <v>0</v>
      </c>
      <c r="EB11" s="253"/>
      <c r="EC11" s="253"/>
      <c r="ED11" s="253"/>
      <c r="EE11" s="253"/>
      <c r="EF11" s="253"/>
      <c r="EG11" s="253"/>
      <c r="EH11" s="253"/>
      <c r="EI11" s="255">
        <f>500-500</f>
        <v>0</v>
      </c>
      <c r="EJ11" s="255">
        <f>500-500</f>
        <v>0</v>
      </c>
      <c r="EK11" s="253"/>
      <c r="EL11" s="253"/>
      <c r="EM11" s="255">
        <f>100-100</f>
        <v>0</v>
      </c>
      <c r="EN11" s="253"/>
      <c r="EO11" s="253"/>
      <c r="EP11" s="253"/>
      <c r="EQ11" s="253"/>
      <c r="ER11" s="253"/>
      <c r="ES11" s="253"/>
      <c r="ET11" s="253"/>
      <c r="EU11" s="253"/>
      <c r="EV11" s="253"/>
      <c r="EW11" s="253"/>
      <c r="EX11" s="253"/>
      <c r="EY11" s="253"/>
      <c r="EZ11" s="253"/>
      <c r="FA11" s="253"/>
      <c r="FB11" s="253"/>
      <c r="FC11" s="253"/>
      <c r="FD11" s="253"/>
      <c r="FE11" s="253"/>
      <c r="FF11" s="253"/>
      <c r="FG11" s="253"/>
      <c r="FH11" s="253"/>
      <c r="FI11" s="253"/>
      <c r="FJ11" s="253"/>
      <c r="FK11" s="253"/>
      <c r="FL11" s="253"/>
      <c r="FM11" s="255">
        <f>1000-1000</f>
        <v>0</v>
      </c>
      <c r="FN11" s="255">
        <f>2000-2000</f>
        <v>0</v>
      </c>
      <c r="FO11" s="253"/>
      <c r="FP11" s="253"/>
      <c r="FQ11" s="256"/>
      <c r="FR11" s="257" t="s">
        <v>1062</v>
      </c>
      <c r="FS11" s="258" t="s">
        <v>389</v>
      </c>
      <c r="FT11" s="258"/>
      <c r="FU11" s="258" t="s">
        <v>390</v>
      </c>
      <c r="FV11" s="259">
        <f t="shared" si="0"/>
        <v>2380</v>
      </c>
      <c r="FW11" s="260" t="s">
        <v>410</v>
      </c>
    </row>
    <row r="12" spans="1:179" s="260" customFormat="1">
      <c r="A12" s="251" t="s">
        <v>385</v>
      </c>
      <c r="B12" s="251" t="s">
        <v>392</v>
      </c>
      <c r="C12" s="251" t="s">
        <v>386</v>
      </c>
      <c r="D12" s="251" t="s">
        <v>293</v>
      </c>
      <c r="E12" s="252" t="s">
        <v>387</v>
      </c>
      <c r="F12" s="251" t="s">
        <v>388</v>
      </c>
      <c r="G12" s="251"/>
      <c r="H12" s="253"/>
      <c r="I12" s="253"/>
      <c r="J12" s="255">
        <f>2000-2000</f>
        <v>0</v>
      </c>
      <c r="K12" s="253"/>
      <c r="L12" s="253"/>
      <c r="M12" s="253"/>
      <c r="N12" s="253"/>
      <c r="O12" s="253"/>
      <c r="P12" s="253"/>
      <c r="Q12" s="253"/>
      <c r="R12" s="253"/>
      <c r="S12" s="253"/>
      <c r="T12" s="253"/>
      <c r="U12" s="253"/>
      <c r="V12" s="253"/>
      <c r="W12" s="253"/>
      <c r="X12" s="253"/>
      <c r="Y12" s="253"/>
      <c r="Z12" s="253"/>
      <c r="AA12" s="253"/>
      <c r="AB12" s="253"/>
      <c r="AC12" s="253"/>
      <c r="AD12" s="253"/>
      <c r="AE12" s="253"/>
      <c r="AF12" s="253"/>
      <c r="AG12" s="253"/>
      <c r="AH12" s="253"/>
      <c r="AI12" s="253"/>
      <c r="AJ12" s="253"/>
      <c r="AK12" s="253"/>
      <c r="AL12" s="253"/>
      <c r="AM12" s="253"/>
      <c r="AN12" s="253"/>
      <c r="AO12" s="253"/>
      <c r="AP12" s="253"/>
      <c r="AQ12" s="253"/>
      <c r="AR12" s="253"/>
      <c r="AS12" s="253"/>
      <c r="AT12" s="253"/>
      <c r="AU12" s="253"/>
      <c r="AV12" s="253"/>
      <c r="AW12" s="253"/>
      <c r="AX12" s="253"/>
      <c r="AY12" s="253"/>
      <c r="AZ12" s="253"/>
      <c r="BA12" s="253"/>
      <c r="BB12" s="253"/>
      <c r="BC12" s="253"/>
      <c r="BD12" s="253"/>
      <c r="BE12" s="253"/>
      <c r="BF12" s="253"/>
      <c r="BG12" s="253"/>
      <c r="BH12" s="253"/>
      <c r="BI12" s="253"/>
      <c r="BJ12" s="253"/>
      <c r="BK12" s="253"/>
      <c r="BL12" s="253"/>
      <c r="BM12" s="253"/>
      <c r="BN12" s="253"/>
      <c r="BO12" s="253"/>
      <c r="BP12" s="253"/>
      <c r="BQ12" s="253"/>
      <c r="BR12" s="253"/>
      <c r="BS12" s="253"/>
      <c r="BT12" s="253"/>
      <c r="BU12" s="253"/>
      <c r="BV12" s="253"/>
      <c r="BW12" s="253"/>
      <c r="BX12" s="253"/>
      <c r="BY12" s="253"/>
      <c r="BZ12" s="253"/>
      <c r="CA12" s="253"/>
      <c r="CB12" s="253"/>
      <c r="CC12" s="253"/>
      <c r="CD12" s="253"/>
      <c r="CE12" s="253"/>
      <c r="CF12" s="253"/>
      <c r="CG12" s="253"/>
      <c r="CH12" s="253"/>
      <c r="CI12" s="253"/>
      <c r="CJ12" s="253"/>
      <c r="CK12" s="253"/>
      <c r="CL12" s="253"/>
      <c r="CM12" s="253"/>
      <c r="CN12" s="253"/>
      <c r="CO12" s="253"/>
      <c r="CP12" s="253"/>
      <c r="CQ12" s="253"/>
      <c r="CR12" s="253"/>
      <c r="CS12" s="253"/>
      <c r="CT12" s="253"/>
      <c r="CU12" s="253"/>
      <c r="CV12" s="253"/>
      <c r="CW12" s="253"/>
      <c r="CX12" s="253"/>
      <c r="CY12" s="253"/>
      <c r="CZ12" s="253"/>
      <c r="DA12" s="253"/>
      <c r="DB12" s="253"/>
      <c r="DC12" s="253"/>
      <c r="DD12" s="253"/>
      <c r="DE12" s="253"/>
      <c r="DF12" s="253"/>
      <c r="DG12" s="253"/>
      <c r="DH12" s="253"/>
      <c r="DI12" s="253"/>
      <c r="DJ12" s="253"/>
      <c r="DK12" s="253"/>
      <c r="DL12" s="253"/>
      <c r="DM12" s="253"/>
      <c r="DN12" s="253"/>
      <c r="DO12" s="253"/>
      <c r="DP12" s="253"/>
      <c r="DQ12" s="253"/>
      <c r="DR12" s="253"/>
      <c r="DS12" s="253"/>
      <c r="DT12" s="253"/>
      <c r="DU12" s="253"/>
      <c r="DV12" s="253"/>
      <c r="DW12" s="253"/>
      <c r="DX12" s="253"/>
      <c r="DY12" s="253"/>
      <c r="DZ12" s="253"/>
      <c r="EA12" s="253"/>
      <c r="EB12" s="253"/>
      <c r="EC12" s="253"/>
      <c r="ED12" s="253"/>
      <c r="EE12" s="253"/>
      <c r="EF12" s="253"/>
      <c r="EG12" s="253"/>
      <c r="EH12" s="253"/>
      <c r="EI12" s="253"/>
      <c r="EJ12" s="253"/>
      <c r="EK12" s="253"/>
      <c r="EL12" s="253"/>
      <c r="EM12" s="253"/>
      <c r="EN12" s="253"/>
      <c r="EO12" s="253"/>
      <c r="EP12" s="253"/>
      <c r="EQ12" s="253"/>
      <c r="ER12" s="253"/>
      <c r="ES12" s="253"/>
      <c r="ET12" s="253"/>
      <c r="EU12" s="253"/>
      <c r="EV12" s="253"/>
      <c r="EW12" s="253"/>
      <c r="EX12" s="253"/>
      <c r="EY12" s="253"/>
      <c r="EZ12" s="253"/>
      <c r="FA12" s="253"/>
      <c r="FB12" s="253"/>
      <c r="FC12" s="253"/>
      <c r="FD12" s="253"/>
      <c r="FE12" s="253"/>
      <c r="FF12" s="253"/>
      <c r="FG12" s="253"/>
      <c r="FH12" s="253"/>
      <c r="FI12" s="253"/>
      <c r="FJ12" s="253"/>
      <c r="FK12" s="253"/>
      <c r="FL12" s="253"/>
      <c r="FM12" s="253"/>
      <c r="FN12" s="253"/>
      <c r="FO12" s="253"/>
      <c r="FP12" s="253"/>
      <c r="FQ12" s="256"/>
      <c r="FR12" s="257" t="s">
        <v>1062</v>
      </c>
      <c r="FS12" s="258" t="s">
        <v>389</v>
      </c>
      <c r="FT12" s="258"/>
      <c r="FU12" s="258" t="s">
        <v>390</v>
      </c>
      <c r="FV12" s="259">
        <f t="shared" si="0"/>
        <v>0</v>
      </c>
      <c r="FW12" s="260" t="s">
        <v>410</v>
      </c>
    </row>
    <row r="13" spans="1:179" s="260" customFormat="1" hidden="1">
      <c r="A13" s="251" t="s">
        <v>393</v>
      </c>
      <c r="B13" s="251" t="s">
        <v>385</v>
      </c>
      <c r="C13" s="251" t="s">
        <v>394</v>
      </c>
      <c r="D13" s="251" t="s">
        <v>291</v>
      </c>
      <c r="E13" s="252" t="s">
        <v>395</v>
      </c>
      <c r="F13" s="251" t="s">
        <v>388</v>
      </c>
      <c r="G13" s="251" t="s">
        <v>1063</v>
      </c>
      <c r="H13" s="253"/>
      <c r="I13" s="253"/>
      <c r="J13" s="253"/>
      <c r="K13" s="253"/>
      <c r="L13" s="253"/>
      <c r="M13" s="253"/>
      <c r="N13" s="253"/>
      <c r="O13" s="253"/>
      <c r="P13" s="253"/>
      <c r="Q13" s="253"/>
      <c r="R13" s="253"/>
      <c r="S13" s="253"/>
      <c r="T13" s="253"/>
      <c r="U13" s="253"/>
      <c r="V13" s="253"/>
      <c r="W13" s="253"/>
      <c r="X13" s="253"/>
      <c r="Y13" s="253"/>
      <c r="Z13" s="253"/>
      <c r="AA13" s="253"/>
      <c r="AB13" s="253"/>
      <c r="AC13" s="253"/>
      <c r="AD13" s="253"/>
      <c r="AE13" s="253"/>
      <c r="AF13" s="253"/>
      <c r="AG13" s="253"/>
      <c r="AH13" s="253"/>
      <c r="AI13" s="253"/>
      <c r="AJ13" s="255">
        <f>500-500</f>
        <v>0</v>
      </c>
      <c r="AK13" s="253"/>
      <c r="AL13" s="253"/>
      <c r="AM13" s="253"/>
      <c r="AN13" s="253"/>
      <c r="AO13" s="253"/>
      <c r="AP13" s="253"/>
      <c r="AQ13" s="253"/>
      <c r="AR13" s="253"/>
      <c r="AS13" s="253"/>
      <c r="AT13" s="253"/>
      <c r="AU13" s="253"/>
      <c r="AV13" s="253"/>
      <c r="AW13" s="253"/>
      <c r="AX13" s="253"/>
      <c r="AY13" s="253"/>
      <c r="AZ13" s="253"/>
      <c r="BA13" s="253"/>
      <c r="BB13" s="253"/>
      <c r="BC13" s="253"/>
      <c r="BD13" s="253"/>
      <c r="BE13" s="253"/>
      <c r="BF13" s="253"/>
      <c r="BG13" s="253"/>
      <c r="BH13" s="253"/>
      <c r="BI13" s="253"/>
      <c r="BJ13" s="253"/>
      <c r="BK13" s="253"/>
      <c r="BL13" s="253"/>
      <c r="BM13" s="253"/>
      <c r="BN13" s="253"/>
      <c r="BO13" s="253"/>
      <c r="BP13" s="253"/>
      <c r="BQ13" s="253"/>
      <c r="BR13" s="253"/>
      <c r="BS13" s="253"/>
      <c r="BT13" s="253"/>
      <c r="BU13" s="253"/>
      <c r="BV13" s="253"/>
      <c r="BW13" s="253"/>
      <c r="BX13" s="253"/>
      <c r="BY13" s="253"/>
      <c r="BZ13" s="253"/>
      <c r="CA13" s="253"/>
      <c r="CB13" s="253"/>
      <c r="CC13" s="253"/>
      <c r="CD13" s="253"/>
      <c r="CE13" s="253"/>
      <c r="CF13" s="253"/>
      <c r="CG13" s="253"/>
      <c r="CH13" s="253"/>
      <c r="CI13" s="253"/>
      <c r="CJ13" s="253"/>
      <c r="CK13" s="253"/>
      <c r="CL13" s="253"/>
      <c r="CM13" s="253"/>
      <c r="CN13" s="253"/>
      <c r="CO13" s="253"/>
      <c r="CP13" s="253"/>
      <c r="CQ13" s="253"/>
      <c r="CR13" s="253"/>
      <c r="CS13" s="253"/>
      <c r="CT13" s="253"/>
      <c r="CU13" s="253"/>
      <c r="CV13" s="253"/>
      <c r="CW13" s="253"/>
      <c r="CX13" s="253"/>
      <c r="CY13" s="253"/>
      <c r="CZ13" s="253"/>
      <c r="DA13" s="253"/>
      <c r="DB13" s="253"/>
      <c r="DC13" s="253"/>
      <c r="DD13" s="253"/>
      <c r="DE13" s="253"/>
      <c r="DF13" s="253"/>
      <c r="DG13" s="253"/>
      <c r="DH13" s="253"/>
      <c r="DI13" s="253"/>
      <c r="DJ13" s="253"/>
      <c r="DK13" s="253"/>
      <c r="DL13" s="253"/>
      <c r="DM13" s="253"/>
      <c r="DN13" s="253"/>
      <c r="DO13" s="253"/>
      <c r="DP13" s="253"/>
      <c r="DQ13" s="253"/>
      <c r="DR13" s="253"/>
      <c r="DS13" s="253"/>
      <c r="DT13" s="253"/>
      <c r="DU13" s="253"/>
      <c r="DV13" s="253"/>
      <c r="DW13" s="253"/>
      <c r="DX13" s="253"/>
      <c r="DY13" s="253"/>
      <c r="DZ13" s="253"/>
      <c r="EA13" s="253"/>
      <c r="EB13" s="253"/>
      <c r="EC13" s="253"/>
      <c r="ED13" s="253"/>
      <c r="EE13" s="253"/>
      <c r="EF13" s="253"/>
      <c r="EG13" s="253"/>
      <c r="EH13" s="253"/>
      <c r="EI13" s="253"/>
      <c r="EJ13" s="253"/>
      <c r="EK13" s="253"/>
      <c r="EL13" s="253"/>
      <c r="EM13" s="253"/>
      <c r="EN13" s="253"/>
      <c r="EO13" s="253"/>
      <c r="EP13" s="253"/>
      <c r="EQ13" s="253"/>
      <c r="ER13" s="253"/>
      <c r="ES13" s="253"/>
      <c r="ET13" s="253"/>
      <c r="EU13" s="253"/>
      <c r="EV13" s="253"/>
      <c r="EW13" s="253"/>
      <c r="EX13" s="253"/>
      <c r="EY13" s="253"/>
      <c r="EZ13" s="253"/>
      <c r="FA13" s="253"/>
      <c r="FB13" s="253"/>
      <c r="FC13" s="253"/>
      <c r="FD13" s="253"/>
      <c r="FE13" s="253"/>
      <c r="FF13" s="253"/>
      <c r="FG13" s="253"/>
      <c r="FH13" s="253"/>
      <c r="FI13" s="253"/>
      <c r="FJ13" s="253"/>
      <c r="FK13" s="253"/>
      <c r="FL13" s="253"/>
      <c r="FM13" s="253"/>
      <c r="FN13" s="253"/>
      <c r="FO13" s="253"/>
      <c r="FP13" s="253"/>
      <c r="FQ13" s="256"/>
      <c r="FR13" s="257" t="s">
        <v>1062</v>
      </c>
      <c r="FS13" s="258" t="s">
        <v>389</v>
      </c>
      <c r="FT13" s="258" t="s">
        <v>396</v>
      </c>
      <c r="FU13" s="258" t="s">
        <v>397</v>
      </c>
      <c r="FV13" s="259">
        <f t="shared" si="0"/>
        <v>0</v>
      </c>
      <c r="FW13" s="260" t="s">
        <v>398</v>
      </c>
    </row>
    <row r="14" spans="1:179" s="260" customFormat="1" hidden="1">
      <c r="A14" s="251" t="s">
        <v>393</v>
      </c>
      <c r="B14" s="251" t="s">
        <v>385</v>
      </c>
      <c r="C14" s="251" t="s">
        <v>394</v>
      </c>
      <c r="D14" s="251" t="s">
        <v>1</v>
      </c>
      <c r="E14" s="252" t="s">
        <v>395</v>
      </c>
      <c r="F14" s="251" t="s">
        <v>388</v>
      </c>
      <c r="G14" s="251" t="s">
        <v>1063</v>
      </c>
      <c r="H14" s="253"/>
      <c r="I14" s="253"/>
      <c r="J14" s="253"/>
      <c r="K14" s="253"/>
      <c r="L14" s="253"/>
      <c r="M14" s="253"/>
      <c r="N14" s="253"/>
      <c r="O14" s="253"/>
      <c r="P14" s="253"/>
      <c r="Q14" s="253"/>
      <c r="R14" s="253"/>
      <c r="S14" s="253"/>
      <c r="T14" s="253"/>
      <c r="U14" s="253"/>
      <c r="V14" s="253"/>
      <c r="W14" s="253"/>
      <c r="X14" s="255">
        <f>1000-1000</f>
        <v>0</v>
      </c>
      <c r="Y14" s="253"/>
      <c r="Z14" s="253"/>
      <c r="AA14" s="253"/>
      <c r="AB14" s="253"/>
      <c r="AC14" s="253"/>
      <c r="AD14" s="253"/>
      <c r="AE14" s="253"/>
      <c r="AF14" s="253"/>
      <c r="AG14" s="253"/>
      <c r="AH14" s="253"/>
      <c r="AI14" s="253"/>
      <c r="AJ14" s="253"/>
      <c r="AK14" s="253"/>
      <c r="AL14" s="253"/>
      <c r="AM14" s="253"/>
      <c r="AN14" s="253"/>
      <c r="AO14" s="253"/>
      <c r="AP14" s="253"/>
      <c r="AQ14" s="253"/>
      <c r="AR14" s="253"/>
      <c r="AS14" s="253"/>
      <c r="AT14" s="253"/>
      <c r="AU14" s="253"/>
      <c r="AV14" s="253"/>
      <c r="AW14" s="254">
        <f>500-500+20</f>
        <v>20</v>
      </c>
      <c r="AX14" s="253"/>
      <c r="AY14" s="253"/>
      <c r="AZ14" s="253"/>
      <c r="BA14" s="253"/>
      <c r="BB14" s="253"/>
      <c r="BC14" s="253"/>
      <c r="BD14" s="253"/>
      <c r="BE14" s="253"/>
      <c r="BF14" s="253"/>
      <c r="BG14" s="253"/>
      <c r="BH14" s="253"/>
      <c r="BI14" s="253"/>
      <c r="BJ14" s="253"/>
      <c r="BK14" s="253"/>
      <c r="BL14" s="253"/>
      <c r="BM14" s="253"/>
      <c r="BN14" s="253"/>
      <c r="BO14" s="253"/>
      <c r="BP14" s="253"/>
      <c r="BQ14" s="253"/>
      <c r="BR14" s="253"/>
      <c r="BS14" s="253"/>
      <c r="BT14" s="253"/>
      <c r="BU14" s="253"/>
      <c r="BV14" s="253"/>
      <c r="BW14" s="253"/>
      <c r="BX14" s="253"/>
      <c r="BY14" s="253"/>
      <c r="BZ14" s="253"/>
      <c r="CA14" s="253"/>
      <c r="CB14" s="253"/>
      <c r="CC14" s="253"/>
      <c r="CD14" s="253"/>
      <c r="CE14" s="253"/>
      <c r="CF14" s="253"/>
      <c r="CG14" s="253"/>
      <c r="CH14" s="253"/>
      <c r="CI14" s="253"/>
      <c r="CJ14" s="253"/>
      <c r="CK14" s="253"/>
      <c r="CL14" s="253"/>
      <c r="CM14" s="253"/>
      <c r="CN14" s="253"/>
      <c r="CO14" s="253"/>
      <c r="CP14" s="253"/>
      <c r="CQ14" s="253"/>
      <c r="CR14" s="253"/>
      <c r="CS14" s="253"/>
      <c r="CT14" s="253"/>
      <c r="CU14" s="253"/>
      <c r="CV14" s="253"/>
      <c r="CW14" s="253"/>
      <c r="CX14" s="253"/>
      <c r="CY14" s="253"/>
      <c r="CZ14" s="253"/>
      <c r="DA14" s="253"/>
      <c r="DB14" s="253"/>
      <c r="DC14" s="253"/>
      <c r="DD14" s="253"/>
      <c r="DE14" s="253"/>
      <c r="DF14" s="253"/>
      <c r="DG14" s="253"/>
      <c r="DH14" s="253"/>
      <c r="DI14" s="253"/>
      <c r="DJ14" s="253"/>
      <c r="DK14" s="253"/>
      <c r="DL14" s="253"/>
      <c r="DM14" s="253"/>
      <c r="DN14" s="253"/>
      <c r="DO14" s="253"/>
      <c r="DP14" s="253"/>
      <c r="DQ14" s="253"/>
      <c r="DR14" s="253"/>
      <c r="DS14" s="253"/>
      <c r="DT14" s="253"/>
      <c r="DU14" s="253"/>
      <c r="DV14" s="253"/>
      <c r="DW14" s="253"/>
      <c r="DX14" s="253"/>
      <c r="DY14" s="253"/>
      <c r="DZ14" s="253"/>
      <c r="EA14" s="253"/>
      <c r="EB14" s="253"/>
      <c r="EC14" s="253"/>
      <c r="ED14" s="253"/>
      <c r="EE14" s="253"/>
      <c r="EF14" s="253"/>
      <c r="EG14" s="253"/>
      <c r="EH14" s="253"/>
      <c r="EI14" s="253"/>
      <c r="EJ14" s="253"/>
      <c r="EK14" s="253"/>
      <c r="EL14" s="253"/>
      <c r="EM14" s="253"/>
      <c r="EN14" s="253"/>
      <c r="EO14" s="253"/>
      <c r="EP14" s="253"/>
      <c r="EQ14" s="253"/>
      <c r="ER14" s="253"/>
      <c r="ES14" s="253"/>
      <c r="ET14" s="253"/>
      <c r="EU14" s="253"/>
      <c r="EV14" s="253"/>
      <c r="EW14" s="253"/>
      <c r="EX14" s="253"/>
      <c r="EY14" s="253"/>
      <c r="EZ14" s="253"/>
      <c r="FA14" s="255">
        <f>200-200</f>
        <v>0</v>
      </c>
      <c r="FB14" s="253"/>
      <c r="FC14" s="255">
        <f>300-300</f>
        <v>0</v>
      </c>
      <c r="FD14" s="254">
        <f>100-100+1</f>
        <v>1</v>
      </c>
      <c r="FE14" s="255">
        <f>100-100</f>
        <v>0</v>
      </c>
      <c r="FF14" s="253"/>
      <c r="FG14" s="255">
        <f>100-100</f>
        <v>0</v>
      </c>
      <c r="FH14" s="253"/>
      <c r="FI14" s="253"/>
      <c r="FJ14" s="253"/>
      <c r="FK14" s="255">
        <f>50-50</f>
        <v>0</v>
      </c>
      <c r="FL14" s="253"/>
      <c r="FM14" s="253"/>
      <c r="FN14" s="253"/>
      <c r="FO14" s="253"/>
      <c r="FP14" s="253"/>
      <c r="FQ14" s="256"/>
      <c r="FR14" s="257" t="s">
        <v>1062</v>
      </c>
      <c r="FS14" s="258" t="s">
        <v>389</v>
      </c>
      <c r="FT14" s="258" t="s">
        <v>396</v>
      </c>
      <c r="FU14" s="258" t="s">
        <v>397</v>
      </c>
      <c r="FV14" s="259">
        <f t="shared" si="0"/>
        <v>21</v>
      </c>
      <c r="FW14" s="260" t="s">
        <v>398</v>
      </c>
    </row>
    <row r="15" spans="1:179" s="260" customFormat="1" hidden="1">
      <c r="A15" s="251" t="s">
        <v>393</v>
      </c>
      <c r="B15" s="251" t="s">
        <v>385</v>
      </c>
      <c r="C15" s="251" t="s">
        <v>394</v>
      </c>
      <c r="D15" s="251" t="s">
        <v>291</v>
      </c>
      <c r="E15" s="252" t="s">
        <v>818</v>
      </c>
      <c r="F15" s="251" t="s">
        <v>388</v>
      </c>
      <c r="G15" s="251"/>
      <c r="H15" s="253"/>
      <c r="I15" s="253"/>
      <c r="J15" s="253"/>
      <c r="K15" s="253"/>
      <c r="L15" s="253"/>
      <c r="M15" s="253"/>
      <c r="N15" s="253"/>
      <c r="O15" s="253"/>
      <c r="P15" s="253"/>
      <c r="Q15" s="253"/>
      <c r="R15" s="253"/>
      <c r="S15" s="253"/>
      <c r="T15" s="253"/>
      <c r="U15" s="253"/>
      <c r="V15" s="253"/>
      <c r="W15" s="253"/>
      <c r="X15" s="253"/>
      <c r="Y15" s="253"/>
      <c r="Z15" s="253"/>
      <c r="AA15" s="253"/>
      <c r="AB15" s="253"/>
      <c r="AC15" s="253"/>
      <c r="AD15" s="253"/>
      <c r="AE15" s="253"/>
      <c r="AF15" s="253"/>
      <c r="AG15" s="253"/>
      <c r="AH15" s="254">
        <f>50-50+20</f>
        <v>20</v>
      </c>
      <c r="AI15" s="253"/>
      <c r="AJ15" s="253"/>
      <c r="AK15" s="255">
        <f>50-50</f>
        <v>0</v>
      </c>
      <c r="AL15" s="253"/>
      <c r="AM15" s="253"/>
      <c r="AN15" s="253"/>
      <c r="AO15" s="253"/>
      <c r="AP15" s="253"/>
      <c r="AQ15" s="253"/>
      <c r="AR15" s="253"/>
      <c r="AS15" s="253"/>
      <c r="AT15" s="253"/>
      <c r="AU15" s="253"/>
      <c r="AV15" s="253"/>
      <c r="AW15" s="253"/>
      <c r="AX15" s="253"/>
      <c r="AY15" s="253"/>
      <c r="AZ15" s="253"/>
      <c r="BA15" s="253"/>
      <c r="BB15" s="253"/>
      <c r="BC15" s="253"/>
      <c r="BD15" s="253"/>
      <c r="BE15" s="253"/>
      <c r="BF15" s="253"/>
      <c r="BG15" s="254">
        <f>50-50+10</f>
        <v>10</v>
      </c>
      <c r="BH15" s="253"/>
      <c r="BI15" s="253"/>
      <c r="BJ15" s="253"/>
      <c r="BK15" s="253"/>
      <c r="BL15" s="253"/>
      <c r="BM15" s="253"/>
      <c r="BN15" s="253"/>
      <c r="BO15" s="253"/>
      <c r="BP15" s="253"/>
      <c r="BQ15" s="253"/>
      <c r="BR15" s="253"/>
      <c r="BS15" s="253"/>
      <c r="BT15" s="253"/>
      <c r="BU15" s="253"/>
      <c r="BV15" s="253"/>
      <c r="BW15" s="253"/>
      <c r="BX15" s="253"/>
      <c r="BY15" s="253"/>
      <c r="BZ15" s="253"/>
      <c r="CA15" s="253"/>
      <c r="CB15" s="253"/>
      <c r="CC15" s="253"/>
      <c r="CD15" s="253"/>
      <c r="CE15" s="253"/>
      <c r="CF15" s="253"/>
      <c r="CG15" s="253"/>
      <c r="CH15" s="253"/>
      <c r="CI15" s="253"/>
      <c r="CJ15" s="253"/>
      <c r="CK15" s="253"/>
      <c r="CL15" s="253"/>
      <c r="CM15" s="253"/>
      <c r="CN15" s="253"/>
      <c r="CO15" s="253"/>
      <c r="CP15" s="253"/>
      <c r="CQ15" s="253"/>
      <c r="CR15" s="253"/>
      <c r="CS15" s="253"/>
      <c r="CT15" s="253"/>
      <c r="CU15" s="253"/>
      <c r="CV15" s="253"/>
      <c r="CW15" s="253"/>
      <c r="CX15" s="253"/>
      <c r="CY15" s="253"/>
      <c r="CZ15" s="253"/>
      <c r="DA15" s="253"/>
      <c r="DB15" s="253"/>
      <c r="DC15" s="253"/>
      <c r="DD15" s="253"/>
      <c r="DE15" s="253"/>
      <c r="DF15" s="253"/>
      <c r="DG15" s="253"/>
      <c r="DH15" s="253"/>
      <c r="DI15" s="253"/>
      <c r="DJ15" s="253"/>
      <c r="DK15" s="253"/>
      <c r="DL15" s="253"/>
      <c r="DM15" s="253"/>
      <c r="DN15" s="253"/>
      <c r="DO15" s="253"/>
      <c r="DP15" s="253"/>
      <c r="DQ15" s="253"/>
      <c r="DR15" s="253"/>
      <c r="DS15" s="253"/>
      <c r="DT15" s="253"/>
      <c r="DU15" s="253"/>
      <c r="DV15" s="253"/>
      <c r="DW15" s="253"/>
      <c r="DX15" s="253"/>
      <c r="DY15" s="253"/>
      <c r="DZ15" s="253"/>
      <c r="EA15" s="253"/>
      <c r="EB15" s="253"/>
      <c r="EC15" s="253"/>
      <c r="ED15" s="253"/>
      <c r="EE15" s="253"/>
      <c r="EF15" s="253"/>
      <c r="EG15" s="253"/>
      <c r="EH15" s="253"/>
      <c r="EI15" s="253"/>
      <c r="EJ15" s="253"/>
      <c r="EK15" s="253"/>
      <c r="EL15" s="253"/>
      <c r="EM15" s="253"/>
      <c r="EN15" s="253"/>
      <c r="EO15" s="253"/>
      <c r="EP15" s="253"/>
      <c r="EQ15" s="253"/>
      <c r="ER15" s="253"/>
      <c r="ES15" s="253"/>
      <c r="ET15" s="253"/>
      <c r="EU15" s="253"/>
      <c r="EV15" s="253"/>
      <c r="EW15" s="253"/>
      <c r="EX15" s="253"/>
      <c r="EY15" s="253"/>
      <c r="EZ15" s="253"/>
      <c r="FA15" s="253"/>
      <c r="FB15" s="253"/>
      <c r="FC15" s="253"/>
      <c r="FD15" s="253"/>
      <c r="FE15" s="253"/>
      <c r="FF15" s="253"/>
      <c r="FG15" s="253"/>
      <c r="FH15" s="253"/>
      <c r="FI15" s="253"/>
      <c r="FJ15" s="253"/>
      <c r="FK15" s="253"/>
      <c r="FL15" s="253"/>
      <c r="FM15" s="253"/>
      <c r="FN15" s="253"/>
      <c r="FO15" s="253"/>
      <c r="FP15" s="253"/>
      <c r="FQ15" s="256"/>
      <c r="FR15" s="257" t="s">
        <v>1062</v>
      </c>
      <c r="FS15" s="258" t="s">
        <v>389</v>
      </c>
      <c r="FT15" s="258"/>
      <c r="FU15" s="258" t="s">
        <v>819</v>
      </c>
      <c r="FV15" s="259">
        <f t="shared" si="0"/>
        <v>30</v>
      </c>
      <c r="FW15" s="260" t="s">
        <v>820</v>
      </c>
    </row>
    <row r="16" spans="1:179" s="260" customFormat="1" hidden="1">
      <c r="A16" s="251" t="s">
        <v>393</v>
      </c>
      <c r="B16" s="251" t="s">
        <v>385</v>
      </c>
      <c r="C16" s="251" t="s">
        <v>394</v>
      </c>
      <c r="D16" s="251" t="s">
        <v>1</v>
      </c>
      <c r="E16" s="252" t="s">
        <v>818</v>
      </c>
      <c r="F16" s="251" t="s">
        <v>388</v>
      </c>
      <c r="G16" s="251"/>
      <c r="H16" s="253"/>
      <c r="I16" s="253"/>
      <c r="J16" s="253"/>
      <c r="K16" s="253"/>
      <c r="L16" s="253"/>
      <c r="M16" s="253"/>
      <c r="N16" s="253"/>
      <c r="O16" s="253"/>
      <c r="P16" s="253"/>
      <c r="Q16" s="253"/>
      <c r="R16" s="253"/>
      <c r="S16" s="253"/>
      <c r="T16" s="253"/>
      <c r="U16" s="253"/>
      <c r="V16" s="253"/>
      <c r="W16" s="253"/>
      <c r="X16" s="253"/>
      <c r="Y16" s="253"/>
      <c r="Z16" s="253"/>
      <c r="AA16" s="253"/>
      <c r="AB16" s="253"/>
      <c r="AC16" s="253"/>
      <c r="AD16" s="253"/>
      <c r="AE16" s="255">
        <f>50-50</f>
        <v>0</v>
      </c>
      <c r="AF16" s="253"/>
      <c r="AG16" s="253"/>
      <c r="AH16" s="253"/>
      <c r="AI16" s="253"/>
      <c r="AJ16" s="253"/>
      <c r="AK16" s="253"/>
      <c r="AL16" s="253"/>
      <c r="AM16" s="253"/>
      <c r="AN16" s="253"/>
      <c r="AO16" s="253"/>
      <c r="AP16" s="253"/>
      <c r="AQ16" s="253"/>
      <c r="AR16" s="253"/>
      <c r="AS16" s="253"/>
      <c r="AT16" s="253"/>
      <c r="AU16" s="253"/>
      <c r="AV16" s="253"/>
      <c r="AW16" s="254">
        <f>50-50+20</f>
        <v>20</v>
      </c>
      <c r="AX16" s="253"/>
      <c r="AY16" s="253"/>
      <c r="AZ16" s="253"/>
      <c r="BA16" s="253"/>
      <c r="BB16" s="253"/>
      <c r="BC16" s="253"/>
      <c r="BD16" s="253"/>
      <c r="BE16" s="253"/>
      <c r="BF16" s="253"/>
      <c r="BG16" s="253"/>
      <c r="BH16" s="253"/>
      <c r="BI16" s="255">
        <f>20-20</f>
        <v>0</v>
      </c>
      <c r="BJ16" s="253"/>
      <c r="BK16" s="253"/>
      <c r="BL16" s="253"/>
      <c r="BM16" s="253"/>
      <c r="BN16" s="253">
        <v>5</v>
      </c>
      <c r="BO16" s="253"/>
      <c r="BP16" s="253"/>
      <c r="BQ16" s="253">
        <v>10</v>
      </c>
      <c r="BR16" s="253">
        <v>10</v>
      </c>
      <c r="BS16" s="253"/>
      <c r="BT16" s="253"/>
      <c r="BU16" s="253"/>
      <c r="BV16" s="253">
        <v>4</v>
      </c>
      <c r="BW16" s="253"/>
      <c r="BX16" s="253"/>
      <c r="BY16" s="253"/>
      <c r="BZ16" s="253"/>
      <c r="CA16" s="253"/>
      <c r="CB16" s="253">
        <v>10</v>
      </c>
      <c r="CC16" s="253"/>
      <c r="CD16" s="253"/>
      <c r="CE16" s="253">
        <v>10</v>
      </c>
      <c r="CF16" s="253"/>
      <c r="CG16" s="253">
        <v>5</v>
      </c>
      <c r="CH16" s="253"/>
      <c r="CI16" s="253"/>
      <c r="CJ16" s="253"/>
      <c r="CK16" s="253"/>
      <c r="CL16" s="253"/>
      <c r="CM16" s="253"/>
      <c r="CN16" s="253"/>
      <c r="CO16" s="253"/>
      <c r="CP16" s="253"/>
      <c r="CQ16" s="253"/>
      <c r="CR16" s="253"/>
      <c r="CS16" s="253"/>
      <c r="CT16" s="253"/>
      <c r="CU16" s="253"/>
      <c r="CV16" s="253"/>
      <c r="CW16" s="253"/>
      <c r="CX16" s="253"/>
      <c r="CY16" s="253"/>
      <c r="CZ16" s="253"/>
      <c r="DA16" s="253"/>
      <c r="DB16" s="253"/>
      <c r="DC16" s="253"/>
      <c r="DD16" s="253"/>
      <c r="DE16" s="253"/>
      <c r="DF16" s="253"/>
      <c r="DG16" s="253"/>
      <c r="DH16" s="253"/>
      <c r="DI16" s="253"/>
      <c r="DJ16" s="253"/>
      <c r="DK16" s="253"/>
      <c r="DL16" s="253"/>
      <c r="DM16" s="253"/>
      <c r="DN16" s="253"/>
      <c r="DO16" s="253"/>
      <c r="DP16" s="253"/>
      <c r="DQ16" s="253"/>
      <c r="DR16" s="253"/>
      <c r="DS16" s="253"/>
      <c r="DT16" s="253"/>
      <c r="DU16" s="253"/>
      <c r="DV16" s="253"/>
      <c r="DW16" s="253"/>
      <c r="DX16" s="253"/>
      <c r="DY16" s="253"/>
      <c r="DZ16" s="253"/>
      <c r="EA16" s="253"/>
      <c r="EB16" s="253"/>
      <c r="EC16" s="253"/>
      <c r="ED16" s="253"/>
      <c r="EE16" s="253"/>
      <c r="EF16" s="253"/>
      <c r="EG16" s="253"/>
      <c r="EH16" s="253"/>
      <c r="EI16" s="253"/>
      <c r="EJ16" s="253"/>
      <c r="EK16" s="253"/>
      <c r="EL16" s="253"/>
      <c r="EM16" s="253"/>
      <c r="EN16" s="253"/>
      <c r="EO16" s="253"/>
      <c r="EP16" s="253"/>
      <c r="EQ16" s="253"/>
      <c r="ER16" s="253"/>
      <c r="ES16" s="253"/>
      <c r="ET16" s="253"/>
      <c r="EU16" s="253"/>
      <c r="EV16" s="253"/>
      <c r="EW16" s="253"/>
      <c r="EX16" s="253"/>
      <c r="EY16" s="253"/>
      <c r="EZ16" s="253"/>
      <c r="FA16" s="253"/>
      <c r="FB16" s="253"/>
      <c r="FC16" s="253"/>
      <c r="FD16" s="253"/>
      <c r="FE16" s="253"/>
      <c r="FF16" s="253"/>
      <c r="FG16" s="253"/>
      <c r="FH16" s="253"/>
      <c r="FI16" s="253"/>
      <c r="FJ16" s="253"/>
      <c r="FK16" s="253"/>
      <c r="FL16" s="253"/>
      <c r="FM16" s="253"/>
      <c r="FN16" s="253"/>
      <c r="FO16" s="253"/>
      <c r="FP16" s="253"/>
      <c r="FQ16" s="256"/>
      <c r="FR16" s="257" t="s">
        <v>1062</v>
      </c>
      <c r="FS16" s="258" t="s">
        <v>389</v>
      </c>
      <c r="FT16" s="258"/>
      <c r="FU16" s="258" t="s">
        <v>819</v>
      </c>
      <c r="FV16" s="259">
        <f t="shared" si="0"/>
        <v>74</v>
      </c>
      <c r="FW16" s="260" t="s">
        <v>820</v>
      </c>
    </row>
    <row r="17" spans="1:179" s="260" customFormat="1" hidden="1">
      <c r="A17" s="251" t="s">
        <v>393</v>
      </c>
      <c r="B17" s="251" t="s">
        <v>385</v>
      </c>
      <c r="C17" s="251" t="s">
        <v>394</v>
      </c>
      <c r="D17" s="251" t="s">
        <v>291</v>
      </c>
      <c r="E17" s="252" t="s">
        <v>401</v>
      </c>
      <c r="F17" s="251" t="s">
        <v>388</v>
      </c>
      <c r="G17" s="251"/>
      <c r="H17" s="253"/>
      <c r="I17" s="253"/>
      <c r="J17" s="253"/>
      <c r="K17" s="253"/>
      <c r="L17" s="253"/>
      <c r="M17" s="253"/>
      <c r="N17" s="253"/>
      <c r="O17" s="253"/>
      <c r="P17" s="253"/>
      <c r="Q17" s="253"/>
      <c r="R17" s="253"/>
      <c r="S17" s="253"/>
      <c r="T17" s="253"/>
      <c r="U17" s="253"/>
      <c r="V17" s="253"/>
      <c r="W17" s="253"/>
      <c r="X17" s="253"/>
      <c r="Y17" s="253"/>
      <c r="Z17" s="253"/>
      <c r="AA17" s="253"/>
      <c r="AB17" s="253"/>
      <c r="AC17" s="253"/>
      <c r="AD17" s="253"/>
      <c r="AE17" s="253"/>
      <c r="AF17" s="253"/>
      <c r="AG17" s="253"/>
      <c r="AH17" s="255">
        <f>600-600</f>
        <v>0</v>
      </c>
      <c r="AI17" s="253"/>
      <c r="AJ17" s="255">
        <f>600-600</f>
        <v>0</v>
      </c>
      <c r="AK17" s="255">
        <f>600-600</f>
        <v>0</v>
      </c>
      <c r="AL17" s="253"/>
      <c r="AM17" s="253"/>
      <c r="AN17" s="253"/>
      <c r="AO17" s="253"/>
      <c r="AP17" s="253"/>
      <c r="AQ17" s="253"/>
      <c r="AR17" s="253"/>
      <c r="AS17" s="253"/>
      <c r="AT17" s="255">
        <f>600-600</f>
        <v>0</v>
      </c>
      <c r="AU17" s="253"/>
      <c r="AV17" s="253"/>
      <c r="AW17" s="253"/>
      <c r="AX17" s="253"/>
      <c r="AY17" s="253"/>
      <c r="AZ17" s="253"/>
      <c r="BA17" s="253"/>
      <c r="BB17" s="253"/>
      <c r="BC17" s="253"/>
      <c r="BD17" s="253"/>
      <c r="BE17" s="253"/>
      <c r="BF17" s="253"/>
      <c r="BG17" s="254">
        <f>600-600+20</f>
        <v>20</v>
      </c>
      <c r="BH17" s="253"/>
      <c r="BI17" s="253"/>
      <c r="BJ17" s="253"/>
      <c r="BK17" s="253"/>
      <c r="BL17" s="253"/>
      <c r="BM17" s="253"/>
      <c r="BN17" s="253"/>
      <c r="BO17" s="253"/>
      <c r="BP17" s="253"/>
      <c r="BQ17" s="253"/>
      <c r="BR17" s="253"/>
      <c r="BS17" s="253"/>
      <c r="BT17" s="253"/>
      <c r="BU17" s="253"/>
      <c r="BV17" s="253"/>
      <c r="BW17" s="253"/>
      <c r="BX17" s="253"/>
      <c r="BY17" s="253"/>
      <c r="BZ17" s="253"/>
      <c r="CA17" s="253"/>
      <c r="CB17" s="253"/>
      <c r="CC17" s="253"/>
      <c r="CD17" s="253"/>
      <c r="CE17" s="253"/>
      <c r="CF17" s="253"/>
      <c r="CG17" s="253"/>
      <c r="CH17" s="253"/>
      <c r="CI17" s="253"/>
      <c r="CJ17" s="253"/>
      <c r="CK17" s="253"/>
      <c r="CL17" s="253"/>
      <c r="CM17" s="253"/>
      <c r="CN17" s="253"/>
      <c r="CO17" s="253"/>
      <c r="CP17" s="253"/>
      <c r="CQ17" s="253"/>
      <c r="CR17" s="253"/>
      <c r="CS17" s="253"/>
      <c r="CT17" s="253"/>
      <c r="CU17" s="253"/>
      <c r="CV17" s="253"/>
      <c r="CW17" s="253"/>
      <c r="CX17" s="253"/>
      <c r="CY17" s="253"/>
      <c r="CZ17" s="253"/>
      <c r="DA17" s="253"/>
      <c r="DB17" s="253"/>
      <c r="DC17" s="253"/>
      <c r="DD17" s="253"/>
      <c r="DE17" s="253"/>
      <c r="DF17" s="253"/>
      <c r="DG17" s="253"/>
      <c r="DH17" s="253"/>
      <c r="DI17" s="253"/>
      <c r="DJ17" s="253"/>
      <c r="DK17" s="253"/>
      <c r="DL17" s="253"/>
      <c r="DM17" s="253"/>
      <c r="DN17" s="253"/>
      <c r="DO17" s="253"/>
      <c r="DP17" s="253"/>
      <c r="DQ17" s="253"/>
      <c r="DR17" s="253"/>
      <c r="DS17" s="253"/>
      <c r="DT17" s="253"/>
      <c r="DU17" s="253"/>
      <c r="DV17" s="253"/>
      <c r="DW17" s="253"/>
      <c r="DX17" s="253"/>
      <c r="DY17" s="253"/>
      <c r="DZ17" s="253"/>
      <c r="EA17" s="253"/>
      <c r="EB17" s="253"/>
      <c r="EC17" s="253"/>
      <c r="ED17" s="253"/>
      <c r="EE17" s="253"/>
      <c r="EF17" s="253"/>
      <c r="EG17" s="253"/>
      <c r="EH17" s="253"/>
      <c r="EI17" s="253"/>
      <c r="EJ17" s="253"/>
      <c r="EK17" s="253"/>
      <c r="EL17" s="253"/>
      <c r="EM17" s="253"/>
      <c r="EN17" s="253"/>
      <c r="EO17" s="253"/>
      <c r="EP17" s="253"/>
      <c r="EQ17" s="253"/>
      <c r="ER17" s="253"/>
      <c r="ES17" s="253"/>
      <c r="ET17" s="253"/>
      <c r="EU17" s="253"/>
      <c r="EV17" s="253"/>
      <c r="EW17" s="253"/>
      <c r="EX17" s="253"/>
      <c r="EY17" s="253"/>
      <c r="EZ17" s="253"/>
      <c r="FA17" s="253"/>
      <c r="FB17" s="253"/>
      <c r="FC17" s="253"/>
      <c r="FD17" s="253"/>
      <c r="FE17" s="253"/>
      <c r="FF17" s="253"/>
      <c r="FG17" s="253"/>
      <c r="FH17" s="253"/>
      <c r="FI17" s="253"/>
      <c r="FJ17" s="253"/>
      <c r="FK17" s="253"/>
      <c r="FL17" s="253"/>
      <c r="FM17" s="253"/>
      <c r="FN17" s="253"/>
      <c r="FO17" s="253"/>
      <c r="FP17" s="253"/>
      <c r="FQ17" s="256"/>
      <c r="FR17" s="257" t="s">
        <v>1062</v>
      </c>
      <c r="FS17" s="258" t="s">
        <v>389</v>
      </c>
      <c r="FT17" s="258"/>
      <c r="FU17" s="258" t="s">
        <v>402</v>
      </c>
      <c r="FV17" s="259">
        <f t="shared" si="0"/>
        <v>20</v>
      </c>
      <c r="FW17" s="260" t="s">
        <v>403</v>
      </c>
    </row>
    <row r="18" spans="1:179" s="260" customFormat="1" hidden="1">
      <c r="A18" s="251" t="s">
        <v>393</v>
      </c>
      <c r="B18" s="251" t="s">
        <v>385</v>
      </c>
      <c r="C18" s="251" t="s">
        <v>394</v>
      </c>
      <c r="D18" s="251" t="s">
        <v>1</v>
      </c>
      <c r="E18" s="252" t="s">
        <v>401</v>
      </c>
      <c r="F18" s="251" t="s">
        <v>388</v>
      </c>
      <c r="G18" s="251"/>
      <c r="H18" s="253">
        <v>40</v>
      </c>
      <c r="I18" s="253"/>
      <c r="J18" s="253"/>
      <c r="K18" s="253"/>
      <c r="L18" s="253"/>
      <c r="M18" s="253"/>
      <c r="N18" s="253"/>
      <c r="O18" s="253"/>
      <c r="P18" s="253"/>
      <c r="Q18" s="253"/>
      <c r="R18" s="253"/>
      <c r="S18" s="253"/>
      <c r="T18" s="253"/>
      <c r="U18" s="253"/>
      <c r="V18" s="255">
        <f>600-600</f>
        <v>0</v>
      </c>
      <c r="W18" s="253"/>
      <c r="X18" s="255">
        <f>600-600</f>
        <v>0</v>
      </c>
      <c r="Y18" s="255">
        <f>600-600</f>
        <v>0</v>
      </c>
      <c r="Z18" s="253"/>
      <c r="AA18" s="253"/>
      <c r="AB18" s="253"/>
      <c r="AC18" s="255">
        <f>600-600</f>
        <v>0</v>
      </c>
      <c r="AD18" s="255">
        <f>600-600</f>
        <v>0</v>
      </c>
      <c r="AE18" s="255">
        <f>600-600</f>
        <v>0</v>
      </c>
      <c r="AF18" s="254">
        <f>600-600+20</f>
        <v>20</v>
      </c>
      <c r="AG18" s="255">
        <f>600-600</f>
        <v>0</v>
      </c>
      <c r="AH18" s="253"/>
      <c r="AI18" s="255">
        <f>600-600</f>
        <v>0</v>
      </c>
      <c r="AJ18" s="253"/>
      <c r="AK18" s="253"/>
      <c r="AL18" s="255">
        <f>600-600</f>
        <v>0</v>
      </c>
      <c r="AM18" s="253"/>
      <c r="AN18" s="253"/>
      <c r="AO18" s="253"/>
      <c r="AP18" s="255">
        <f>600-600</f>
        <v>0</v>
      </c>
      <c r="AQ18" s="253"/>
      <c r="AR18" s="254">
        <f>600-600+10</f>
        <v>10</v>
      </c>
      <c r="AS18" s="253"/>
      <c r="AT18" s="253"/>
      <c r="AU18" s="253"/>
      <c r="AV18" s="253"/>
      <c r="AW18" s="254">
        <f>600-600+20</f>
        <v>20</v>
      </c>
      <c r="AX18" s="253"/>
      <c r="AY18" s="253"/>
      <c r="AZ18" s="253"/>
      <c r="BA18" s="253"/>
      <c r="BB18" s="253"/>
      <c r="BC18" s="255">
        <f>600-600+40</f>
        <v>40</v>
      </c>
      <c r="BD18" s="253"/>
      <c r="BE18" s="253"/>
      <c r="BF18" s="253"/>
      <c r="BG18" s="253"/>
      <c r="BH18" s="255">
        <f>600-600</f>
        <v>0</v>
      </c>
      <c r="BI18" s="255">
        <f>600-600</f>
        <v>0</v>
      </c>
      <c r="BJ18" s="253"/>
      <c r="BK18" s="253"/>
      <c r="BL18" s="253"/>
      <c r="BM18" s="253"/>
      <c r="BN18" s="253">
        <v>20</v>
      </c>
      <c r="BO18" s="253"/>
      <c r="BP18" s="253"/>
      <c r="BQ18" s="253">
        <v>60</v>
      </c>
      <c r="BR18" s="253">
        <v>20</v>
      </c>
      <c r="BS18" s="253"/>
      <c r="BT18" s="253">
        <v>3</v>
      </c>
      <c r="BU18" s="253"/>
      <c r="BV18" s="253">
        <v>5</v>
      </c>
      <c r="BW18" s="253"/>
      <c r="BX18" s="253"/>
      <c r="BY18" s="253"/>
      <c r="BZ18" s="253">
        <v>5</v>
      </c>
      <c r="CA18" s="253"/>
      <c r="CB18" s="253">
        <v>30</v>
      </c>
      <c r="CC18" s="253"/>
      <c r="CD18" s="253"/>
      <c r="CE18" s="253">
        <v>40</v>
      </c>
      <c r="CF18" s="253"/>
      <c r="CG18" s="253"/>
      <c r="CH18" s="253"/>
      <c r="CI18" s="253"/>
      <c r="CJ18" s="253"/>
      <c r="CK18" s="253"/>
      <c r="CL18" s="253"/>
      <c r="CM18" s="253"/>
      <c r="CN18" s="253"/>
      <c r="CO18" s="253"/>
      <c r="CP18" s="253"/>
      <c r="CQ18" s="253"/>
      <c r="CR18" s="253"/>
      <c r="CS18" s="253"/>
      <c r="CT18" s="253"/>
      <c r="CU18" s="253"/>
      <c r="CV18" s="253"/>
      <c r="CW18" s="253"/>
      <c r="CX18" s="253"/>
      <c r="CY18" s="253"/>
      <c r="CZ18" s="253"/>
      <c r="DA18" s="253"/>
      <c r="DB18" s="253">
        <v>5</v>
      </c>
      <c r="DC18" s="253">
        <v>20</v>
      </c>
      <c r="DD18" s="253"/>
      <c r="DE18" s="253"/>
      <c r="DF18" s="253"/>
      <c r="DG18" s="253"/>
      <c r="DH18" s="253"/>
      <c r="DI18" s="253"/>
      <c r="DJ18" s="253"/>
      <c r="DK18" s="253"/>
      <c r="DL18" s="253"/>
      <c r="DM18" s="253"/>
      <c r="DN18" s="253"/>
      <c r="DO18" s="253"/>
      <c r="DP18" s="253"/>
      <c r="DQ18" s="253"/>
      <c r="DR18" s="253"/>
      <c r="DS18" s="253"/>
      <c r="DT18" s="253"/>
      <c r="DU18" s="253"/>
      <c r="DV18" s="253"/>
      <c r="DW18" s="253"/>
      <c r="DX18" s="253"/>
      <c r="DY18" s="253"/>
      <c r="DZ18" s="253"/>
      <c r="EA18" s="253"/>
      <c r="EB18" s="253"/>
      <c r="EC18" s="253"/>
      <c r="ED18" s="253"/>
      <c r="EE18" s="253"/>
      <c r="EF18" s="253"/>
      <c r="EG18" s="253"/>
      <c r="EH18" s="253"/>
      <c r="EI18" s="253"/>
      <c r="EJ18" s="253"/>
      <c r="EK18" s="253"/>
      <c r="EL18" s="253"/>
      <c r="EM18" s="255">
        <f t="shared" ref="EM18:ER18" si="1">100-100</f>
        <v>0</v>
      </c>
      <c r="EN18" s="255">
        <f t="shared" si="1"/>
        <v>0</v>
      </c>
      <c r="EO18" s="255">
        <f t="shared" si="1"/>
        <v>0</v>
      </c>
      <c r="EP18" s="255">
        <f t="shared" si="1"/>
        <v>0</v>
      </c>
      <c r="EQ18" s="255">
        <f t="shared" si="1"/>
        <v>0</v>
      </c>
      <c r="ER18" s="255">
        <f t="shared" si="1"/>
        <v>0</v>
      </c>
      <c r="ES18" s="253"/>
      <c r="ET18" s="253"/>
      <c r="EU18" s="253"/>
      <c r="EV18" s="253"/>
      <c r="EW18" s="253"/>
      <c r="EX18" s="253"/>
      <c r="EY18" s="255">
        <f>50-50</f>
        <v>0</v>
      </c>
      <c r="EZ18" s="255">
        <f>50-50</f>
        <v>0</v>
      </c>
      <c r="FA18" s="255">
        <f>50-50</f>
        <v>0</v>
      </c>
      <c r="FB18" s="253"/>
      <c r="FC18" s="255">
        <f>50-50</f>
        <v>0</v>
      </c>
      <c r="FD18" s="255">
        <f>50-50</f>
        <v>0</v>
      </c>
      <c r="FE18" s="255">
        <f>50-50</f>
        <v>0</v>
      </c>
      <c r="FF18" s="253"/>
      <c r="FG18" s="255">
        <f>50-50</f>
        <v>0</v>
      </c>
      <c r="FH18" s="255">
        <f>50-50</f>
        <v>0</v>
      </c>
      <c r="FI18" s="253"/>
      <c r="FJ18" s="253"/>
      <c r="FK18" s="255">
        <f>50-50</f>
        <v>0</v>
      </c>
      <c r="FL18" s="253"/>
      <c r="FM18" s="253"/>
      <c r="FN18" s="253"/>
      <c r="FO18" s="253"/>
      <c r="FP18" s="253"/>
      <c r="FQ18" s="256"/>
      <c r="FR18" s="257" t="s">
        <v>1062</v>
      </c>
      <c r="FS18" s="258" t="s">
        <v>389</v>
      </c>
      <c r="FT18" s="258"/>
      <c r="FU18" s="258" t="s">
        <v>402</v>
      </c>
      <c r="FV18" s="259">
        <f t="shared" si="0"/>
        <v>338</v>
      </c>
      <c r="FW18" s="260" t="s">
        <v>403</v>
      </c>
    </row>
    <row r="19" spans="1:179" s="260" customFormat="1" hidden="1">
      <c r="A19" s="251" t="s">
        <v>393</v>
      </c>
      <c r="B19" s="251" t="s">
        <v>385</v>
      </c>
      <c r="C19" s="251" t="s">
        <v>394</v>
      </c>
      <c r="D19" s="251" t="s">
        <v>293</v>
      </c>
      <c r="E19" s="252" t="s">
        <v>401</v>
      </c>
      <c r="F19" s="251" t="s">
        <v>388</v>
      </c>
      <c r="G19" s="251"/>
      <c r="H19" s="253"/>
      <c r="I19" s="253"/>
      <c r="J19" s="253"/>
      <c r="K19" s="253"/>
      <c r="L19" s="253"/>
      <c r="M19" s="253"/>
      <c r="N19" s="253"/>
      <c r="O19" s="253"/>
      <c r="P19" s="253"/>
      <c r="Q19" s="253"/>
      <c r="R19" s="253"/>
      <c r="S19" s="253"/>
      <c r="T19" s="253"/>
      <c r="U19" s="253"/>
      <c r="V19" s="253"/>
      <c r="W19" s="253"/>
      <c r="X19" s="253"/>
      <c r="Y19" s="253"/>
      <c r="Z19" s="253"/>
      <c r="AA19" s="253"/>
      <c r="AB19" s="253"/>
      <c r="AC19" s="253"/>
      <c r="AD19" s="253"/>
      <c r="AE19" s="253"/>
      <c r="AF19" s="253"/>
      <c r="AG19" s="253"/>
      <c r="AH19" s="253"/>
      <c r="AI19" s="253"/>
      <c r="AJ19" s="253"/>
      <c r="AK19" s="253"/>
      <c r="AL19" s="253"/>
      <c r="AM19" s="253"/>
      <c r="AN19" s="253"/>
      <c r="AO19" s="253"/>
      <c r="AP19" s="253"/>
      <c r="AQ19" s="253"/>
      <c r="AR19" s="253"/>
      <c r="AS19" s="253"/>
      <c r="AT19" s="253"/>
      <c r="AU19" s="253"/>
      <c r="AV19" s="253"/>
      <c r="AW19" s="253"/>
      <c r="AX19" s="253"/>
      <c r="AY19" s="253"/>
      <c r="AZ19" s="253"/>
      <c r="BA19" s="253"/>
      <c r="BB19" s="253"/>
      <c r="BC19" s="253"/>
      <c r="BD19" s="253"/>
      <c r="BE19" s="253"/>
      <c r="BF19" s="253"/>
      <c r="BG19" s="253"/>
      <c r="BH19" s="253"/>
      <c r="BI19" s="253"/>
      <c r="BJ19" s="253"/>
      <c r="BK19" s="253"/>
      <c r="BL19" s="253"/>
      <c r="BM19" s="253"/>
      <c r="BN19" s="253"/>
      <c r="BO19" s="253"/>
      <c r="BP19" s="253"/>
      <c r="BQ19" s="253"/>
      <c r="BR19" s="253"/>
      <c r="BS19" s="253"/>
      <c r="BT19" s="253"/>
      <c r="BU19" s="253"/>
      <c r="BV19" s="253"/>
      <c r="BW19" s="253"/>
      <c r="BX19" s="253"/>
      <c r="BY19" s="253"/>
      <c r="BZ19" s="253"/>
      <c r="CA19" s="253"/>
      <c r="CB19" s="253"/>
      <c r="CC19" s="253"/>
      <c r="CD19" s="253"/>
      <c r="CE19" s="253"/>
      <c r="CF19" s="253"/>
      <c r="CG19" s="253"/>
      <c r="CH19" s="253"/>
      <c r="CI19" s="253"/>
      <c r="CJ19" s="253"/>
      <c r="CK19" s="253"/>
      <c r="CL19" s="253"/>
      <c r="CM19" s="253"/>
      <c r="CN19" s="253"/>
      <c r="CO19" s="253"/>
      <c r="CP19" s="253"/>
      <c r="CQ19" s="253"/>
      <c r="CR19" s="253"/>
      <c r="CS19" s="253"/>
      <c r="CT19" s="253"/>
      <c r="CU19" s="253"/>
      <c r="CV19" s="253"/>
      <c r="CW19" s="253"/>
      <c r="CX19" s="253"/>
      <c r="CY19" s="253"/>
      <c r="CZ19" s="253"/>
      <c r="DA19" s="253"/>
      <c r="DB19" s="253"/>
      <c r="DC19" s="253"/>
      <c r="DD19" s="253"/>
      <c r="DE19" s="253"/>
      <c r="DF19" s="253"/>
      <c r="DG19" s="253"/>
      <c r="DH19" s="253"/>
      <c r="DI19" s="253"/>
      <c r="DJ19" s="253"/>
      <c r="DK19" s="253"/>
      <c r="DL19" s="253"/>
      <c r="DM19" s="253"/>
      <c r="DN19" s="253"/>
      <c r="DO19" s="253"/>
      <c r="DP19" s="253"/>
      <c r="DQ19" s="253"/>
      <c r="DR19" s="253"/>
      <c r="DS19" s="253"/>
      <c r="DT19" s="253"/>
      <c r="DU19" s="253"/>
      <c r="DV19" s="253"/>
      <c r="DW19" s="253"/>
      <c r="DX19" s="253"/>
      <c r="DY19" s="253"/>
      <c r="DZ19" s="253"/>
      <c r="EA19" s="253"/>
      <c r="EB19" s="253"/>
      <c r="EC19" s="253"/>
      <c r="ED19" s="253"/>
      <c r="EE19" s="253"/>
      <c r="EF19" s="253"/>
      <c r="EG19" s="253"/>
      <c r="EH19" s="253"/>
      <c r="EI19" s="253"/>
      <c r="EJ19" s="253"/>
      <c r="EK19" s="253"/>
      <c r="EL19" s="253"/>
      <c r="EM19" s="253"/>
      <c r="EN19" s="253"/>
      <c r="EO19" s="253"/>
      <c r="EP19" s="253"/>
      <c r="EQ19" s="253"/>
      <c r="ER19" s="253"/>
      <c r="ES19" s="253"/>
      <c r="ET19" s="253"/>
      <c r="EU19" s="253"/>
      <c r="EV19" s="253"/>
      <c r="EW19" s="253"/>
      <c r="EX19" s="253"/>
      <c r="EY19" s="253"/>
      <c r="EZ19" s="253"/>
      <c r="FA19" s="253"/>
      <c r="FB19" s="255">
        <f>50-50</f>
        <v>0</v>
      </c>
      <c r="FC19" s="253"/>
      <c r="FD19" s="253"/>
      <c r="FE19" s="253"/>
      <c r="FF19" s="255">
        <f>50-50</f>
        <v>0</v>
      </c>
      <c r="FG19" s="253"/>
      <c r="FH19" s="253"/>
      <c r="FI19" s="253"/>
      <c r="FJ19" s="255">
        <f>50-50</f>
        <v>0</v>
      </c>
      <c r="FK19" s="253"/>
      <c r="FL19" s="253"/>
      <c r="FM19" s="253"/>
      <c r="FN19" s="253"/>
      <c r="FO19" s="253"/>
      <c r="FP19" s="253"/>
      <c r="FQ19" s="256"/>
      <c r="FR19" s="257" t="s">
        <v>1062</v>
      </c>
      <c r="FS19" s="258" t="s">
        <v>389</v>
      </c>
      <c r="FT19" s="258"/>
      <c r="FU19" s="258" t="s">
        <v>402</v>
      </c>
      <c r="FV19" s="259">
        <f t="shared" si="0"/>
        <v>0</v>
      </c>
      <c r="FW19" s="260" t="s">
        <v>403</v>
      </c>
    </row>
    <row r="20" spans="1:179" s="260" customFormat="1" hidden="1">
      <c r="A20" s="251" t="s">
        <v>393</v>
      </c>
      <c r="B20" s="251" t="s">
        <v>385</v>
      </c>
      <c r="C20" s="251" t="s">
        <v>394</v>
      </c>
      <c r="D20" s="251" t="s">
        <v>291</v>
      </c>
      <c r="E20" s="252" t="s">
        <v>821</v>
      </c>
      <c r="F20" s="251" t="s">
        <v>388</v>
      </c>
      <c r="G20" s="251"/>
      <c r="H20" s="253"/>
      <c r="I20" s="253"/>
      <c r="J20" s="253"/>
      <c r="K20" s="253"/>
      <c r="L20" s="253"/>
      <c r="M20" s="253"/>
      <c r="N20" s="253"/>
      <c r="O20" s="253"/>
      <c r="P20" s="253"/>
      <c r="Q20" s="253"/>
      <c r="R20" s="253"/>
      <c r="S20" s="253"/>
      <c r="T20" s="253"/>
      <c r="U20" s="253"/>
      <c r="V20" s="253"/>
      <c r="W20" s="253"/>
      <c r="X20" s="253"/>
      <c r="Y20" s="253"/>
      <c r="Z20" s="253"/>
      <c r="AA20" s="253"/>
      <c r="AB20" s="253"/>
      <c r="AC20" s="253"/>
      <c r="AD20" s="253"/>
      <c r="AE20" s="253"/>
      <c r="AF20" s="253"/>
      <c r="AG20" s="253"/>
      <c r="AH20" s="255">
        <f>50-50</f>
        <v>0</v>
      </c>
      <c r="AI20" s="253"/>
      <c r="AJ20" s="253"/>
      <c r="AK20" s="255">
        <f>50-50</f>
        <v>0</v>
      </c>
      <c r="AL20" s="253"/>
      <c r="AM20" s="253"/>
      <c r="AN20" s="253"/>
      <c r="AO20" s="253"/>
      <c r="AP20" s="253"/>
      <c r="AQ20" s="253"/>
      <c r="AR20" s="253"/>
      <c r="AS20" s="253"/>
      <c r="AT20" s="253"/>
      <c r="AU20" s="253"/>
      <c r="AV20" s="253"/>
      <c r="AW20" s="253"/>
      <c r="AX20" s="253"/>
      <c r="AY20" s="253"/>
      <c r="AZ20" s="253"/>
      <c r="BA20" s="253"/>
      <c r="BB20" s="253"/>
      <c r="BC20" s="253"/>
      <c r="BD20" s="253"/>
      <c r="BE20" s="253"/>
      <c r="BF20" s="253"/>
      <c r="BG20" s="254">
        <f>50-50+10</f>
        <v>10</v>
      </c>
      <c r="BH20" s="253"/>
      <c r="BI20" s="253"/>
      <c r="BJ20" s="253"/>
      <c r="BK20" s="253"/>
      <c r="BL20" s="253"/>
      <c r="BM20" s="253"/>
      <c r="BN20" s="253"/>
      <c r="BO20" s="253"/>
      <c r="BP20" s="253"/>
      <c r="BQ20" s="253"/>
      <c r="BR20" s="253"/>
      <c r="BS20" s="253"/>
      <c r="BT20" s="253"/>
      <c r="BU20" s="253"/>
      <c r="BV20" s="253"/>
      <c r="BW20" s="253"/>
      <c r="BX20" s="253"/>
      <c r="BY20" s="253"/>
      <c r="BZ20" s="253"/>
      <c r="CA20" s="253"/>
      <c r="CB20" s="253"/>
      <c r="CC20" s="253"/>
      <c r="CD20" s="253"/>
      <c r="CE20" s="253"/>
      <c r="CF20" s="253"/>
      <c r="CG20" s="253"/>
      <c r="CH20" s="253"/>
      <c r="CI20" s="253"/>
      <c r="CJ20" s="253"/>
      <c r="CK20" s="253"/>
      <c r="CL20" s="253"/>
      <c r="CM20" s="253"/>
      <c r="CN20" s="253"/>
      <c r="CO20" s="253"/>
      <c r="CP20" s="253"/>
      <c r="CQ20" s="253"/>
      <c r="CR20" s="253"/>
      <c r="CS20" s="253"/>
      <c r="CT20" s="253"/>
      <c r="CU20" s="253"/>
      <c r="CV20" s="253"/>
      <c r="CW20" s="253"/>
      <c r="CX20" s="253"/>
      <c r="CY20" s="253"/>
      <c r="CZ20" s="253"/>
      <c r="DA20" s="253"/>
      <c r="DB20" s="253"/>
      <c r="DC20" s="253"/>
      <c r="DD20" s="253"/>
      <c r="DE20" s="253"/>
      <c r="DF20" s="253"/>
      <c r="DG20" s="253"/>
      <c r="DH20" s="253"/>
      <c r="DI20" s="253"/>
      <c r="DJ20" s="253"/>
      <c r="DK20" s="253"/>
      <c r="DL20" s="253"/>
      <c r="DM20" s="253"/>
      <c r="DN20" s="253"/>
      <c r="DO20" s="253"/>
      <c r="DP20" s="253"/>
      <c r="DQ20" s="253"/>
      <c r="DR20" s="253"/>
      <c r="DS20" s="253"/>
      <c r="DT20" s="253"/>
      <c r="DU20" s="253"/>
      <c r="DV20" s="253"/>
      <c r="DW20" s="253"/>
      <c r="DX20" s="253"/>
      <c r="DY20" s="253"/>
      <c r="DZ20" s="253"/>
      <c r="EA20" s="253"/>
      <c r="EB20" s="253"/>
      <c r="EC20" s="253"/>
      <c r="ED20" s="253"/>
      <c r="EE20" s="253"/>
      <c r="EF20" s="253"/>
      <c r="EG20" s="253"/>
      <c r="EH20" s="253"/>
      <c r="EI20" s="253"/>
      <c r="EJ20" s="253"/>
      <c r="EK20" s="253"/>
      <c r="EL20" s="253"/>
      <c r="EM20" s="253"/>
      <c r="EN20" s="253"/>
      <c r="EO20" s="253"/>
      <c r="EP20" s="253"/>
      <c r="EQ20" s="253"/>
      <c r="ER20" s="253"/>
      <c r="ES20" s="253"/>
      <c r="ET20" s="253"/>
      <c r="EU20" s="253"/>
      <c r="EV20" s="253"/>
      <c r="EW20" s="253"/>
      <c r="EX20" s="253"/>
      <c r="EY20" s="253"/>
      <c r="EZ20" s="253"/>
      <c r="FA20" s="253"/>
      <c r="FB20" s="253"/>
      <c r="FC20" s="253"/>
      <c r="FD20" s="253"/>
      <c r="FE20" s="253"/>
      <c r="FF20" s="253"/>
      <c r="FG20" s="253"/>
      <c r="FH20" s="253"/>
      <c r="FI20" s="253"/>
      <c r="FJ20" s="253"/>
      <c r="FK20" s="253"/>
      <c r="FL20" s="253"/>
      <c r="FM20" s="253"/>
      <c r="FN20" s="253"/>
      <c r="FO20" s="253"/>
      <c r="FP20" s="253"/>
      <c r="FQ20" s="256"/>
      <c r="FR20" s="257" t="s">
        <v>1062</v>
      </c>
      <c r="FS20" s="258" t="s">
        <v>389</v>
      </c>
      <c r="FT20" s="258"/>
      <c r="FU20" s="258" t="s">
        <v>822</v>
      </c>
      <c r="FV20" s="259">
        <f t="shared" si="0"/>
        <v>10</v>
      </c>
      <c r="FW20" s="260" t="s">
        <v>820</v>
      </c>
    </row>
    <row r="21" spans="1:179" s="260" customFormat="1" hidden="1">
      <c r="A21" s="251" t="s">
        <v>393</v>
      </c>
      <c r="B21" s="251" t="s">
        <v>385</v>
      </c>
      <c r="C21" s="251" t="s">
        <v>394</v>
      </c>
      <c r="D21" s="251" t="s">
        <v>1</v>
      </c>
      <c r="E21" s="252" t="s">
        <v>821</v>
      </c>
      <c r="F21" s="251" t="s">
        <v>388</v>
      </c>
      <c r="G21" s="251"/>
      <c r="H21" s="253"/>
      <c r="I21" s="253"/>
      <c r="J21" s="253"/>
      <c r="K21" s="253"/>
      <c r="L21" s="253"/>
      <c r="M21" s="253"/>
      <c r="N21" s="253"/>
      <c r="O21" s="253"/>
      <c r="P21" s="253"/>
      <c r="Q21" s="253"/>
      <c r="R21" s="253"/>
      <c r="S21" s="253"/>
      <c r="T21" s="253"/>
      <c r="U21" s="253"/>
      <c r="V21" s="253"/>
      <c r="W21" s="253"/>
      <c r="X21" s="253"/>
      <c r="Y21" s="253"/>
      <c r="Z21" s="253"/>
      <c r="AA21" s="253"/>
      <c r="AB21" s="253"/>
      <c r="AC21" s="253"/>
      <c r="AD21" s="253"/>
      <c r="AE21" s="255">
        <f>200-200</f>
        <v>0</v>
      </c>
      <c r="AF21" s="253"/>
      <c r="AG21" s="253"/>
      <c r="AH21" s="253"/>
      <c r="AI21" s="253"/>
      <c r="AJ21" s="253"/>
      <c r="AK21" s="253"/>
      <c r="AL21" s="253"/>
      <c r="AM21" s="253"/>
      <c r="AN21" s="253"/>
      <c r="AO21" s="253"/>
      <c r="AP21" s="255">
        <f>50-50</f>
        <v>0</v>
      </c>
      <c r="AQ21" s="253"/>
      <c r="AR21" s="253"/>
      <c r="AS21" s="253"/>
      <c r="AT21" s="253"/>
      <c r="AU21" s="253"/>
      <c r="AV21" s="253"/>
      <c r="AW21" s="254">
        <f>100-100+20</f>
        <v>20</v>
      </c>
      <c r="AX21" s="253"/>
      <c r="AY21" s="253"/>
      <c r="AZ21" s="253"/>
      <c r="BA21" s="253"/>
      <c r="BB21" s="253"/>
      <c r="BC21" s="253"/>
      <c r="BD21" s="253"/>
      <c r="BE21" s="253"/>
      <c r="BF21" s="253"/>
      <c r="BG21" s="253"/>
      <c r="BH21" s="253"/>
      <c r="BI21" s="255">
        <f>50-50</f>
        <v>0</v>
      </c>
      <c r="BJ21" s="253"/>
      <c r="BK21" s="253"/>
      <c r="BL21" s="253"/>
      <c r="BM21" s="253"/>
      <c r="BN21" s="253"/>
      <c r="BO21" s="253"/>
      <c r="BP21" s="253"/>
      <c r="BQ21" s="253"/>
      <c r="BR21" s="253"/>
      <c r="BS21" s="253"/>
      <c r="BT21" s="253"/>
      <c r="BU21" s="253"/>
      <c r="BV21" s="253"/>
      <c r="BW21" s="253"/>
      <c r="BX21" s="253"/>
      <c r="BY21" s="253"/>
      <c r="BZ21" s="253"/>
      <c r="CA21" s="253"/>
      <c r="CB21" s="253"/>
      <c r="CC21" s="253"/>
      <c r="CD21" s="253"/>
      <c r="CE21" s="253"/>
      <c r="CF21" s="253"/>
      <c r="CG21" s="253"/>
      <c r="CH21" s="253"/>
      <c r="CI21" s="253"/>
      <c r="CJ21" s="253"/>
      <c r="CK21" s="253"/>
      <c r="CL21" s="253"/>
      <c r="CM21" s="253"/>
      <c r="CN21" s="253"/>
      <c r="CO21" s="253"/>
      <c r="CP21" s="253"/>
      <c r="CQ21" s="253"/>
      <c r="CR21" s="253"/>
      <c r="CS21" s="253"/>
      <c r="CT21" s="253"/>
      <c r="CU21" s="253"/>
      <c r="CV21" s="253"/>
      <c r="CW21" s="253"/>
      <c r="CX21" s="253"/>
      <c r="CY21" s="253"/>
      <c r="CZ21" s="253"/>
      <c r="DA21" s="253"/>
      <c r="DB21" s="253"/>
      <c r="DC21" s="253"/>
      <c r="DD21" s="253"/>
      <c r="DE21" s="253"/>
      <c r="DF21" s="253"/>
      <c r="DG21" s="253"/>
      <c r="DH21" s="253"/>
      <c r="DI21" s="253"/>
      <c r="DJ21" s="253"/>
      <c r="DK21" s="253"/>
      <c r="DL21" s="253"/>
      <c r="DM21" s="253"/>
      <c r="DN21" s="253"/>
      <c r="DO21" s="253"/>
      <c r="DP21" s="253"/>
      <c r="DQ21" s="253"/>
      <c r="DR21" s="253"/>
      <c r="DS21" s="253"/>
      <c r="DT21" s="253"/>
      <c r="DU21" s="253"/>
      <c r="DV21" s="253"/>
      <c r="DW21" s="253"/>
      <c r="DX21" s="253"/>
      <c r="DY21" s="253"/>
      <c r="DZ21" s="253"/>
      <c r="EA21" s="253"/>
      <c r="EB21" s="253"/>
      <c r="EC21" s="253"/>
      <c r="ED21" s="253"/>
      <c r="EE21" s="253"/>
      <c r="EF21" s="253"/>
      <c r="EG21" s="253"/>
      <c r="EH21" s="253"/>
      <c r="EI21" s="253"/>
      <c r="EJ21" s="253"/>
      <c r="EK21" s="253"/>
      <c r="EL21" s="253"/>
      <c r="EM21" s="253"/>
      <c r="EN21" s="253"/>
      <c r="EO21" s="253"/>
      <c r="EP21" s="253"/>
      <c r="EQ21" s="253"/>
      <c r="ER21" s="253"/>
      <c r="ES21" s="253"/>
      <c r="ET21" s="253"/>
      <c r="EU21" s="253"/>
      <c r="EV21" s="253"/>
      <c r="EW21" s="253"/>
      <c r="EX21" s="253"/>
      <c r="EY21" s="253"/>
      <c r="EZ21" s="253"/>
      <c r="FA21" s="253"/>
      <c r="FB21" s="253"/>
      <c r="FC21" s="253"/>
      <c r="FD21" s="253"/>
      <c r="FE21" s="253"/>
      <c r="FF21" s="253"/>
      <c r="FG21" s="253"/>
      <c r="FH21" s="253"/>
      <c r="FI21" s="253"/>
      <c r="FJ21" s="253"/>
      <c r="FK21" s="253"/>
      <c r="FL21" s="253"/>
      <c r="FM21" s="253"/>
      <c r="FN21" s="253"/>
      <c r="FO21" s="253"/>
      <c r="FP21" s="253"/>
      <c r="FQ21" s="256"/>
      <c r="FR21" s="257" t="s">
        <v>1062</v>
      </c>
      <c r="FS21" s="258" t="s">
        <v>389</v>
      </c>
      <c r="FT21" s="258"/>
      <c r="FU21" s="258" t="s">
        <v>822</v>
      </c>
      <c r="FV21" s="259">
        <f t="shared" si="0"/>
        <v>20</v>
      </c>
      <c r="FW21" s="260" t="s">
        <v>820</v>
      </c>
    </row>
    <row r="22" spans="1:179" s="260" customFormat="1" hidden="1">
      <c r="A22" s="251" t="s">
        <v>393</v>
      </c>
      <c r="B22" s="251" t="s">
        <v>385</v>
      </c>
      <c r="C22" s="251" t="s">
        <v>394</v>
      </c>
      <c r="D22" s="251" t="s">
        <v>291</v>
      </c>
      <c r="E22" s="252" t="s">
        <v>823</v>
      </c>
      <c r="F22" s="251" t="s">
        <v>388</v>
      </c>
      <c r="G22" s="251"/>
      <c r="H22" s="253"/>
      <c r="I22" s="253"/>
      <c r="J22" s="253"/>
      <c r="K22" s="253"/>
      <c r="L22" s="253"/>
      <c r="M22" s="253"/>
      <c r="N22" s="253"/>
      <c r="O22" s="253"/>
      <c r="P22" s="253"/>
      <c r="Q22" s="253"/>
      <c r="R22" s="253"/>
      <c r="S22" s="253"/>
      <c r="T22" s="253"/>
      <c r="U22" s="253"/>
      <c r="V22" s="253"/>
      <c r="W22" s="253"/>
      <c r="X22" s="253"/>
      <c r="Y22" s="253"/>
      <c r="Z22" s="253"/>
      <c r="AA22" s="253"/>
      <c r="AB22" s="253"/>
      <c r="AC22" s="253"/>
      <c r="AD22" s="253"/>
      <c r="AE22" s="253"/>
      <c r="AF22" s="253"/>
      <c r="AG22" s="253"/>
      <c r="AH22" s="253"/>
      <c r="AI22" s="253"/>
      <c r="AJ22" s="253"/>
      <c r="AK22" s="255">
        <f>100-100</f>
        <v>0</v>
      </c>
      <c r="AL22" s="253"/>
      <c r="AM22" s="253"/>
      <c r="AN22" s="253"/>
      <c r="AO22" s="253"/>
      <c r="AP22" s="253"/>
      <c r="AQ22" s="253"/>
      <c r="AR22" s="253"/>
      <c r="AS22" s="253"/>
      <c r="AT22" s="253"/>
      <c r="AU22" s="253"/>
      <c r="AV22" s="253"/>
      <c r="AW22" s="253"/>
      <c r="AX22" s="253"/>
      <c r="AY22" s="253"/>
      <c r="AZ22" s="253"/>
      <c r="BA22" s="253"/>
      <c r="BB22" s="253"/>
      <c r="BC22" s="253"/>
      <c r="BD22" s="253"/>
      <c r="BE22" s="253"/>
      <c r="BF22" s="253"/>
      <c r="BG22" s="254">
        <f>50-50+10</f>
        <v>10</v>
      </c>
      <c r="BH22" s="253"/>
      <c r="BI22" s="253"/>
      <c r="BJ22" s="253"/>
      <c r="BK22" s="253"/>
      <c r="BL22" s="253"/>
      <c r="BM22" s="253"/>
      <c r="BN22" s="253"/>
      <c r="BO22" s="253"/>
      <c r="BP22" s="253"/>
      <c r="BQ22" s="253"/>
      <c r="BR22" s="253"/>
      <c r="BS22" s="253"/>
      <c r="BT22" s="253"/>
      <c r="BU22" s="253"/>
      <c r="BV22" s="253"/>
      <c r="BW22" s="253"/>
      <c r="BX22" s="253"/>
      <c r="BY22" s="253"/>
      <c r="BZ22" s="253"/>
      <c r="CA22" s="253"/>
      <c r="CB22" s="253"/>
      <c r="CC22" s="253"/>
      <c r="CD22" s="253"/>
      <c r="CE22" s="253"/>
      <c r="CF22" s="253"/>
      <c r="CG22" s="253"/>
      <c r="CH22" s="253"/>
      <c r="CI22" s="253"/>
      <c r="CJ22" s="253"/>
      <c r="CK22" s="253"/>
      <c r="CL22" s="253"/>
      <c r="CM22" s="253"/>
      <c r="CN22" s="253"/>
      <c r="CO22" s="253"/>
      <c r="CP22" s="253"/>
      <c r="CQ22" s="253"/>
      <c r="CR22" s="253"/>
      <c r="CS22" s="253"/>
      <c r="CT22" s="253"/>
      <c r="CU22" s="253"/>
      <c r="CV22" s="253"/>
      <c r="CW22" s="253"/>
      <c r="CX22" s="253"/>
      <c r="CY22" s="253"/>
      <c r="CZ22" s="253"/>
      <c r="DA22" s="253"/>
      <c r="DB22" s="253"/>
      <c r="DC22" s="253"/>
      <c r="DD22" s="253"/>
      <c r="DE22" s="253"/>
      <c r="DF22" s="253"/>
      <c r="DG22" s="253"/>
      <c r="DH22" s="253"/>
      <c r="DI22" s="253"/>
      <c r="DJ22" s="253"/>
      <c r="DK22" s="253"/>
      <c r="DL22" s="253"/>
      <c r="DM22" s="253"/>
      <c r="DN22" s="253"/>
      <c r="DO22" s="253"/>
      <c r="DP22" s="253"/>
      <c r="DQ22" s="253"/>
      <c r="DR22" s="253"/>
      <c r="DS22" s="253"/>
      <c r="DT22" s="253"/>
      <c r="DU22" s="253"/>
      <c r="DV22" s="253"/>
      <c r="DW22" s="253"/>
      <c r="DX22" s="253"/>
      <c r="DY22" s="253"/>
      <c r="DZ22" s="253"/>
      <c r="EA22" s="253"/>
      <c r="EB22" s="253"/>
      <c r="EC22" s="253"/>
      <c r="ED22" s="253"/>
      <c r="EE22" s="253"/>
      <c r="EF22" s="253"/>
      <c r="EG22" s="253"/>
      <c r="EH22" s="253"/>
      <c r="EI22" s="253"/>
      <c r="EJ22" s="253"/>
      <c r="EK22" s="253"/>
      <c r="EL22" s="253"/>
      <c r="EM22" s="253"/>
      <c r="EN22" s="253"/>
      <c r="EO22" s="253"/>
      <c r="EP22" s="253"/>
      <c r="EQ22" s="253"/>
      <c r="ER22" s="253"/>
      <c r="ES22" s="253"/>
      <c r="ET22" s="253"/>
      <c r="EU22" s="253"/>
      <c r="EV22" s="253"/>
      <c r="EW22" s="253"/>
      <c r="EX22" s="253"/>
      <c r="EY22" s="253"/>
      <c r="EZ22" s="253"/>
      <c r="FA22" s="253"/>
      <c r="FB22" s="253"/>
      <c r="FC22" s="253"/>
      <c r="FD22" s="253"/>
      <c r="FE22" s="253"/>
      <c r="FF22" s="253"/>
      <c r="FG22" s="253"/>
      <c r="FH22" s="253"/>
      <c r="FI22" s="253"/>
      <c r="FJ22" s="253"/>
      <c r="FK22" s="253"/>
      <c r="FL22" s="253"/>
      <c r="FM22" s="253"/>
      <c r="FN22" s="253"/>
      <c r="FO22" s="253"/>
      <c r="FP22" s="253"/>
      <c r="FQ22" s="256"/>
      <c r="FR22" s="257" t="s">
        <v>1062</v>
      </c>
      <c r="FS22" s="258" t="s">
        <v>389</v>
      </c>
      <c r="FT22" s="258"/>
      <c r="FU22" s="258" t="s">
        <v>824</v>
      </c>
      <c r="FV22" s="259">
        <f t="shared" si="0"/>
        <v>10</v>
      </c>
      <c r="FW22" s="260" t="s">
        <v>820</v>
      </c>
    </row>
    <row r="23" spans="1:179" s="260" customFormat="1" hidden="1">
      <c r="A23" s="251" t="s">
        <v>393</v>
      </c>
      <c r="B23" s="251" t="s">
        <v>385</v>
      </c>
      <c r="C23" s="251" t="s">
        <v>394</v>
      </c>
      <c r="D23" s="251" t="s">
        <v>1</v>
      </c>
      <c r="E23" s="252" t="s">
        <v>823</v>
      </c>
      <c r="F23" s="251" t="s">
        <v>388</v>
      </c>
      <c r="G23" s="251"/>
      <c r="H23" s="253"/>
      <c r="I23" s="253"/>
      <c r="J23" s="253"/>
      <c r="K23" s="253"/>
      <c r="L23" s="253"/>
      <c r="M23" s="253"/>
      <c r="N23" s="253"/>
      <c r="O23" s="253"/>
      <c r="P23" s="253"/>
      <c r="Q23" s="253"/>
      <c r="R23" s="253"/>
      <c r="S23" s="253"/>
      <c r="T23" s="253"/>
      <c r="U23" s="253"/>
      <c r="V23" s="253"/>
      <c r="W23" s="253"/>
      <c r="X23" s="253"/>
      <c r="Y23" s="253"/>
      <c r="Z23" s="253"/>
      <c r="AA23" s="253"/>
      <c r="AB23" s="253"/>
      <c r="AC23" s="253"/>
      <c r="AD23" s="253"/>
      <c r="AE23" s="255">
        <f>100-100</f>
        <v>0</v>
      </c>
      <c r="AF23" s="253"/>
      <c r="AG23" s="253"/>
      <c r="AH23" s="253"/>
      <c r="AI23" s="253"/>
      <c r="AJ23" s="253"/>
      <c r="AK23" s="253"/>
      <c r="AL23" s="253"/>
      <c r="AM23" s="253"/>
      <c r="AN23" s="253"/>
      <c r="AO23" s="253"/>
      <c r="AP23" s="255">
        <f>50-50</f>
        <v>0</v>
      </c>
      <c r="AQ23" s="253"/>
      <c r="AR23" s="253"/>
      <c r="AS23" s="253"/>
      <c r="AT23" s="253"/>
      <c r="AU23" s="253"/>
      <c r="AV23" s="253"/>
      <c r="AW23" s="254">
        <f>100-100+20</f>
        <v>20</v>
      </c>
      <c r="AX23" s="253"/>
      <c r="AY23" s="253"/>
      <c r="AZ23" s="253"/>
      <c r="BA23" s="253"/>
      <c r="BB23" s="253"/>
      <c r="BC23" s="253"/>
      <c r="BD23" s="253"/>
      <c r="BE23" s="253"/>
      <c r="BF23" s="253"/>
      <c r="BG23" s="253"/>
      <c r="BH23" s="253"/>
      <c r="BI23" s="255">
        <f>50-50</f>
        <v>0</v>
      </c>
      <c r="BJ23" s="253"/>
      <c r="BK23" s="253"/>
      <c r="BL23" s="253"/>
      <c r="BM23" s="253"/>
      <c r="BN23" s="253"/>
      <c r="BO23" s="253"/>
      <c r="BP23" s="253"/>
      <c r="BQ23" s="253"/>
      <c r="BR23" s="253"/>
      <c r="BS23" s="253"/>
      <c r="BT23" s="253"/>
      <c r="BU23" s="253"/>
      <c r="BV23" s="253"/>
      <c r="BW23" s="253"/>
      <c r="BX23" s="253"/>
      <c r="BY23" s="253"/>
      <c r="BZ23" s="253"/>
      <c r="CA23" s="253"/>
      <c r="CB23" s="253"/>
      <c r="CC23" s="253"/>
      <c r="CD23" s="253"/>
      <c r="CE23" s="253"/>
      <c r="CF23" s="253"/>
      <c r="CG23" s="253"/>
      <c r="CH23" s="253"/>
      <c r="CI23" s="253"/>
      <c r="CJ23" s="253"/>
      <c r="CK23" s="253"/>
      <c r="CL23" s="253"/>
      <c r="CM23" s="253"/>
      <c r="CN23" s="253"/>
      <c r="CO23" s="253"/>
      <c r="CP23" s="253"/>
      <c r="CQ23" s="253"/>
      <c r="CR23" s="253"/>
      <c r="CS23" s="253"/>
      <c r="CT23" s="253"/>
      <c r="CU23" s="253"/>
      <c r="CV23" s="253"/>
      <c r="CW23" s="253"/>
      <c r="CX23" s="253"/>
      <c r="CY23" s="253"/>
      <c r="CZ23" s="253"/>
      <c r="DA23" s="253"/>
      <c r="DB23" s="253"/>
      <c r="DC23" s="253"/>
      <c r="DD23" s="253"/>
      <c r="DE23" s="253"/>
      <c r="DF23" s="253"/>
      <c r="DG23" s="253"/>
      <c r="DH23" s="253"/>
      <c r="DI23" s="253"/>
      <c r="DJ23" s="253"/>
      <c r="DK23" s="253"/>
      <c r="DL23" s="253"/>
      <c r="DM23" s="253"/>
      <c r="DN23" s="253"/>
      <c r="DO23" s="253"/>
      <c r="DP23" s="253"/>
      <c r="DQ23" s="253"/>
      <c r="DR23" s="253"/>
      <c r="DS23" s="253"/>
      <c r="DT23" s="253"/>
      <c r="DU23" s="253"/>
      <c r="DV23" s="253"/>
      <c r="DW23" s="253"/>
      <c r="DX23" s="253"/>
      <c r="DY23" s="253"/>
      <c r="DZ23" s="253"/>
      <c r="EA23" s="253"/>
      <c r="EB23" s="253"/>
      <c r="EC23" s="253"/>
      <c r="ED23" s="253"/>
      <c r="EE23" s="253"/>
      <c r="EF23" s="253"/>
      <c r="EG23" s="253"/>
      <c r="EH23" s="253"/>
      <c r="EI23" s="253"/>
      <c r="EJ23" s="253"/>
      <c r="EK23" s="253"/>
      <c r="EL23" s="253"/>
      <c r="EM23" s="253"/>
      <c r="EN23" s="253"/>
      <c r="EO23" s="253"/>
      <c r="EP23" s="253"/>
      <c r="EQ23" s="253"/>
      <c r="ER23" s="253"/>
      <c r="ES23" s="253"/>
      <c r="ET23" s="253"/>
      <c r="EU23" s="253"/>
      <c r="EV23" s="253"/>
      <c r="EW23" s="253"/>
      <c r="EX23" s="253"/>
      <c r="EY23" s="253"/>
      <c r="EZ23" s="253"/>
      <c r="FA23" s="253"/>
      <c r="FB23" s="253"/>
      <c r="FC23" s="253"/>
      <c r="FD23" s="253"/>
      <c r="FE23" s="253"/>
      <c r="FF23" s="253"/>
      <c r="FG23" s="253"/>
      <c r="FH23" s="253"/>
      <c r="FI23" s="253"/>
      <c r="FJ23" s="253"/>
      <c r="FK23" s="253"/>
      <c r="FL23" s="253"/>
      <c r="FM23" s="253"/>
      <c r="FN23" s="253"/>
      <c r="FO23" s="253"/>
      <c r="FP23" s="253"/>
      <c r="FQ23" s="256"/>
      <c r="FR23" s="257" t="s">
        <v>1062</v>
      </c>
      <c r="FS23" s="258" t="s">
        <v>389</v>
      </c>
      <c r="FT23" s="258"/>
      <c r="FU23" s="258" t="s">
        <v>824</v>
      </c>
      <c r="FV23" s="259">
        <f t="shared" si="0"/>
        <v>20</v>
      </c>
      <c r="FW23" s="260" t="s">
        <v>820</v>
      </c>
    </row>
    <row r="24" spans="1:179" s="260" customFormat="1" hidden="1">
      <c r="A24" s="251" t="s">
        <v>393</v>
      </c>
      <c r="B24" s="251" t="s">
        <v>385</v>
      </c>
      <c r="C24" s="251" t="s">
        <v>394</v>
      </c>
      <c r="D24" s="251" t="s">
        <v>291</v>
      </c>
      <c r="E24" s="252" t="s">
        <v>825</v>
      </c>
      <c r="F24" s="251" t="s">
        <v>388</v>
      </c>
      <c r="G24" s="251"/>
      <c r="H24" s="253"/>
      <c r="I24" s="253"/>
      <c r="J24" s="253"/>
      <c r="K24" s="253"/>
      <c r="L24" s="253"/>
      <c r="M24" s="253"/>
      <c r="N24" s="253"/>
      <c r="O24" s="253"/>
      <c r="P24" s="253"/>
      <c r="Q24" s="253"/>
      <c r="R24" s="253"/>
      <c r="S24" s="253"/>
      <c r="T24" s="253"/>
      <c r="U24" s="253"/>
      <c r="V24" s="253"/>
      <c r="W24" s="253"/>
      <c r="X24" s="253"/>
      <c r="Y24" s="253"/>
      <c r="Z24" s="253"/>
      <c r="AA24" s="253"/>
      <c r="AB24" s="253"/>
      <c r="AC24" s="253"/>
      <c r="AD24" s="253"/>
      <c r="AE24" s="253"/>
      <c r="AF24" s="253"/>
      <c r="AG24" s="253"/>
      <c r="AH24" s="255">
        <f>10-10</f>
        <v>0</v>
      </c>
      <c r="AI24" s="253"/>
      <c r="AJ24" s="253"/>
      <c r="AK24" s="255">
        <f>10-10</f>
        <v>0</v>
      </c>
      <c r="AL24" s="253"/>
      <c r="AM24" s="253"/>
      <c r="AN24" s="253"/>
      <c r="AO24" s="253"/>
      <c r="AP24" s="253"/>
      <c r="AQ24" s="253"/>
      <c r="AR24" s="253"/>
      <c r="AS24" s="253"/>
      <c r="AT24" s="255">
        <f>40-40</f>
        <v>0</v>
      </c>
      <c r="AU24" s="253"/>
      <c r="AV24" s="253"/>
      <c r="AW24" s="253"/>
      <c r="AX24" s="253"/>
      <c r="AY24" s="253"/>
      <c r="AZ24" s="253"/>
      <c r="BA24" s="253"/>
      <c r="BB24" s="253"/>
      <c r="BC24" s="253"/>
      <c r="BD24" s="253"/>
      <c r="BE24" s="253"/>
      <c r="BF24" s="253"/>
      <c r="BG24" s="255">
        <f>40-40</f>
        <v>0</v>
      </c>
      <c r="BH24" s="253"/>
      <c r="BI24" s="253"/>
      <c r="BJ24" s="253"/>
      <c r="BK24" s="253"/>
      <c r="BL24" s="253"/>
      <c r="BM24" s="253"/>
      <c r="BN24" s="253"/>
      <c r="BO24" s="253"/>
      <c r="BP24" s="253"/>
      <c r="BQ24" s="253"/>
      <c r="BR24" s="253"/>
      <c r="BS24" s="253"/>
      <c r="BT24" s="253"/>
      <c r="BU24" s="253"/>
      <c r="BV24" s="253"/>
      <c r="BW24" s="253"/>
      <c r="BX24" s="253"/>
      <c r="BY24" s="253"/>
      <c r="BZ24" s="253"/>
      <c r="CA24" s="253"/>
      <c r="CB24" s="253"/>
      <c r="CC24" s="253"/>
      <c r="CD24" s="253"/>
      <c r="CE24" s="253"/>
      <c r="CF24" s="253"/>
      <c r="CG24" s="253"/>
      <c r="CH24" s="253"/>
      <c r="CI24" s="253"/>
      <c r="CJ24" s="253"/>
      <c r="CK24" s="253"/>
      <c r="CL24" s="253"/>
      <c r="CM24" s="253"/>
      <c r="CN24" s="253"/>
      <c r="CO24" s="253"/>
      <c r="CP24" s="253"/>
      <c r="CQ24" s="253"/>
      <c r="CR24" s="253"/>
      <c r="CS24" s="253"/>
      <c r="CT24" s="253"/>
      <c r="CU24" s="253"/>
      <c r="CV24" s="253"/>
      <c r="CW24" s="253"/>
      <c r="CX24" s="253"/>
      <c r="CY24" s="253"/>
      <c r="CZ24" s="253"/>
      <c r="DA24" s="253"/>
      <c r="DB24" s="253"/>
      <c r="DC24" s="253"/>
      <c r="DD24" s="253"/>
      <c r="DE24" s="253"/>
      <c r="DF24" s="253"/>
      <c r="DG24" s="253"/>
      <c r="DH24" s="253"/>
      <c r="DI24" s="253"/>
      <c r="DJ24" s="253"/>
      <c r="DK24" s="253"/>
      <c r="DL24" s="253"/>
      <c r="DM24" s="253"/>
      <c r="DN24" s="253"/>
      <c r="DO24" s="253"/>
      <c r="DP24" s="253"/>
      <c r="DQ24" s="253"/>
      <c r="DR24" s="253"/>
      <c r="DS24" s="253"/>
      <c r="DT24" s="253"/>
      <c r="DU24" s="253"/>
      <c r="DV24" s="253"/>
      <c r="DW24" s="253"/>
      <c r="DX24" s="253"/>
      <c r="DY24" s="253"/>
      <c r="DZ24" s="253"/>
      <c r="EA24" s="253"/>
      <c r="EB24" s="253"/>
      <c r="EC24" s="253"/>
      <c r="ED24" s="253"/>
      <c r="EE24" s="253"/>
      <c r="EF24" s="253"/>
      <c r="EG24" s="253"/>
      <c r="EH24" s="253"/>
      <c r="EI24" s="253"/>
      <c r="EJ24" s="253"/>
      <c r="EK24" s="253"/>
      <c r="EL24" s="253"/>
      <c r="EM24" s="253"/>
      <c r="EN24" s="253"/>
      <c r="EO24" s="253"/>
      <c r="EP24" s="253"/>
      <c r="EQ24" s="253"/>
      <c r="ER24" s="253"/>
      <c r="ES24" s="253"/>
      <c r="ET24" s="253"/>
      <c r="EU24" s="253"/>
      <c r="EV24" s="253"/>
      <c r="EW24" s="253"/>
      <c r="EX24" s="253"/>
      <c r="EY24" s="253"/>
      <c r="EZ24" s="253"/>
      <c r="FA24" s="253"/>
      <c r="FB24" s="253"/>
      <c r="FC24" s="253"/>
      <c r="FD24" s="253"/>
      <c r="FE24" s="253"/>
      <c r="FF24" s="253"/>
      <c r="FG24" s="253"/>
      <c r="FH24" s="253"/>
      <c r="FI24" s="253"/>
      <c r="FJ24" s="253"/>
      <c r="FK24" s="253"/>
      <c r="FL24" s="253"/>
      <c r="FM24" s="253"/>
      <c r="FN24" s="253"/>
      <c r="FO24" s="253"/>
      <c r="FP24" s="253"/>
      <c r="FQ24" s="256"/>
      <c r="FR24" s="257" t="s">
        <v>1062</v>
      </c>
      <c r="FS24" s="258" t="s">
        <v>389</v>
      </c>
      <c r="FT24" s="258"/>
      <c r="FU24" s="258" t="s">
        <v>826</v>
      </c>
      <c r="FV24" s="259">
        <f t="shared" si="0"/>
        <v>0</v>
      </c>
      <c r="FW24" s="260" t="s">
        <v>820</v>
      </c>
    </row>
    <row r="25" spans="1:179" s="260" customFormat="1" hidden="1">
      <c r="A25" s="251" t="s">
        <v>393</v>
      </c>
      <c r="B25" s="251" t="s">
        <v>385</v>
      </c>
      <c r="C25" s="251" t="s">
        <v>394</v>
      </c>
      <c r="D25" s="251" t="s">
        <v>1</v>
      </c>
      <c r="E25" s="252" t="s">
        <v>825</v>
      </c>
      <c r="F25" s="251" t="s">
        <v>388</v>
      </c>
      <c r="G25" s="251"/>
      <c r="H25" s="253"/>
      <c r="I25" s="253"/>
      <c r="J25" s="253"/>
      <c r="K25" s="253"/>
      <c r="L25" s="253"/>
      <c r="M25" s="253"/>
      <c r="N25" s="253"/>
      <c r="O25" s="253"/>
      <c r="P25" s="253"/>
      <c r="Q25" s="253"/>
      <c r="R25" s="253"/>
      <c r="S25" s="253"/>
      <c r="T25" s="253"/>
      <c r="U25" s="253"/>
      <c r="V25" s="253"/>
      <c r="W25" s="253"/>
      <c r="X25" s="253"/>
      <c r="Y25" s="253"/>
      <c r="Z25" s="253"/>
      <c r="AA25" s="253"/>
      <c r="AB25" s="253"/>
      <c r="AC25" s="253"/>
      <c r="AD25" s="253"/>
      <c r="AE25" s="255">
        <f>10-10</f>
        <v>0</v>
      </c>
      <c r="AF25" s="253"/>
      <c r="AG25" s="253"/>
      <c r="AH25" s="253"/>
      <c r="AI25" s="253"/>
      <c r="AJ25" s="253"/>
      <c r="AK25" s="253"/>
      <c r="AL25" s="253"/>
      <c r="AM25" s="253"/>
      <c r="AN25" s="253"/>
      <c r="AO25" s="253"/>
      <c r="AP25" s="253"/>
      <c r="AQ25" s="253"/>
      <c r="AR25" s="253"/>
      <c r="AS25" s="253"/>
      <c r="AT25" s="253"/>
      <c r="AU25" s="253"/>
      <c r="AV25" s="253"/>
      <c r="AW25" s="254">
        <f>40-40+20</f>
        <v>20</v>
      </c>
      <c r="AX25" s="253"/>
      <c r="AY25" s="253"/>
      <c r="AZ25" s="253"/>
      <c r="BA25" s="253"/>
      <c r="BB25" s="253"/>
      <c r="BC25" s="253"/>
      <c r="BD25" s="253"/>
      <c r="BE25" s="253"/>
      <c r="BF25" s="253"/>
      <c r="BG25" s="253"/>
      <c r="BH25" s="253"/>
      <c r="BI25" s="255">
        <f>40-40</f>
        <v>0</v>
      </c>
      <c r="BJ25" s="253"/>
      <c r="BK25" s="253"/>
      <c r="BL25" s="253"/>
      <c r="BM25" s="253"/>
      <c r="BN25" s="253"/>
      <c r="BO25" s="253"/>
      <c r="BP25" s="253"/>
      <c r="BQ25" s="253"/>
      <c r="BR25" s="253"/>
      <c r="BS25" s="253"/>
      <c r="BT25" s="253"/>
      <c r="BU25" s="253"/>
      <c r="BV25" s="253"/>
      <c r="BW25" s="253"/>
      <c r="BX25" s="253"/>
      <c r="BY25" s="253"/>
      <c r="BZ25" s="253"/>
      <c r="CA25" s="253"/>
      <c r="CB25" s="253"/>
      <c r="CC25" s="253"/>
      <c r="CD25" s="253"/>
      <c r="CE25" s="253"/>
      <c r="CF25" s="253"/>
      <c r="CG25" s="253"/>
      <c r="CH25" s="253"/>
      <c r="CI25" s="253"/>
      <c r="CJ25" s="253"/>
      <c r="CK25" s="253"/>
      <c r="CL25" s="253"/>
      <c r="CM25" s="253"/>
      <c r="CN25" s="253"/>
      <c r="CO25" s="253"/>
      <c r="CP25" s="253"/>
      <c r="CQ25" s="253"/>
      <c r="CR25" s="253"/>
      <c r="CS25" s="253"/>
      <c r="CT25" s="253"/>
      <c r="CU25" s="253"/>
      <c r="CV25" s="253"/>
      <c r="CW25" s="253"/>
      <c r="CX25" s="253"/>
      <c r="CY25" s="253"/>
      <c r="CZ25" s="253"/>
      <c r="DA25" s="253"/>
      <c r="DB25" s="253"/>
      <c r="DC25" s="253"/>
      <c r="DD25" s="253"/>
      <c r="DE25" s="253"/>
      <c r="DF25" s="253"/>
      <c r="DG25" s="253"/>
      <c r="DH25" s="253"/>
      <c r="DI25" s="253"/>
      <c r="DJ25" s="253"/>
      <c r="DK25" s="253"/>
      <c r="DL25" s="253"/>
      <c r="DM25" s="253"/>
      <c r="DN25" s="253"/>
      <c r="DO25" s="253"/>
      <c r="DP25" s="253"/>
      <c r="DQ25" s="253"/>
      <c r="DR25" s="253"/>
      <c r="DS25" s="253"/>
      <c r="DT25" s="253"/>
      <c r="DU25" s="253"/>
      <c r="DV25" s="253"/>
      <c r="DW25" s="253"/>
      <c r="DX25" s="253"/>
      <c r="DY25" s="253"/>
      <c r="DZ25" s="253"/>
      <c r="EA25" s="253"/>
      <c r="EB25" s="253"/>
      <c r="EC25" s="253"/>
      <c r="ED25" s="253"/>
      <c r="EE25" s="253"/>
      <c r="EF25" s="253"/>
      <c r="EG25" s="253"/>
      <c r="EH25" s="253"/>
      <c r="EI25" s="253"/>
      <c r="EJ25" s="253"/>
      <c r="EK25" s="253"/>
      <c r="EL25" s="253"/>
      <c r="EM25" s="253"/>
      <c r="EN25" s="253"/>
      <c r="EO25" s="253"/>
      <c r="EP25" s="253"/>
      <c r="EQ25" s="253"/>
      <c r="ER25" s="253"/>
      <c r="ES25" s="253"/>
      <c r="ET25" s="253"/>
      <c r="EU25" s="253"/>
      <c r="EV25" s="253"/>
      <c r="EW25" s="253"/>
      <c r="EX25" s="253"/>
      <c r="EY25" s="253"/>
      <c r="EZ25" s="253"/>
      <c r="FA25" s="253"/>
      <c r="FB25" s="253"/>
      <c r="FC25" s="253"/>
      <c r="FD25" s="253"/>
      <c r="FE25" s="253"/>
      <c r="FF25" s="253"/>
      <c r="FG25" s="253"/>
      <c r="FH25" s="253"/>
      <c r="FI25" s="253"/>
      <c r="FJ25" s="253"/>
      <c r="FK25" s="253"/>
      <c r="FL25" s="253"/>
      <c r="FM25" s="253"/>
      <c r="FN25" s="253"/>
      <c r="FO25" s="253"/>
      <c r="FP25" s="253"/>
      <c r="FQ25" s="256"/>
      <c r="FR25" s="257" t="s">
        <v>1062</v>
      </c>
      <c r="FS25" s="258" t="s">
        <v>389</v>
      </c>
      <c r="FT25" s="258"/>
      <c r="FU25" s="258" t="s">
        <v>826</v>
      </c>
      <c r="FV25" s="259">
        <f t="shared" si="0"/>
        <v>20</v>
      </c>
      <c r="FW25" s="260" t="s">
        <v>820</v>
      </c>
    </row>
    <row r="26" spans="1:179" s="260" customFormat="1" hidden="1">
      <c r="A26" s="251" t="s">
        <v>393</v>
      </c>
      <c r="B26" s="251" t="s">
        <v>385</v>
      </c>
      <c r="C26" s="251" t="s">
        <v>394</v>
      </c>
      <c r="D26" s="251" t="s">
        <v>291</v>
      </c>
      <c r="E26" s="252" t="s">
        <v>827</v>
      </c>
      <c r="F26" s="251" t="s">
        <v>388</v>
      </c>
      <c r="G26" s="251" t="s">
        <v>1064</v>
      </c>
      <c r="H26" s="253"/>
      <c r="I26" s="253"/>
      <c r="J26" s="253"/>
      <c r="K26" s="253"/>
      <c r="L26" s="253"/>
      <c r="M26" s="253"/>
      <c r="N26" s="253"/>
      <c r="O26" s="253"/>
      <c r="P26" s="253"/>
      <c r="Q26" s="253"/>
      <c r="R26" s="253"/>
      <c r="S26" s="253"/>
      <c r="T26" s="253"/>
      <c r="U26" s="253"/>
      <c r="V26" s="253"/>
      <c r="W26" s="253"/>
      <c r="X26" s="253"/>
      <c r="Y26" s="253"/>
      <c r="Z26" s="253"/>
      <c r="AA26" s="253"/>
      <c r="AB26" s="253"/>
      <c r="AC26" s="253"/>
      <c r="AD26" s="253"/>
      <c r="AE26" s="253"/>
      <c r="AF26" s="253"/>
      <c r="AG26" s="253"/>
      <c r="AH26" s="253"/>
      <c r="AI26" s="253"/>
      <c r="AJ26" s="253"/>
      <c r="AK26" s="255">
        <f>1000-1000</f>
        <v>0</v>
      </c>
      <c r="AL26" s="253"/>
      <c r="AM26" s="253"/>
      <c r="AN26" s="253"/>
      <c r="AO26" s="253"/>
      <c r="AP26" s="253"/>
      <c r="AQ26" s="253"/>
      <c r="AR26" s="253"/>
      <c r="AS26" s="253"/>
      <c r="AT26" s="253"/>
      <c r="AU26" s="253"/>
      <c r="AV26" s="253"/>
      <c r="AW26" s="253"/>
      <c r="AX26" s="253"/>
      <c r="AY26" s="253"/>
      <c r="AZ26" s="253"/>
      <c r="BA26" s="253"/>
      <c r="BB26" s="253"/>
      <c r="BC26" s="253"/>
      <c r="BD26" s="253"/>
      <c r="BE26" s="253"/>
      <c r="BF26" s="253"/>
      <c r="BG26" s="253"/>
      <c r="BH26" s="253"/>
      <c r="BI26" s="253"/>
      <c r="BJ26" s="253"/>
      <c r="BK26" s="253"/>
      <c r="BL26" s="253"/>
      <c r="BM26" s="253"/>
      <c r="BN26" s="253"/>
      <c r="BO26" s="253"/>
      <c r="BP26" s="253"/>
      <c r="BQ26" s="253"/>
      <c r="BR26" s="253"/>
      <c r="BS26" s="253"/>
      <c r="BT26" s="253"/>
      <c r="BU26" s="253"/>
      <c r="BV26" s="253"/>
      <c r="BW26" s="253"/>
      <c r="BX26" s="253"/>
      <c r="BY26" s="253"/>
      <c r="BZ26" s="253"/>
      <c r="CA26" s="253"/>
      <c r="CB26" s="253"/>
      <c r="CC26" s="253"/>
      <c r="CD26" s="253"/>
      <c r="CE26" s="253"/>
      <c r="CF26" s="253"/>
      <c r="CG26" s="253"/>
      <c r="CH26" s="253"/>
      <c r="CI26" s="253"/>
      <c r="CJ26" s="253"/>
      <c r="CK26" s="253"/>
      <c r="CL26" s="253"/>
      <c r="CM26" s="253"/>
      <c r="CN26" s="253"/>
      <c r="CO26" s="253"/>
      <c r="CP26" s="253"/>
      <c r="CQ26" s="253"/>
      <c r="CR26" s="253"/>
      <c r="CS26" s="253"/>
      <c r="CT26" s="253"/>
      <c r="CU26" s="253"/>
      <c r="CV26" s="253"/>
      <c r="CW26" s="253"/>
      <c r="CX26" s="253"/>
      <c r="CY26" s="253"/>
      <c r="CZ26" s="253"/>
      <c r="DA26" s="253"/>
      <c r="DB26" s="253"/>
      <c r="DC26" s="253"/>
      <c r="DD26" s="253"/>
      <c r="DE26" s="253"/>
      <c r="DF26" s="253"/>
      <c r="DG26" s="253"/>
      <c r="DH26" s="253"/>
      <c r="DI26" s="253"/>
      <c r="DJ26" s="253"/>
      <c r="DK26" s="253"/>
      <c r="DL26" s="253"/>
      <c r="DM26" s="253"/>
      <c r="DN26" s="253"/>
      <c r="DO26" s="253"/>
      <c r="DP26" s="253"/>
      <c r="DQ26" s="253"/>
      <c r="DR26" s="253"/>
      <c r="DS26" s="253"/>
      <c r="DT26" s="253"/>
      <c r="DU26" s="253"/>
      <c r="DV26" s="253"/>
      <c r="DW26" s="253"/>
      <c r="DX26" s="253"/>
      <c r="DY26" s="253"/>
      <c r="DZ26" s="253"/>
      <c r="EA26" s="253"/>
      <c r="EB26" s="253"/>
      <c r="EC26" s="253"/>
      <c r="ED26" s="253"/>
      <c r="EE26" s="253"/>
      <c r="EF26" s="253"/>
      <c r="EG26" s="253"/>
      <c r="EH26" s="253"/>
      <c r="EI26" s="253"/>
      <c r="EJ26" s="253"/>
      <c r="EK26" s="253"/>
      <c r="EL26" s="253"/>
      <c r="EM26" s="253"/>
      <c r="EN26" s="253"/>
      <c r="EO26" s="253"/>
      <c r="EP26" s="253"/>
      <c r="EQ26" s="253"/>
      <c r="ER26" s="253"/>
      <c r="ES26" s="253"/>
      <c r="ET26" s="253"/>
      <c r="EU26" s="253"/>
      <c r="EV26" s="253"/>
      <c r="EW26" s="253"/>
      <c r="EX26" s="253"/>
      <c r="EY26" s="253"/>
      <c r="EZ26" s="253"/>
      <c r="FA26" s="253"/>
      <c r="FB26" s="253"/>
      <c r="FC26" s="253"/>
      <c r="FD26" s="253"/>
      <c r="FE26" s="253"/>
      <c r="FF26" s="253"/>
      <c r="FG26" s="253"/>
      <c r="FH26" s="253"/>
      <c r="FI26" s="253"/>
      <c r="FJ26" s="253"/>
      <c r="FK26" s="253"/>
      <c r="FL26" s="253"/>
      <c r="FM26" s="253"/>
      <c r="FN26" s="253"/>
      <c r="FO26" s="253"/>
      <c r="FP26" s="253"/>
      <c r="FQ26" s="256"/>
      <c r="FR26" s="257" t="s">
        <v>1062</v>
      </c>
      <c r="FS26" s="258" t="s">
        <v>389</v>
      </c>
      <c r="FT26" s="258" t="s">
        <v>828</v>
      </c>
      <c r="FU26" s="258" t="s">
        <v>397</v>
      </c>
      <c r="FV26" s="259">
        <f t="shared" si="0"/>
        <v>0</v>
      </c>
      <c r="FW26" s="260" t="s">
        <v>398</v>
      </c>
    </row>
    <row r="27" spans="1:179" s="260" customFormat="1" hidden="1">
      <c r="A27" s="251" t="s">
        <v>393</v>
      </c>
      <c r="B27" s="251" t="s">
        <v>385</v>
      </c>
      <c r="C27" s="251" t="s">
        <v>394</v>
      </c>
      <c r="D27" s="251" t="s">
        <v>1</v>
      </c>
      <c r="E27" s="252" t="s">
        <v>827</v>
      </c>
      <c r="F27" s="251" t="s">
        <v>388</v>
      </c>
      <c r="G27" s="251" t="s">
        <v>1064</v>
      </c>
      <c r="H27" s="253"/>
      <c r="I27" s="253"/>
      <c r="J27" s="253"/>
      <c r="K27" s="253"/>
      <c r="L27" s="253"/>
      <c r="M27" s="253"/>
      <c r="N27" s="253"/>
      <c r="O27" s="253"/>
      <c r="P27" s="253"/>
      <c r="Q27" s="253"/>
      <c r="R27" s="253"/>
      <c r="S27" s="253"/>
      <c r="T27" s="253"/>
      <c r="U27" s="253"/>
      <c r="V27" s="253"/>
      <c r="W27" s="253"/>
      <c r="X27" s="253"/>
      <c r="Y27" s="253"/>
      <c r="Z27" s="253"/>
      <c r="AA27" s="253"/>
      <c r="AB27" s="253"/>
      <c r="AC27" s="253"/>
      <c r="AD27" s="255">
        <f>1000-1000</f>
        <v>0</v>
      </c>
      <c r="AE27" s="255">
        <f>1000-1000</f>
        <v>0</v>
      </c>
      <c r="AF27" s="253"/>
      <c r="AG27" s="253"/>
      <c r="AH27" s="253"/>
      <c r="AI27" s="253"/>
      <c r="AJ27" s="253"/>
      <c r="AK27" s="253"/>
      <c r="AL27" s="253"/>
      <c r="AM27" s="253"/>
      <c r="AN27" s="253"/>
      <c r="AO27" s="253"/>
      <c r="AP27" s="255">
        <f>1000-1000</f>
        <v>0</v>
      </c>
      <c r="AQ27" s="253"/>
      <c r="AR27" s="253"/>
      <c r="AS27" s="253"/>
      <c r="AT27" s="253"/>
      <c r="AU27" s="253"/>
      <c r="AV27" s="253"/>
      <c r="AW27" s="253"/>
      <c r="AX27" s="253"/>
      <c r="AY27" s="253"/>
      <c r="AZ27" s="253"/>
      <c r="BA27" s="253"/>
      <c r="BB27" s="253"/>
      <c r="BC27" s="253"/>
      <c r="BD27" s="253"/>
      <c r="BE27" s="253"/>
      <c r="BF27" s="253"/>
      <c r="BG27" s="253"/>
      <c r="BH27" s="253"/>
      <c r="BI27" s="253"/>
      <c r="BJ27" s="253"/>
      <c r="BK27" s="253"/>
      <c r="BL27" s="253"/>
      <c r="BM27" s="253"/>
      <c r="BN27" s="253"/>
      <c r="BO27" s="253"/>
      <c r="BP27" s="253"/>
      <c r="BQ27" s="253"/>
      <c r="BR27" s="253"/>
      <c r="BS27" s="253"/>
      <c r="BT27" s="253"/>
      <c r="BU27" s="253"/>
      <c r="BV27" s="253"/>
      <c r="BW27" s="253"/>
      <c r="BX27" s="253"/>
      <c r="BY27" s="253"/>
      <c r="BZ27" s="253"/>
      <c r="CA27" s="253"/>
      <c r="CB27" s="253"/>
      <c r="CC27" s="253"/>
      <c r="CD27" s="253"/>
      <c r="CE27" s="253"/>
      <c r="CF27" s="253"/>
      <c r="CG27" s="253"/>
      <c r="CH27" s="253"/>
      <c r="CI27" s="253"/>
      <c r="CJ27" s="253"/>
      <c r="CK27" s="253"/>
      <c r="CL27" s="253"/>
      <c r="CM27" s="253"/>
      <c r="CN27" s="253"/>
      <c r="CO27" s="253"/>
      <c r="CP27" s="253"/>
      <c r="CQ27" s="253"/>
      <c r="CR27" s="253"/>
      <c r="CS27" s="253"/>
      <c r="CT27" s="253"/>
      <c r="CU27" s="253"/>
      <c r="CV27" s="253"/>
      <c r="CW27" s="253"/>
      <c r="CX27" s="253"/>
      <c r="CY27" s="253"/>
      <c r="CZ27" s="253"/>
      <c r="DA27" s="253"/>
      <c r="DB27" s="253"/>
      <c r="DC27" s="253"/>
      <c r="DD27" s="253"/>
      <c r="DE27" s="253"/>
      <c r="DF27" s="253"/>
      <c r="DG27" s="253"/>
      <c r="DH27" s="253"/>
      <c r="DI27" s="253"/>
      <c r="DJ27" s="253"/>
      <c r="DK27" s="253"/>
      <c r="DL27" s="253"/>
      <c r="DM27" s="253"/>
      <c r="DN27" s="253"/>
      <c r="DO27" s="253"/>
      <c r="DP27" s="253"/>
      <c r="DQ27" s="253"/>
      <c r="DR27" s="253"/>
      <c r="DS27" s="253"/>
      <c r="DT27" s="253"/>
      <c r="DU27" s="253"/>
      <c r="DV27" s="253"/>
      <c r="DW27" s="253"/>
      <c r="DX27" s="253"/>
      <c r="DY27" s="253"/>
      <c r="DZ27" s="253"/>
      <c r="EA27" s="253"/>
      <c r="EB27" s="253"/>
      <c r="EC27" s="253"/>
      <c r="ED27" s="253"/>
      <c r="EE27" s="253"/>
      <c r="EF27" s="253"/>
      <c r="EG27" s="253"/>
      <c r="EH27" s="253"/>
      <c r="EI27" s="253"/>
      <c r="EJ27" s="253"/>
      <c r="EK27" s="255">
        <f>500-500</f>
        <v>0</v>
      </c>
      <c r="EL27" s="253"/>
      <c r="EM27" s="255">
        <f>500-500</f>
        <v>0</v>
      </c>
      <c r="EN27" s="253"/>
      <c r="EO27" s="253"/>
      <c r="EP27" s="253"/>
      <c r="EQ27" s="253"/>
      <c r="ER27" s="253"/>
      <c r="ES27" s="253"/>
      <c r="ET27" s="253"/>
      <c r="EU27" s="253"/>
      <c r="EV27" s="253"/>
      <c r="EW27" s="253"/>
      <c r="EX27" s="253"/>
      <c r="EY27" s="253"/>
      <c r="EZ27" s="254">
        <v>10</v>
      </c>
      <c r="FA27" s="253"/>
      <c r="FB27" s="253"/>
      <c r="FC27" s="253"/>
      <c r="FD27" s="253"/>
      <c r="FE27" s="253"/>
      <c r="FF27" s="253"/>
      <c r="FG27" s="253"/>
      <c r="FH27" s="253"/>
      <c r="FI27" s="253"/>
      <c r="FJ27" s="253"/>
      <c r="FK27" s="253"/>
      <c r="FL27" s="253"/>
      <c r="FM27" s="253"/>
      <c r="FN27" s="253"/>
      <c r="FO27" s="253"/>
      <c r="FP27" s="253"/>
      <c r="FQ27" s="256"/>
      <c r="FR27" s="257" t="s">
        <v>1062</v>
      </c>
      <c r="FS27" s="258" t="s">
        <v>389</v>
      </c>
      <c r="FT27" s="258" t="s">
        <v>828</v>
      </c>
      <c r="FU27" s="258" t="s">
        <v>397</v>
      </c>
      <c r="FV27" s="259">
        <f t="shared" si="0"/>
        <v>10</v>
      </c>
      <c r="FW27" s="260" t="s">
        <v>398</v>
      </c>
    </row>
    <row r="28" spans="1:179" s="260" customFormat="1" hidden="1">
      <c r="A28" s="251" t="s">
        <v>385</v>
      </c>
      <c r="B28" s="251" t="s">
        <v>385</v>
      </c>
      <c r="C28" s="251" t="s">
        <v>394</v>
      </c>
      <c r="D28" s="251" t="s">
        <v>291</v>
      </c>
      <c r="E28" s="252" t="s">
        <v>404</v>
      </c>
      <c r="F28" s="251" t="s">
        <v>388</v>
      </c>
      <c r="G28" s="251"/>
      <c r="H28" s="253"/>
      <c r="I28" s="255">
        <f>200-200</f>
        <v>0</v>
      </c>
      <c r="J28" s="253"/>
      <c r="K28" s="255">
        <f>200-200</f>
        <v>0</v>
      </c>
      <c r="L28" s="253"/>
      <c r="M28" s="253"/>
      <c r="N28" s="253"/>
      <c r="O28" s="253"/>
      <c r="P28" s="253"/>
      <c r="Q28" s="253"/>
      <c r="R28" s="253"/>
      <c r="S28" s="253"/>
      <c r="T28" s="253"/>
      <c r="U28" s="253"/>
      <c r="V28" s="253"/>
      <c r="W28" s="253"/>
      <c r="X28" s="253"/>
      <c r="Y28" s="253"/>
      <c r="Z28" s="253"/>
      <c r="AA28" s="253"/>
      <c r="AB28" s="253"/>
      <c r="AC28" s="253"/>
      <c r="AD28" s="253"/>
      <c r="AE28" s="253"/>
      <c r="AF28" s="253"/>
      <c r="AG28" s="253"/>
      <c r="AH28" s="253"/>
      <c r="AI28" s="253"/>
      <c r="AJ28" s="255">
        <f>500-500</f>
        <v>0</v>
      </c>
      <c r="AK28" s="255">
        <f>500-500</f>
        <v>0</v>
      </c>
      <c r="AL28" s="253"/>
      <c r="AM28" s="253"/>
      <c r="AN28" s="253"/>
      <c r="AO28" s="253"/>
      <c r="AP28" s="253"/>
      <c r="AQ28" s="253"/>
      <c r="AR28" s="253"/>
      <c r="AS28" s="253"/>
      <c r="AT28" s="253"/>
      <c r="AU28" s="253"/>
      <c r="AV28" s="253"/>
      <c r="AW28" s="253"/>
      <c r="AX28" s="253"/>
      <c r="AY28" s="253"/>
      <c r="AZ28" s="253"/>
      <c r="BA28" s="253"/>
      <c r="BB28" s="253"/>
      <c r="BC28" s="253"/>
      <c r="BD28" s="253"/>
      <c r="BE28" s="253"/>
      <c r="BF28" s="253"/>
      <c r="BG28" s="254">
        <f>500-500+20</f>
        <v>20</v>
      </c>
      <c r="BH28" s="253"/>
      <c r="BI28" s="253"/>
      <c r="BJ28" s="253"/>
      <c r="BK28" s="253"/>
      <c r="BL28" s="253"/>
      <c r="BM28" s="253"/>
      <c r="BN28" s="253"/>
      <c r="BO28" s="253"/>
      <c r="BP28" s="253"/>
      <c r="BQ28" s="253"/>
      <c r="BR28" s="253"/>
      <c r="BS28" s="253"/>
      <c r="BT28" s="253"/>
      <c r="BU28" s="253"/>
      <c r="BV28" s="253"/>
      <c r="BW28" s="253"/>
      <c r="BX28" s="253"/>
      <c r="BY28" s="253"/>
      <c r="BZ28" s="253"/>
      <c r="CA28" s="253"/>
      <c r="CB28" s="253"/>
      <c r="CC28" s="253"/>
      <c r="CD28" s="253"/>
      <c r="CE28" s="253"/>
      <c r="CF28" s="253"/>
      <c r="CG28" s="253"/>
      <c r="CH28" s="253"/>
      <c r="CI28" s="253"/>
      <c r="CJ28" s="253"/>
      <c r="CK28" s="253"/>
      <c r="CL28" s="253"/>
      <c r="CM28" s="253"/>
      <c r="CN28" s="253"/>
      <c r="CO28" s="253"/>
      <c r="CP28" s="253"/>
      <c r="CQ28" s="253"/>
      <c r="CR28" s="253"/>
      <c r="CS28" s="253"/>
      <c r="CT28" s="253"/>
      <c r="CU28" s="253"/>
      <c r="CV28" s="253"/>
      <c r="CW28" s="253"/>
      <c r="CX28" s="253"/>
      <c r="CY28" s="253"/>
      <c r="CZ28" s="253"/>
      <c r="DA28" s="253"/>
      <c r="DB28" s="253"/>
      <c r="DC28" s="253"/>
      <c r="DD28" s="253"/>
      <c r="DE28" s="253"/>
      <c r="DF28" s="253"/>
      <c r="DG28" s="253"/>
      <c r="DH28" s="253"/>
      <c r="DI28" s="253"/>
      <c r="DJ28" s="253"/>
      <c r="DK28" s="253"/>
      <c r="DL28" s="253"/>
      <c r="DM28" s="253"/>
      <c r="DN28" s="253"/>
      <c r="DO28" s="253"/>
      <c r="DP28" s="253"/>
      <c r="DQ28" s="253"/>
      <c r="DR28" s="253"/>
      <c r="DS28" s="253"/>
      <c r="DT28" s="253"/>
      <c r="DU28" s="253"/>
      <c r="DV28" s="253"/>
      <c r="DW28" s="253"/>
      <c r="DX28" s="255">
        <f>100-100</f>
        <v>0</v>
      </c>
      <c r="DY28" s="255">
        <f>100-100</f>
        <v>0</v>
      </c>
      <c r="DZ28" s="253"/>
      <c r="EA28" s="253"/>
      <c r="EB28" s="253"/>
      <c r="EC28" s="255">
        <f>0-0</f>
        <v>0</v>
      </c>
      <c r="ED28" s="255">
        <f>0-0</f>
        <v>0</v>
      </c>
      <c r="EE28" s="253"/>
      <c r="EF28" s="253"/>
      <c r="EG28" s="253"/>
      <c r="EH28" s="253"/>
      <c r="EI28" s="253"/>
      <c r="EJ28" s="253"/>
      <c r="EK28" s="253"/>
      <c r="EL28" s="253"/>
      <c r="EM28" s="253"/>
      <c r="EN28" s="253"/>
      <c r="EO28" s="253"/>
      <c r="EP28" s="253"/>
      <c r="EQ28" s="253"/>
      <c r="ER28" s="253"/>
      <c r="ES28" s="253"/>
      <c r="ET28" s="253"/>
      <c r="EU28" s="253"/>
      <c r="EV28" s="253"/>
      <c r="EW28" s="253"/>
      <c r="EX28" s="253"/>
      <c r="EY28" s="253"/>
      <c r="EZ28" s="253"/>
      <c r="FA28" s="253"/>
      <c r="FB28" s="253"/>
      <c r="FC28" s="253"/>
      <c r="FD28" s="253"/>
      <c r="FE28" s="253"/>
      <c r="FF28" s="253"/>
      <c r="FG28" s="253"/>
      <c r="FH28" s="253"/>
      <c r="FI28" s="253"/>
      <c r="FJ28" s="253"/>
      <c r="FK28" s="253"/>
      <c r="FL28" s="253"/>
      <c r="FM28" s="253"/>
      <c r="FN28" s="253"/>
      <c r="FO28" s="253"/>
      <c r="FP28" s="253"/>
      <c r="FQ28" s="256"/>
      <c r="FR28" s="257" t="s">
        <v>1062</v>
      </c>
      <c r="FS28" s="258" t="s">
        <v>389</v>
      </c>
      <c r="FT28" s="258"/>
      <c r="FU28" s="258" t="s">
        <v>402</v>
      </c>
      <c r="FV28" s="259">
        <f t="shared" si="0"/>
        <v>20</v>
      </c>
      <c r="FW28" s="260" t="s">
        <v>403</v>
      </c>
    </row>
    <row r="29" spans="1:179" s="260" customFormat="1" hidden="1">
      <c r="A29" s="251" t="s">
        <v>385</v>
      </c>
      <c r="B29" s="251" t="s">
        <v>385</v>
      </c>
      <c r="C29" s="251" t="s">
        <v>394</v>
      </c>
      <c r="D29" s="251" t="s">
        <v>1</v>
      </c>
      <c r="E29" s="252" t="s">
        <v>404</v>
      </c>
      <c r="F29" s="251" t="s">
        <v>388</v>
      </c>
      <c r="G29" s="251"/>
      <c r="H29" s="253"/>
      <c r="I29" s="253"/>
      <c r="J29" s="253"/>
      <c r="K29" s="253"/>
      <c r="L29" s="254">
        <f>200-200+200</f>
        <v>200</v>
      </c>
      <c r="M29" s="253"/>
      <c r="N29" s="253"/>
      <c r="O29" s="253"/>
      <c r="P29" s="255">
        <f>100-100</f>
        <v>0</v>
      </c>
      <c r="Q29" s="253"/>
      <c r="R29" s="255">
        <f>100-100</f>
        <v>0</v>
      </c>
      <c r="S29" s="255">
        <f>100-100</f>
        <v>0</v>
      </c>
      <c r="T29" s="253"/>
      <c r="U29" s="253"/>
      <c r="V29" s="255">
        <f>500-500</f>
        <v>0</v>
      </c>
      <c r="W29" s="253"/>
      <c r="X29" s="255">
        <f>500-500</f>
        <v>0</v>
      </c>
      <c r="Y29" s="255">
        <f>500-500</f>
        <v>0</v>
      </c>
      <c r="Z29" s="253"/>
      <c r="AA29" s="253"/>
      <c r="AB29" s="253"/>
      <c r="AC29" s="253"/>
      <c r="AD29" s="255">
        <f>500-500</f>
        <v>0</v>
      </c>
      <c r="AE29" s="255">
        <f>500-500</f>
        <v>0</v>
      </c>
      <c r="AF29" s="255">
        <f>500-500</f>
        <v>0</v>
      </c>
      <c r="AG29" s="255">
        <f>500-500</f>
        <v>0</v>
      </c>
      <c r="AH29" s="253"/>
      <c r="AI29" s="255">
        <f>500-500</f>
        <v>0</v>
      </c>
      <c r="AJ29" s="253"/>
      <c r="AK29" s="253"/>
      <c r="AL29" s="255">
        <f>500-500</f>
        <v>0</v>
      </c>
      <c r="AM29" s="253"/>
      <c r="AN29" s="253"/>
      <c r="AO29" s="253"/>
      <c r="AP29" s="255">
        <f>500-500</f>
        <v>0</v>
      </c>
      <c r="AQ29" s="253"/>
      <c r="AR29" s="254">
        <f>500-500+10</f>
        <v>10</v>
      </c>
      <c r="AS29" s="253"/>
      <c r="AT29" s="253"/>
      <c r="AU29" s="253"/>
      <c r="AV29" s="253"/>
      <c r="AW29" s="254">
        <f>500-500+20</f>
        <v>20</v>
      </c>
      <c r="AX29" s="253"/>
      <c r="AY29" s="253"/>
      <c r="AZ29" s="253"/>
      <c r="BA29" s="253"/>
      <c r="BB29" s="253"/>
      <c r="BC29" s="253"/>
      <c r="BD29" s="253"/>
      <c r="BE29" s="253"/>
      <c r="BF29" s="253"/>
      <c r="BG29" s="253"/>
      <c r="BH29" s="253"/>
      <c r="BI29" s="253"/>
      <c r="BJ29" s="253"/>
      <c r="BK29" s="253"/>
      <c r="BL29" s="253"/>
      <c r="BM29" s="253"/>
      <c r="BN29" s="253"/>
      <c r="BO29" s="253"/>
      <c r="BP29" s="253"/>
      <c r="BQ29" s="253"/>
      <c r="BR29" s="253"/>
      <c r="BS29" s="253"/>
      <c r="BT29" s="253"/>
      <c r="BU29" s="253"/>
      <c r="BV29" s="253"/>
      <c r="BW29" s="253"/>
      <c r="BX29" s="253"/>
      <c r="BY29" s="253"/>
      <c r="BZ29" s="253"/>
      <c r="CA29" s="253"/>
      <c r="CB29" s="253"/>
      <c r="CC29" s="253"/>
      <c r="CD29" s="253"/>
      <c r="CE29" s="253"/>
      <c r="CF29" s="253"/>
      <c r="CG29" s="253"/>
      <c r="CH29" s="253"/>
      <c r="CI29" s="253"/>
      <c r="CJ29" s="253"/>
      <c r="CK29" s="253"/>
      <c r="CL29" s="253"/>
      <c r="CM29" s="253"/>
      <c r="CN29" s="253"/>
      <c r="CO29" s="253"/>
      <c r="CP29" s="253"/>
      <c r="CQ29" s="253"/>
      <c r="CR29" s="253"/>
      <c r="CS29" s="253"/>
      <c r="CT29" s="253"/>
      <c r="CU29" s="253"/>
      <c r="CV29" s="253"/>
      <c r="CW29" s="253"/>
      <c r="CX29" s="253"/>
      <c r="CY29" s="253"/>
      <c r="CZ29" s="253"/>
      <c r="DA29" s="253"/>
      <c r="DB29" s="253"/>
      <c r="DC29" s="253"/>
      <c r="DD29" s="253"/>
      <c r="DE29" s="253"/>
      <c r="DF29" s="253"/>
      <c r="DG29" s="253"/>
      <c r="DH29" s="253"/>
      <c r="DI29" s="253"/>
      <c r="DJ29" s="253"/>
      <c r="DK29" s="253"/>
      <c r="DL29" s="253"/>
      <c r="DM29" s="253"/>
      <c r="DN29" s="253"/>
      <c r="DO29" s="253"/>
      <c r="DP29" s="253"/>
      <c r="DQ29" s="253"/>
      <c r="DR29" s="253"/>
      <c r="DS29" s="253"/>
      <c r="DT29" s="253"/>
      <c r="DU29" s="253"/>
      <c r="DV29" s="253"/>
      <c r="DW29" s="253"/>
      <c r="DX29" s="253"/>
      <c r="DY29" s="253"/>
      <c r="DZ29" s="253"/>
      <c r="EA29" s="255">
        <f>100-100</f>
        <v>0</v>
      </c>
      <c r="EB29" s="253"/>
      <c r="EC29" s="253"/>
      <c r="ED29" s="253"/>
      <c r="EE29" s="253"/>
      <c r="EF29" s="253"/>
      <c r="EG29" s="253"/>
      <c r="EH29" s="253"/>
      <c r="EI29" s="253"/>
      <c r="EJ29" s="253"/>
      <c r="EK29" s="253"/>
      <c r="EL29" s="253"/>
      <c r="EM29" s="255">
        <f>100-100</f>
        <v>0</v>
      </c>
      <c r="EN29" s="255">
        <f>100-100</f>
        <v>0</v>
      </c>
      <c r="EO29" s="253"/>
      <c r="EP29" s="255">
        <f>100-100</f>
        <v>0</v>
      </c>
      <c r="EQ29" s="255">
        <f>100-100</f>
        <v>0</v>
      </c>
      <c r="ER29" s="255">
        <f>100-100</f>
        <v>0</v>
      </c>
      <c r="ES29" s="253"/>
      <c r="ET29" s="253"/>
      <c r="EU29" s="255">
        <f>100-100</f>
        <v>0</v>
      </c>
      <c r="EV29" s="253"/>
      <c r="EW29" s="253"/>
      <c r="EX29" s="253"/>
      <c r="EY29" s="255">
        <f>100-100</f>
        <v>0</v>
      </c>
      <c r="EZ29" s="255">
        <f>100-100</f>
        <v>0</v>
      </c>
      <c r="FA29" s="255">
        <f>50-50</f>
        <v>0</v>
      </c>
      <c r="FB29" s="253"/>
      <c r="FC29" s="255">
        <f>50-50</f>
        <v>0</v>
      </c>
      <c r="FD29" s="255">
        <f>50-50</f>
        <v>0</v>
      </c>
      <c r="FE29" s="255">
        <f>50-50</f>
        <v>0</v>
      </c>
      <c r="FF29" s="253"/>
      <c r="FG29" s="255">
        <f>50-50</f>
        <v>0</v>
      </c>
      <c r="FH29" s="255">
        <f>50-50</f>
        <v>0</v>
      </c>
      <c r="FI29" s="253"/>
      <c r="FJ29" s="253"/>
      <c r="FK29" s="255">
        <f>50-50</f>
        <v>0</v>
      </c>
      <c r="FL29" s="253"/>
      <c r="FM29" s="255">
        <f>50-50</f>
        <v>0</v>
      </c>
      <c r="FN29" s="255">
        <f>50-50</f>
        <v>0</v>
      </c>
      <c r="FO29" s="253"/>
      <c r="FP29" s="253"/>
      <c r="FQ29" s="256"/>
      <c r="FR29" s="257" t="s">
        <v>1062</v>
      </c>
      <c r="FS29" s="258" t="s">
        <v>389</v>
      </c>
      <c r="FT29" s="258"/>
      <c r="FU29" s="258" t="s">
        <v>402</v>
      </c>
      <c r="FV29" s="259">
        <f t="shared" si="0"/>
        <v>230</v>
      </c>
      <c r="FW29" s="260" t="s">
        <v>403</v>
      </c>
    </row>
    <row r="30" spans="1:179" s="260" customFormat="1" hidden="1">
      <c r="A30" s="251" t="s">
        <v>385</v>
      </c>
      <c r="B30" s="251" t="s">
        <v>385</v>
      </c>
      <c r="C30" s="251" t="s">
        <v>394</v>
      </c>
      <c r="D30" s="251" t="s">
        <v>293</v>
      </c>
      <c r="E30" s="252" t="s">
        <v>404</v>
      </c>
      <c r="F30" s="251" t="s">
        <v>388</v>
      </c>
      <c r="G30" s="251"/>
      <c r="H30" s="253"/>
      <c r="I30" s="253"/>
      <c r="J30" s="255">
        <f>200-200</f>
        <v>0</v>
      </c>
      <c r="K30" s="253"/>
      <c r="L30" s="253"/>
      <c r="M30" s="253"/>
      <c r="N30" s="253"/>
      <c r="O30" s="253"/>
      <c r="P30" s="253"/>
      <c r="Q30" s="253"/>
      <c r="R30" s="253"/>
      <c r="S30" s="253"/>
      <c r="T30" s="253"/>
      <c r="U30" s="253"/>
      <c r="V30" s="253"/>
      <c r="W30" s="253"/>
      <c r="X30" s="253"/>
      <c r="Y30" s="253"/>
      <c r="Z30" s="253"/>
      <c r="AA30" s="253"/>
      <c r="AB30" s="253"/>
      <c r="AC30" s="253"/>
      <c r="AD30" s="253"/>
      <c r="AE30" s="253"/>
      <c r="AF30" s="253"/>
      <c r="AG30" s="253"/>
      <c r="AH30" s="253"/>
      <c r="AI30" s="253"/>
      <c r="AJ30" s="253"/>
      <c r="AK30" s="253"/>
      <c r="AL30" s="253"/>
      <c r="AM30" s="253"/>
      <c r="AN30" s="253"/>
      <c r="AO30" s="253"/>
      <c r="AP30" s="253"/>
      <c r="AQ30" s="253"/>
      <c r="AR30" s="253"/>
      <c r="AS30" s="253"/>
      <c r="AT30" s="253"/>
      <c r="AU30" s="253"/>
      <c r="AV30" s="253"/>
      <c r="AW30" s="253"/>
      <c r="AX30" s="253"/>
      <c r="AY30" s="253"/>
      <c r="AZ30" s="253"/>
      <c r="BA30" s="253"/>
      <c r="BB30" s="253"/>
      <c r="BC30" s="253"/>
      <c r="BD30" s="253"/>
      <c r="BE30" s="253"/>
      <c r="BF30" s="253"/>
      <c r="BG30" s="253"/>
      <c r="BH30" s="253"/>
      <c r="BI30" s="253"/>
      <c r="BJ30" s="253"/>
      <c r="BK30" s="253"/>
      <c r="BL30" s="253"/>
      <c r="BM30" s="253"/>
      <c r="BN30" s="253"/>
      <c r="BO30" s="253"/>
      <c r="BP30" s="253"/>
      <c r="BQ30" s="253"/>
      <c r="BR30" s="253"/>
      <c r="BS30" s="253"/>
      <c r="BT30" s="253"/>
      <c r="BU30" s="253"/>
      <c r="BV30" s="253"/>
      <c r="BW30" s="253"/>
      <c r="BX30" s="253"/>
      <c r="BY30" s="253"/>
      <c r="BZ30" s="253"/>
      <c r="CA30" s="253"/>
      <c r="CB30" s="253"/>
      <c r="CC30" s="253"/>
      <c r="CD30" s="253"/>
      <c r="CE30" s="253"/>
      <c r="CF30" s="253"/>
      <c r="CG30" s="253"/>
      <c r="CH30" s="253"/>
      <c r="CI30" s="253"/>
      <c r="CJ30" s="253"/>
      <c r="CK30" s="253"/>
      <c r="CL30" s="253"/>
      <c r="CM30" s="253"/>
      <c r="CN30" s="253"/>
      <c r="CO30" s="253"/>
      <c r="CP30" s="253"/>
      <c r="CQ30" s="253"/>
      <c r="CR30" s="253"/>
      <c r="CS30" s="253"/>
      <c r="CT30" s="253"/>
      <c r="CU30" s="253"/>
      <c r="CV30" s="253"/>
      <c r="CW30" s="253"/>
      <c r="CX30" s="253"/>
      <c r="CY30" s="253"/>
      <c r="CZ30" s="253"/>
      <c r="DA30" s="253"/>
      <c r="DB30" s="253"/>
      <c r="DC30" s="253"/>
      <c r="DD30" s="253"/>
      <c r="DE30" s="253"/>
      <c r="DF30" s="253"/>
      <c r="DG30" s="253"/>
      <c r="DH30" s="253"/>
      <c r="DI30" s="253"/>
      <c r="DJ30" s="253"/>
      <c r="DK30" s="253"/>
      <c r="DL30" s="253"/>
      <c r="DM30" s="253"/>
      <c r="DN30" s="253"/>
      <c r="DO30" s="253"/>
      <c r="DP30" s="253"/>
      <c r="DQ30" s="253"/>
      <c r="DR30" s="253"/>
      <c r="DS30" s="253"/>
      <c r="DT30" s="253"/>
      <c r="DU30" s="253"/>
      <c r="DV30" s="253"/>
      <c r="DW30" s="253"/>
      <c r="DX30" s="253"/>
      <c r="DY30" s="253"/>
      <c r="DZ30" s="253"/>
      <c r="EA30" s="253"/>
      <c r="EB30" s="253"/>
      <c r="EC30" s="253"/>
      <c r="ED30" s="253"/>
      <c r="EE30" s="253"/>
      <c r="EF30" s="253"/>
      <c r="EG30" s="253"/>
      <c r="EH30" s="253"/>
      <c r="EI30" s="253"/>
      <c r="EJ30" s="253"/>
      <c r="EK30" s="253"/>
      <c r="EL30" s="253"/>
      <c r="EM30" s="253"/>
      <c r="EN30" s="253"/>
      <c r="EO30" s="253"/>
      <c r="EP30" s="253"/>
      <c r="EQ30" s="253"/>
      <c r="ER30" s="253"/>
      <c r="ES30" s="253"/>
      <c r="ET30" s="253"/>
      <c r="EU30" s="253"/>
      <c r="EV30" s="253"/>
      <c r="EW30" s="253"/>
      <c r="EX30" s="253"/>
      <c r="EY30" s="253"/>
      <c r="EZ30" s="253"/>
      <c r="FA30" s="253"/>
      <c r="FB30" s="255">
        <f>50-50</f>
        <v>0</v>
      </c>
      <c r="FC30" s="253"/>
      <c r="FD30" s="253"/>
      <c r="FE30" s="253"/>
      <c r="FF30" s="255">
        <f>50-50</f>
        <v>0</v>
      </c>
      <c r="FG30" s="253"/>
      <c r="FH30" s="253"/>
      <c r="FI30" s="253"/>
      <c r="FJ30" s="255">
        <f>50-50</f>
        <v>0</v>
      </c>
      <c r="FK30" s="253"/>
      <c r="FL30" s="253"/>
      <c r="FM30" s="253"/>
      <c r="FN30" s="253"/>
      <c r="FO30" s="253"/>
      <c r="FP30" s="253"/>
      <c r="FQ30" s="256"/>
      <c r="FR30" s="257" t="s">
        <v>1062</v>
      </c>
      <c r="FS30" s="258" t="s">
        <v>389</v>
      </c>
      <c r="FT30" s="258"/>
      <c r="FU30" s="258" t="s">
        <v>402</v>
      </c>
      <c r="FV30" s="259">
        <f t="shared" si="0"/>
        <v>0</v>
      </c>
      <c r="FW30" s="260" t="s">
        <v>403</v>
      </c>
    </row>
    <row r="31" spans="1:179" s="260" customFormat="1" hidden="1">
      <c r="A31" s="251" t="s">
        <v>393</v>
      </c>
      <c r="B31" s="251" t="s">
        <v>385</v>
      </c>
      <c r="C31" s="251" t="s">
        <v>394</v>
      </c>
      <c r="D31" s="251" t="s">
        <v>291</v>
      </c>
      <c r="E31" s="252" t="s">
        <v>830</v>
      </c>
      <c r="F31" s="251" t="s">
        <v>388</v>
      </c>
      <c r="G31" s="251"/>
      <c r="H31" s="253"/>
      <c r="I31" s="253"/>
      <c r="J31" s="253"/>
      <c r="K31" s="253"/>
      <c r="L31" s="253"/>
      <c r="M31" s="253"/>
      <c r="N31" s="253"/>
      <c r="O31" s="253"/>
      <c r="P31" s="253"/>
      <c r="Q31" s="253"/>
      <c r="R31" s="253"/>
      <c r="S31" s="253"/>
      <c r="T31" s="253"/>
      <c r="U31" s="253"/>
      <c r="V31" s="253"/>
      <c r="W31" s="253"/>
      <c r="X31" s="253"/>
      <c r="Y31" s="253"/>
      <c r="Z31" s="253"/>
      <c r="AA31" s="253"/>
      <c r="AB31" s="253"/>
      <c r="AC31" s="253"/>
      <c r="AD31" s="253"/>
      <c r="AE31" s="253"/>
      <c r="AF31" s="253"/>
      <c r="AG31" s="253"/>
      <c r="AH31" s="255">
        <f>150-150</f>
        <v>0</v>
      </c>
      <c r="AI31" s="253"/>
      <c r="AJ31" s="253"/>
      <c r="AK31" s="255">
        <f>100-100</f>
        <v>0</v>
      </c>
      <c r="AL31" s="253"/>
      <c r="AM31" s="253"/>
      <c r="AN31" s="253"/>
      <c r="AO31" s="253"/>
      <c r="AP31" s="253"/>
      <c r="AQ31" s="253"/>
      <c r="AR31" s="253"/>
      <c r="AS31" s="253"/>
      <c r="AT31" s="253"/>
      <c r="AU31" s="253"/>
      <c r="AV31" s="253"/>
      <c r="AW31" s="253"/>
      <c r="AX31" s="253"/>
      <c r="AY31" s="253"/>
      <c r="AZ31" s="253"/>
      <c r="BA31" s="253"/>
      <c r="BB31" s="253"/>
      <c r="BC31" s="253"/>
      <c r="BD31" s="253"/>
      <c r="BE31" s="253"/>
      <c r="BF31" s="253"/>
      <c r="BG31" s="255">
        <f>250-250</f>
        <v>0</v>
      </c>
      <c r="BH31" s="253"/>
      <c r="BI31" s="253"/>
      <c r="BJ31" s="253"/>
      <c r="BK31" s="253"/>
      <c r="BL31" s="253"/>
      <c r="BM31" s="253"/>
      <c r="BN31" s="253"/>
      <c r="BO31" s="253"/>
      <c r="BP31" s="253"/>
      <c r="BQ31" s="253"/>
      <c r="BR31" s="253"/>
      <c r="BS31" s="253"/>
      <c r="BT31" s="253"/>
      <c r="BU31" s="253"/>
      <c r="BV31" s="253"/>
      <c r="BW31" s="253"/>
      <c r="BX31" s="253"/>
      <c r="BY31" s="253"/>
      <c r="BZ31" s="253"/>
      <c r="CA31" s="253"/>
      <c r="CB31" s="253"/>
      <c r="CC31" s="253"/>
      <c r="CD31" s="253"/>
      <c r="CE31" s="253"/>
      <c r="CF31" s="253"/>
      <c r="CG31" s="253"/>
      <c r="CH31" s="253"/>
      <c r="CI31" s="253"/>
      <c r="CJ31" s="253"/>
      <c r="CK31" s="253"/>
      <c r="CL31" s="253"/>
      <c r="CM31" s="253"/>
      <c r="CN31" s="253"/>
      <c r="CO31" s="253"/>
      <c r="CP31" s="253"/>
      <c r="CQ31" s="253"/>
      <c r="CR31" s="253"/>
      <c r="CS31" s="253"/>
      <c r="CT31" s="253"/>
      <c r="CU31" s="253"/>
      <c r="CV31" s="253"/>
      <c r="CW31" s="253"/>
      <c r="CX31" s="253"/>
      <c r="CY31" s="253"/>
      <c r="CZ31" s="253"/>
      <c r="DA31" s="253"/>
      <c r="DB31" s="253"/>
      <c r="DC31" s="253"/>
      <c r="DD31" s="253"/>
      <c r="DE31" s="253"/>
      <c r="DF31" s="253"/>
      <c r="DG31" s="253"/>
      <c r="DH31" s="253"/>
      <c r="DI31" s="253"/>
      <c r="DJ31" s="253"/>
      <c r="DK31" s="253"/>
      <c r="DL31" s="253"/>
      <c r="DM31" s="253"/>
      <c r="DN31" s="253"/>
      <c r="DO31" s="253"/>
      <c r="DP31" s="253"/>
      <c r="DQ31" s="253"/>
      <c r="DR31" s="253"/>
      <c r="DS31" s="253"/>
      <c r="DT31" s="253"/>
      <c r="DU31" s="253"/>
      <c r="DV31" s="253"/>
      <c r="DW31" s="253"/>
      <c r="DX31" s="253"/>
      <c r="DY31" s="253"/>
      <c r="DZ31" s="253"/>
      <c r="EA31" s="253"/>
      <c r="EB31" s="253"/>
      <c r="EC31" s="253"/>
      <c r="ED31" s="253"/>
      <c r="EE31" s="253"/>
      <c r="EF31" s="253"/>
      <c r="EG31" s="253"/>
      <c r="EH31" s="253"/>
      <c r="EI31" s="253"/>
      <c r="EJ31" s="253"/>
      <c r="EK31" s="253"/>
      <c r="EL31" s="253"/>
      <c r="EM31" s="253"/>
      <c r="EN31" s="253"/>
      <c r="EO31" s="253"/>
      <c r="EP31" s="253"/>
      <c r="EQ31" s="253"/>
      <c r="ER31" s="253"/>
      <c r="ES31" s="253"/>
      <c r="ET31" s="253"/>
      <c r="EU31" s="253"/>
      <c r="EV31" s="253"/>
      <c r="EW31" s="253"/>
      <c r="EX31" s="253"/>
      <c r="EY31" s="253"/>
      <c r="EZ31" s="253"/>
      <c r="FA31" s="253"/>
      <c r="FB31" s="253"/>
      <c r="FC31" s="253"/>
      <c r="FD31" s="253"/>
      <c r="FE31" s="253"/>
      <c r="FF31" s="253"/>
      <c r="FG31" s="253"/>
      <c r="FH31" s="253"/>
      <c r="FI31" s="253"/>
      <c r="FJ31" s="253"/>
      <c r="FK31" s="253"/>
      <c r="FL31" s="253"/>
      <c r="FM31" s="253"/>
      <c r="FN31" s="253"/>
      <c r="FO31" s="253"/>
      <c r="FP31" s="253"/>
      <c r="FQ31" s="256"/>
      <c r="FR31" s="257" t="s">
        <v>1062</v>
      </c>
      <c r="FS31" s="258" t="s">
        <v>389</v>
      </c>
      <c r="FT31" s="258"/>
      <c r="FU31" s="258" t="s">
        <v>824</v>
      </c>
      <c r="FV31" s="259">
        <f t="shared" si="0"/>
        <v>0</v>
      </c>
      <c r="FW31" s="260" t="s">
        <v>820</v>
      </c>
    </row>
    <row r="32" spans="1:179" s="260" customFormat="1" hidden="1">
      <c r="A32" s="251" t="s">
        <v>393</v>
      </c>
      <c r="B32" s="251" t="s">
        <v>385</v>
      </c>
      <c r="C32" s="251" t="s">
        <v>394</v>
      </c>
      <c r="D32" s="251" t="s">
        <v>1</v>
      </c>
      <c r="E32" s="252" t="s">
        <v>830</v>
      </c>
      <c r="F32" s="251" t="s">
        <v>388</v>
      </c>
      <c r="G32" s="251"/>
      <c r="H32" s="253"/>
      <c r="I32" s="253"/>
      <c r="J32" s="253"/>
      <c r="K32" s="253"/>
      <c r="L32" s="253"/>
      <c r="M32" s="253"/>
      <c r="N32" s="253"/>
      <c r="O32" s="253"/>
      <c r="P32" s="255">
        <f>200-200</f>
        <v>0</v>
      </c>
      <c r="Q32" s="253"/>
      <c r="R32" s="255">
        <f>200-200</f>
        <v>0</v>
      </c>
      <c r="S32" s="253"/>
      <c r="T32" s="253"/>
      <c r="U32" s="253"/>
      <c r="V32" s="253"/>
      <c r="W32" s="253"/>
      <c r="X32" s="253"/>
      <c r="Y32" s="253"/>
      <c r="Z32" s="253"/>
      <c r="AA32" s="253"/>
      <c r="AB32" s="253"/>
      <c r="AC32" s="253"/>
      <c r="AD32" s="253"/>
      <c r="AE32" s="255">
        <f>150-150</f>
        <v>0</v>
      </c>
      <c r="AF32" s="253"/>
      <c r="AG32" s="253"/>
      <c r="AH32" s="253"/>
      <c r="AI32" s="253"/>
      <c r="AJ32" s="253"/>
      <c r="AK32" s="253"/>
      <c r="AL32" s="253"/>
      <c r="AM32" s="253"/>
      <c r="AN32" s="253"/>
      <c r="AO32" s="253"/>
      <c r="AP32" s="255">
        <f>100-100</f>
        <v>0</v>
      </c>
      <c r="AQ32" s="253"/>
      <c r="AR32" s="253"/>
      <c r="AS32" s="253"/>
      <c r="AT32" s="253"/>
      <c r="AU32" s="253"/>
      <c r="AV32" s="253"/>
      <c r="AW32" s="255">
        <f>350-350</f>
        <v>0</v>
      </c>
      <c r="AX32" s="253"/>
      <c r="AY32" s="253"/>
      <c r="AZ32" s="253"/>
      <c r="BA32" s="253"/>
      <c r="BB32" s="253"/>
      <c r="BC32" s="253"/>
      <c r="BD32" s="253"/>
      <c r="BE32" s="253"/>
      <c r="BF32" s="253"/>
      <c r="BG32" s="253"/>
      <c r="BH32" s="253"/>
      <c r="BI32" s="255">
        <f>70-70</f>
        <v>0</v>
      </c>
      <c r="BJ32" s="253"/>
      <c r="BK32" s="253"/>
      <c r="BL32" s="253"/>
      <c r="BM32" s="253"/>
      <c r="BN32" s="253"/>
      <c r="BO32" s="253"/>
      <c r="BP32" s="253"/>
      <c r="BQ32" s="253"/>
      <c r="BR32" s="253"/>
      <c r="BS32" s="253"/>
      <c r="BT32" s="253"/>
      <c r="BU32" s="253"/>
      <c r="BV32" s="253"/>
      <c r="BW32" s="253"/>
      <c r="BX32" s="253"/>
      <c r="BY32" s="253"/>
      <c r="BZ32" s="253"/>
      <c r="CA32" s="253"/>
      <c r="CB32" s="253"/>
      <c r="CC32" s="253"/>
      <c r="CD32" s="253"/>
      <c r="CE32" s="253"/>
      <c r="CF32" s="253"/>
      <c r="CG32" s="253"/>
      <c r="CH32" s="253"/>
      <c r="CI32" s="253"/>
      <c r="CJ32" s="253"/>
      <c r="CK32" s="253"/>
      <c r="CL32" s="253"/>
      <c r="CM32" s="253"/>
      <c r="CN32" s="253"/>
      <c r="CO32" s="253"/>
      <c r="CP32" s="253"/>
      <c r="CQ32" s="253"/>
      <c r="CR32" s="253"/>
      <c r="CS32" s="253"/>
      <c r="CT32" s="253"/>
      <c r="CU32" s="253"/>
      <c r="CV32" s="253"/>
      <c r="CW32" s="253"/>
      <c r="CX32" s="253"/>
      <c r="CY32" s="253"/>
      <c r="CZ32" s="253"/>
      <c r="DA32" s="253"/>
      <c r="DB32" s="253"/>
      <c r="DC32" s="253"/>
      <c r="DD32" s="253"/>
      <c r="DE32" s="253"/>
      <c r="DF32" s="253"/>
      <c r="DG32" s="253"/>
      <c r="DH32" s="253"/>
      <c r="DI32" s="253"/>
      <c r="DJ32" s="253"/>
      <c r="DK32" s="253"/>
      <c r="DL32" s="253"/>
      <c r="DM32" s="253"/>
      <c r="DN32" s="253"/>
      <c r="DO32" s="253"/>
      <c r="DP32" s="253"/>
      <c r="DQ32" s="253"/>
      <c r="DR32" s="253"/>
      <c r="DS32" s="253"/>
      <c r="DT32" s="253"/>
      <c r="DU32" s="253"/>
      <c r="DV32" s="253"/>
      <c r="DW32" s="253"/>
      <c r="DX32" s="253"/>
      <c r="DY32" s="253"/>
      <c r="DZ32" s="253"/>
      <c r="EA32" s="253"/>
      <c r="EB32" s="253"/>
      <c r="EC32" s="253"/>
      <c r="ED32" s="253"/>
      <c r="EE32" s="253"/>
      <c r="EF32" s="253"/>
      <c r="EG32" s="253"/>
      <c r="EH32" s="253"/>
      <c r="EI32" s="253"/>
      <c r="EJ32" s="253"/>
      <c r="EK32" s="253"/>
      <c r="EL32" s="253"/>
      <c r="EM32" s="253"/>
      <c r="EN32" s="253"/>
      <c r="EO32" s="255">
        <f>0-0</f>
        <v>0</v>
      </c>
      <c r="EP32" s="253"/>
      <c r="EQ32" s="253"/>
      <c r="ER32" s="255">
        <f>0-0</f>
        <v>0</v>
      </c>
      <c r="ES32" s="253"/>
      <c r="ET32" s="253"/>
      <c r="EU32" s="253"/>
      <c r="EV32" s="253"/>
      <c r="EW32" s="253"/>
      <c r="EX32" s="253"/>
      <c r="EY32" s="253"/>
      <c r="EZ32" s="253"/>
      <c r="FA32" s="253"/>
      <c r="FB32" s="253"/>
      <c r="FC32" s="253"/>
      <c r="FD32" s="253"/>
      <c r="FE32" s="253"/>
      <c r="FF32" s="253"/>
      <c r="FG32" s="253"/>
      <c r="FH32" s="253"/>
      <c r="FI32" s="253"/>
      <c r="FJ32" s="253"/>
      <c r="FK32" s="253"/>
      <c r="FL32" s="253"/>
      <c r="FM32" s="253"/>
      <c r="FN32" s="253"/>
      <c r="FO32" s="253"/>
      <c r="FP32" s="253"/>
      <c r="FQ32" s="256"/>
      <c r="FR32" s="257" t="s">
        <v>1062</v>
      </c>
      <c r="FS32" s="258" t="s">
        <v>389</v>
      </c>
      <c r="FT32" s="258"/>
      <c r="FU32" s="258" t="s">
        <v>824</v>
      </c>
      <c r="FV32" s="259">
        <f t="shared" si="0"/>
        <v>0</v>
      </c>
      <c r="FW32" s="260" t="s">
        <v>820</v>
      </c>
    </row>
    <row r="33" spans="1:179" s="260" customFormat="1" hidden="1">
      <c r="A33" s="251" t="s">
        <v>393</v>
      </c>
      <c r="B33" s="251" t="s">
        <v>385</v>
      </c>
      <c r="C33" s="251" t="s">
        <v>394</v>
      </c>
      <c r="D33" s="251" t="s">
        <v>291</v>
      </c>
      <c r="E33" s="252" t="s">
        <v>405</v>
      </c>
      <c r="F33" s="251" t="s">
        <v>388</v>
      </c>
      <c r="G33" s="251" t="s">
        <v>1065</v>
      </c>
      <c r="H33" s="253"/>
      <c r="I33" s="253"/>
      <c r="J33" s="253"/>
      <c r="K33" s="253"/>
      <c r="L33" s="253"/>
      <c r="M33" s="253"/>
      <c r="N33" s="253"/>
      <c r="O33" s="253"/>
      <c r="P33" s="253"/>
      <c r="Q33" s="253"/>
      <c r="R33" s="253"/>
      <c r="S33" s="253"/>
      <c r="T33" s="253"/>
      <c r="U33" s="253"/>
      <c r="V33" s="253"/>
      <c r="W33" s="253"/>
      <c r="X33" s="253"/>
      <c r="Y33" s="253"/>
      <c r="Z33" s="253"/>
      <c r="AA33" s="253"/>
      <c r="AB33" s="253"/>
      <c r="AC33" s="253"/>
      <c r="AD33" s="253"/>
      <c r="AE33" s="253"/>
      <c r="AF33" s="253"/>
      <c r="AG33" s="253"/>
      <c r="AH33" s="254">
        <f>100-100+20</f>
        <v>20</v>
      </c>
      <c r="AI33" s="253"/>
      <c r="AJ33" s="255">
        <f>500-500</f>
        <v>0</v>
      </c>
      <c r="AK33" s="255">
        <f>100-100</f>
        <v>0</v>
      </c>
      <c r="AL33" s="253"/>
      <c r="AM33" s="253"/>
      <c r="AN33" s="253"/>
      <c r="AO33" s="253"/>
      <c r="AP33" s="253"/>
      <c r="AQ33" s="253"/>
      <c r="AR33" s="253"/>
      <c r="AS33" s="253"/>
      <c r="AT33" s="253"/>
      <c r="AU33" s="253"/>
      <c r="AV33" s="253"/>
      <c r="AW33" s="253"/>
      <c r="AX33" s="253"/>
      <c r="AY33" s="253"/>
      <c r="AZ33" s="253"/>
      <c r="BA33" s="253"/>
      <c r="BB33" s="253"/>
      <c r="BC33" s="253"/>
      <c r="BD33" s="253"/>
      <c r="BE33" s="253"/>
      <c r="BF33" s="253"/>
      <c r="BG33" s="253"/>
      <c r="BH33" s="253"/>
      <c r="BI33" s="253"/>
      <c r="BJ33" s="253"/>
      <c r="BK33" s="253"/>
      <c r="BL33" s="253"/>
      <c r="BM33" s="253"/>
      <c r="BN33" s="253"/>
      <c r="BO33" s="253"/>
      <c r="BP33" s="253"/>
      <c r="BQ33" s="253"/>
      <c r="BR33" s="253"/>
      <c r="BS33" s="253"/>
      <c r="BT33" s="253"/>
      <c r="BU33" s="253"/>
      <c r="BV33" s="253"/>
      <c r="BW33" s="253"/>
      <c r="BX33" s="253"/>
      <c r="BY33" s="253"/>
      <c r="BZ33" s="253"/>
      <c r="CA33" s="253"/>
      <c r="CB33" s="253"/>
      <c r="CC33" s="253"/>
      <c r="CD33" s="253"/>
      <c r="CE33" s="253"/>
      <c r="CF33" s="253"/>
      <c r="CG33" s="253"/>
      <c r="CH33" s="253"/>
      <c r="CI33" s="253"/>
      <c r="CJ33" s="253"/>
      <c r="CK33" s="253"/>
      <c r="CL33" s="253"/>
      <c r="CM33" s="253"/>
      <c r="CN33" s="253"/>
      <c r="CO33" s="253"/>
      <c r="CP33" s="253"/>
      <c r="CQ33" s="253"/>
      <c r="CR33" s="253"/>
      <c r="CS33" s="253"/>
      <c r="CT33" s="253"/>
      <c r="CU33" s="253"/>
      <c r="CV33" s="253"/>
      <c r="CW33" s="253"/>
      <c r="CX33" s="253"/>
      <c r="CY33" s="253"/>
      <c r="CZ33" s="253"/>
      <c r="DA33" s="253"/>
      <c r="DB33" s="253"/>
      <c r="DC33" s="253"/>
      <c r="DD33" s="253"/>
      <c r="DE33" s="253"/>
      <c r="DF33" s="253"/>
      <c r="DG33" s="253"/>
      <c r="DH33" s="253"/>
      <c r="DI33" s="253"/>
      <c r="DJ33" s="253"/>
      <c r="DK33" s="253"/>
      <c r="DL33" s="253"/>
      <c r="DM33" s="253"/>
      <c r="DN33" s="253"/>
      <c r="DO33" s="253"/>
      <c r="DP33" s="253"/>
      <c r="DQ33" s="253"/>
      <c r="DR33" s="253"/>
      <c r="DS33" s="253"/>
      <c r="DT33" s="253"/>
      <c r="DU33" s="253"/>
      <c r="DV33" s="253"/>
      <c r="DW33" s="253"/>
      <c r="DX33" s="253"/>
      <c r="DY33" s="253"/>
      <c r="DZ33" s="253"/>
      <c r="EA33" s="253"/>
      <c r="EB33" s="253"/>
      <c r="EC33" s="253"/>
      <c r="ED33" s="253"/>
      <c r="EE33" s="253"/>
      <c r="EF33" s="253"/>
      <c r="EG33" s="253"/>
      <c r="EH33" s="253"/>
      <c r="EI33" s="253"/>
      <c r="EJ33" s="253"/>
      <c r="EK33" s="253"/>
      <c r="EL33" s="253"/>
      <c r="EM33" s="253"/>
      <c r="EN33" s="253"/>
      <c r="EO33" s="253"/>
      <c r="EP33" s="253"/>
      <c r="EQ33" s="253"/>
      <c r="ER33" s="253"/>
      <c r="ES33" s="253"/>
      <c r="ET33" s="253"/>
      <c r="EU33" s="253"/>
      <c r="EV33" s="253"/>
      <c r="EW33" s="253"/>
      <c r="EX33" s="253"/>
      <c r="EY33" s="253"/>
      <c r="EZ33" s="253"/>
      <c r="FA33" s="253"/>
      <c r="FB33" s="253"/>
      <c r="FC33" s="253"/>
      <c r="FD33" s="253"/>
      <c r="FE33" s="253"/>
      <c r="FF33" s="253"/>
      <c r="FG33" s="253"/>
      <c r="FH33" s="253"/>
      <c r="FI33" s="253"/>
      <c r="FJ33" s="253"/>
      <c r="FK33" s="253"/>
      <c r="FL33" s="253"/>
      <c r="FM33" s="253"/>
      <c r="FN33" s="253"/>
      <c r="FO33" s="253"/>
      <c r="FP33" s="253"/>
      <c r="FQ33" s="256"/>
      <c r="FR33" s="257" t="s">
        <v>1062</v>
      </c>
      <c r="FS33" s="258" t="s">
        <v>389</v>
      </c>
      <c r="FT33" s="258" t="s">
        <v>406</v>
      </c>
      <c r="FU33" s="258" t="s">
        <v>397</v>
      </c>
      <c r="FV33" s="259">
        <f t="shared" si="0"/>
        <v>20</v>
      </c>
      <c r="FW33" s="260" t="s">
        <v>398</v>
      </c>
    </row>
    <row r="34" spans="1:179" s="260" customFormat="1" hidden="1">
      <c r="A34" s="251" t="s">
        <v>393</v>
      </c>
      <c r="B34" s="251" t="s">
        <v>385</v>
      </c>
      <c r="C34" s="251" t="s">
        <v>394</v>
      </c>
      <c r="D34" s="251" t="s">
        <v>1</v>
      </c>
      <c r="E34" s="252" t="s">
        <v>405</v>
      </c>
      <c r="F34" s="251" t="s">
        <v>388</v>
      </c>
      <c r="G34" s="251" t="s">
        <v>1065</v>
      </c>
      <c r="H34" s="253"/>
      <c r="I34" s="253"/>
      <c r="J34" s="253"/>
      <c r="K34" s="253"/>
      <c r="L34" s="253"/>
      <c r="M34" s="253"/>
      <c r="N34" s="253"/>
      <c r="O34" s="253"/>
      <c r="P34" s="253"/>
      <c r="Q34" s="253"/>
      <c r="R34" s="253"/>
      <c r="S34" s="253"/>
      <c r="T34" s="253"/>
      <c r="U34" s="253"/>
      <c r="V34" s="253"/>
      <c r="W34" s="253"/>
      <c r="X34" s="253"/>
      <c r="Y34" s="253"/>
      <c r="Z34" s="253"/>
      <c r="AA34" s="253"/>
      <c r="AB34" s="253"/>
      <c r="AC34" s="253"/>
      <c r="AD34" s="255">
        <f>100-100</f>
        <v>0</v>
      </c>
      <c r="AE34" s="253"/>
      <c r="AF34" s="253"/>
      <c r="AG34" s="253"/>
      <c r="AH34" s="253"/>
      <c r="AI34" s="253"/>
      <c r="AJ34" s="253"/>
      <c r="AK34" s="253"/>
      <c r="AL34" s="253"/>
      <c r="AM34" s="253"/>
      <c r="AN34" s="253"/>
      <c r="AO34" s="253"/>
      <c r="AP34" s="253"/>
      <c r="AQ34" s="253"/>
      <c r="AR34" s="253"/>
      <c r="AS34" s="253"/>
      <c r="AT34" s="253"/>
      <c r="AU34" s="253"/>
      <c r="AV34" s="253"/>
      <c r="AW34" s="254">
        <f>1000-1000+20</f>
        <v>20</v>
      </c>
      <c r="AX34" s="253"/>
      <c r="AY34" s="253"/>
      <c r="AZ34" s="253"/>
      <c r="BA34" s="253"/>
      <c r="BB34" s="253"/>
      <c r="BC34" s="253"/>
      <c r="BD34" s="253"/>
      <c r="BE34" s="253"/>
      <c r="BF34" s="253"/>
      <c r="BG34" s="253"/>
      <c r="BH34" s="253"/>
      <c r="BI34" s="253"/>
      <c r="BJ34" s="253"/>
      <c r="BK34" s="253"/>
      <c r="BL34" s="253"/>
      <c r="BM34" s="253"/>
      <c r="BN34" s="253"/>
      <c r="BO34" s="253"/>
      <c r="BP34" s="253"/>
      <c r="BQ34" s="253"/>
      <c r="BR34" s="253"/>
      <c r="BS34" s="253"/>
      <c r="BT34" s="253"/>
      <c r="BU34" s="253"/>
      <c r="BV34" s="253"/>
      <c r="BW34" s="253"/>
      <c r="BX34" s="253"/>
      <c r="BY34" s="253"/>
      <c r="BZ34" s="253"/>
      <c r="CA34" s="253"/>
      <c r="CB34" s="253"/>
      <c r="CC34" s="253"/>
      <c r="CD34" s="253"/>
      <c r="CE34" s="253"/>
      <c r="CF34" s="253"/>
      <c r="CG34" s="253"/>
      <c r="CH34" s="253"/>
      <c r="CI34" s="253"/>
      <c r="CJ34" s="253"/>
      <c r="CK34" s="253"/>
      <c r="CL34" s="253"/>
      <c r="CM34" s="253"/>
      <c r="CN34" s="253"/>
      <c r="CO34" s="253"/>
      <c r="CP34" s="253"/>
      <c r="CQ34" s="253"/>
      <c r="CR34" s="253"/>
      <c r="CS34" s="253"/>
      <c r="CT34" s="253"/>
      <c r="CU34" s="253"/>
      <c r="CV34" s="253"/>
      <c r="CW34" s="253"/>
      <c r="CX34" s="253"/>
      <c r="CY34" s="253"/>
      <c r="CZ34" s="253"/>
      <c r="DA34" s="253"/>
      <c r="DB34" s="253"/>
      <c r="DC34" s="253"/>
      <c r="DD34" s="253"/>
      <c r="DE34" s="253"/>
      <c r="DF34" s="253"/>
      <c r="DG34" s="253"/>
      <c r="DH34" s="253"/>
      <c r="DI34" s="253"/>
      <c r="DJ34" s="253"/>
      <c r="DK34" s="253"/>
      <c r="DL34" s="253"/>
      <c r="DM34" s="253"/>
      <c r="DN34" s="253"/>
      <c r="DO34" s="253"/>
      <c r="DP34" s="253"/>
      <c r="DQ34" s="253"/>
      <c r="DR34" s="253"/>
      <c r="DS34" s="253"/>
      <c r="DT34" s="253"/>
      <c r="DU34" s="253"/>
      <c r="DV34" s="253"/>
      <c r="DW34" s="253"/>
      <c r="DX34" s="253"/>
      <c r="DY34" s="253"/>
      <c r="DZ34" s="253"/>
      <c r="EA34" s="253"/>
      <c r="EB34" s="253"/>
      <c r="EC34" s="253"/>
      <c r="ED34" s="253"/>
      <c r="EE34" s="253"/>
      <c r="EF34" s="253"/>
      <c r="EG34" s="253"/>
      <c r="EH34" s="253"/>
      <c r="EI34" s="253"/>
      <c r="EJ34" s="253"/>
      <c r="EK34" s="253"/>
      <c r="EL34" s="253"/>
      <c r="EM34" s="253"/>
      <c r="EN34" s="253"/>
      <c r="EO34" s="253"/>
      <c r="EP34" s="253"/>
      <c r="EQ34" s="253"/>
      <c r="ER34" s="253"/>
      <c r="ES34" s="253"/>
      <c r="ET34" s="253"/>
      <c r="EU34" s="253"/>
      <c r="EV34" s="253"/>
      <c r="EW34" s="253"/>
      <c r="EX34" s="253"/>
      <c r="EY34" s="253"/>
      <c r="EZ34" s="253"/>
      <c r="FA34" s="255">
        <f>10-10</f>
        <v>0</v>
      </c>
      <c r="FB34" s="253"/>
      <c r="FC34" s="255">
        <f>20-20</f>
        <v>0</v>
      </c>
      <c r="FD34" s="255">
        <f>10-10</f>
        <v>0</v>
      </c>
      <c r="FE34" s="253"/>
      <c r="FF34" s="253"/>
      <c r="FG34" s="255">
        <f>20-20</f>
        <v>0</v>
      </c>
      <c r="FH34" s="253"/>
      <c r="FI34" s="253"/>
      <c r="FJ34" s="253"/>
      <c r="FK34" s="253"/>
      <c r="FL34" s="253"/>
      <c r="FM34" s="253"/>
      <c r="FN34" s="253"/>
      <c r="FO34" s="253"/>
      <c r="FP34" s="253"/>
      <c r="FQ34" s="256"/>
      <c r="FR34" s="257" t="s">
        <v>1062</v>
      </c>
      <c r="FS34" s="258" t="s">
        <v>389</v>
      </c>
      <c r="FT34" s="258" t="s">
        <v>406</v>
      </c>
      <c r="FU34" s="258" t="s">
        <v>397</v>
      </c>
      <c r="FV34" s="259">
        <f t="shared" si="0"/>
        <v>20</v>
      </c>
      <c r="FW34" s="260" t="s">
        <v>398</v>
      </c>
    </row>
    <row r="35" spans="1:179" s="260" customFormat="1" hidden="1">
      <c r="A35" s="251" t="s">
        <v>393</v>
      </c>
      <c r="B35" s="251" t="s">
        <v>385</v>
      </c>
      <c r="C35" s="251" t="s">
        <v>394</v>
      </c>
      <c r="D35" s="251" t="s">
        <v>293</v>
      </c>
      <c r="E35" s="252" t="s">
        <v>405</v>
      </c>
      <c r="F35" s="251" t="s">
        <v>388</v>
      </c>
      <c r="G35" s="251" t="s">
        <v>1066</v>
      </c>
      <c r="H35" s="253"/>
      <c r="I35" s="253"/>
      <c r="J35" s="253"/>
      <c r="K35" s="253"/>
      <c r="L35" s="253"/>
      <c r="M35" s="253"/>
      <c r="N35" s="253"/>
      <c r="O35" s="253"/>
      <c r="P35" s="253"/>
      <c r="Q35" s="253"/>
      <c r="R35" s="253"/>
      <c r="S35" s="253"/>
      <c r="T35" s="253"/>
      <c r="U35" s="253"/>
      <c r="V35" s="253"/>
      <c r="W35" s="253"/>
      <c r="X35" s="253"/>
      <c r="Y35" s="253"/>
      <c r="Z35" s="253"/>
      <c r="AA35" s="253"/>
      <c r="AB35" s="253"/>
      <c r="AC35" s="253"/>
      <c r="AD35" s="253"/>
      <c r="AE35" s="253"/>
      <c r="AF35" s="253"/>
      <c r="AG35" s="253"/>
      <c r="AH35" s="253"/>
      <c r="AI35" s="253"/>
      <c r="AJ35" s="253"/>
      <c r="AK35" s="253"/>
      <c r="AL35" s="253"/>
      <c r="AM35" s="253"/>
      <c r="AN35" s="253"/>
      <c r="AO35" s="253"/>
      <c r="AP35" s="253"/>
      <c r="AQ35" s="253"/>
      <c r="AR35" s="253"/>
      <c r="AS35" s="253"/>
      <c r="AT35" s="253"/>
      <c r="AU35" s="253"/>
      <c r="AV35" s="253"/>
      <c r="AW35" s="253"/>
      <c r="AX35" s="253"/>
      <c r="AY35" s="253"/>
      <c r="AZ35" s="253"/>
      <c r="BA35" s="253"/>
      <c r="BB35" s="253"/>
      <c r="BC35" s="253"/>
      <c r="BD35" s="253"/>
      <c r="BE35" s="253"/>
      <c r="BF35" s="253"/>
      <c r="BG35" s="253"/>
      <c r="BH35" s="253"/>
      <c r="BI35" s="253"/>
      <c r="BJ35" s="253"/>
      <c r="BK35" s="253"/>
      <c r="BL35" s="253"/>
      <c r="BM35" s="253"/>
      <c r="BN35" s="253"/>
      <c r="BO35" s="253"/>
      <c r="BP35" s="253"/>
      <c r="BQ35" s="253"/>
      <c r="BR35" s="253"/>
      <c r="BS35" s="253"/>
      <c r="BT35" s="253"/>
      <c r="BU35" s="253"/>
      <c r="BV35" s="253"/>
      <c r="BW35" s="253"/>
      <c r="BX35" s="253"/>
      <c r="BY35" s="253"/>
      <c r="BZ35" s="253"/>
      <c r="CA35" s="253"/>
      <c r="CB35" s="253"/>
      <c r="CC35" s="253"/>
      <c r="CD35" s="253"/>
      <c r="CE35" s="253"/>
      <c r="CF35" s="253"/>
      <c r="CG35" s="253"/>
      <c r="CH35" s="253"/>
      <c r="CI35" s="253"/>
      <c r="CJ35" s="253"/>
      <c r="CK35" s="253"/>
      <c r="CL35" s="253"/>
      <c r="CM35" s="253"/>
      <c r="CN35" s="253"/>
      <c r="CO35" s="253"/>
      <c r="CP35" s="253"/>
      <c r="CQ35" s="253"/>
      <c r="CR35" s="253"/>
      <c r="CS35" s="253"/>
      <c r="CT35" s="253"/>
      <c r="CU35" s="253"/>
      <c r="CV35" s="253"/>
      <c r="CW35" s="253"/>
      <c r="CX35" s="253"/>
      <c r="CY35" s="253"/>
      <c r="CZ35" s="253"/>
      <c r="DA35" s="253"/>
      <c r="DB35" s="253"/>
      <c r="DC35" s="253"/>
      <c r="DD35" s="253"/>
      <c r="DE35" s="253"/>
      <c r="DF35" s="253"/>
      <c r="DG35" s="253"/>
      <c r="DH35" s="253"/>
      <c r="DI35" s="253"/>
      <c r="DJ35" s="253"/>
      <c r="DK35" s="253"/>
      <c r="DL35" s="253"/>
      <c r="DM35" s="253"/>
      <c r="DN35" s="253"/>
      <c r="DO35" s="253"/>
      <c r="DP35" s="253"/>
      <c r="DQ35" s="253"/>
      <c r="DR35" s="253"/>
      <c r="DS35" s="253"/>
      <c r="DT35" s="253"/>
      <c r="DU35" s="253"/>
      <c r="DV35" s="253"/>
      <c r="DW35" s="253"/>
      <c r="DX35" s="253"/>
      <c r="DY35" s="253"/>
      <c r="DZ35" s="253"/>
      <c r="EA35" s="253"/>
      <c r="EB35" s="253"/>
      <c r="EC35" s="253"/>
      <c r="ED35" s="253"/>
      <c r="EE35" s="253"/>
      <c r="EF35" s="253"/>
      <c r="EG35" s="253"/>
      <c r="EH35" s="253"/>
      <c r="EI35" s="253"/>
      <c r="EJ35" s="253"/>
      <c r="EK35" s="253"/>
      <c r="EL35" s="253"/>
      <c r="EM35" s="253"/>
      <c r="EN35" s="253"/>
      <c r="EO35" s="253"/>
      <c r="EP35" s="253"/>
      <c r="EQ35" s="253"/>
      <c r="ER35" s="253"/>
      <c r="ES35" s="253"/>
      <c r="ET35" s="253"/>
      <c r="EU35" s="253"/>
      <c r="EV35" s="253"/>
      <c r="EW35" s="253"/>
      <c r="EX35" s="253"/>
      <c r="EY35" s="253"/>
      <c r="EZ35" s="253"/>
      <c r="FA35" s="253"/>
      <c r="FB35" s="255">
        <f>20-20</f>
        <v>0</v>
      </c>
      <c r="FC35" s="253"/>
      <c r="FD35" s="253"/>
      <c r="FE35" s="253"/>
      <c r="FF35" s="255">
        <f>20-20</f>
        <v>0</v>
      </c>
      <c r="FG35" s="253"/>
      <c r="FH35" s="253"/>
      <c r="FI35" s="253"/>
      <c r="FJ35" s="255">
        <f>20-20</f>
        <v>0</v>
      </c>
      <c r="FK35" s="253"/>
      <c r="FL35" s="253"/>
      <c r="FM35" s="253"/>
      <c r="FN35" s="253"/>
      <c r="FO35" s="253"/>
      <c r="FP35" s="253"/>
      <c r="FQ35" s="256"/>
      <c r="FR35" s="257" t="s">
        <v>1062</v>
      </c>
      <c r="FS35" s="258" t="s">
        <v>389</v>
      </c>
      <c r="FT35" s="258" t="s">
        <v>406</v>
      </c>
      <c r="FU35" s="258" t="s">
        <v>397</v>
      </c>
      <c r="FV35" s="259">
        <f t="shared" si="0"/>
        <v>0</v>
      </c>
      <c r="FW35" s="260" t="s">
        <v>398</v>
      </c>
    </row>
    <row r="36" spans="1:179" s="260" customFormat="1" hidden="1">
      <c r="A36" s="251" t="s">
        <v>393</v>
      </c>
      <c r="B36" s="251" t="s">
        <v>385</v>
      </c>
      <c r="C36" s="251" t="s">
        <v>407</v>
      </c>
      <c r="D36" s="251" t="s">
        <v>291</v>
      </c>
      <c r="E36" s="252" t="s">
        <v>971</v>
      </c>
      <c r="F36" s="251" t="s">
        <v>388</v>
      </c>
      <c r="G36" s="251"/>
      <c r="H36" s="253"/>
      <c r="I36" s="255">
        <f>200-200</f>
        <v>0</v>
      </c>
      <c r="J36" s="253"/>
      <c r="K36" s="253"/>
      <c r="L36" s="253"/>
      <c r="M36" s="253"/>
      <c r="N36" s="253"/>
      <c r="O36" s="253"/>
      <c r="P36" s="253"/>
      <c r="Q36" s="253"/>
      <c r="R36" s="253"/>
      <c r="S36" s="253"/>
      <c r="T36" s="253"/>
      <c r="U36" s="253"/>
      <c r="V36" s="253"/>
      <c r="W36" s="253"/>
      <c r="X36" s="253"/>
      <c r="Y36" s="253"/>
      <c r="Z36" s="253"/>
      <c r="AA36" s="253"/>
      <c r="AB36" s="253"/>
      <c r="AC36" s="253"/>
      <c r="AD36" s="253"/>
      <c r="AE36" s="253"/>
      <c r="AF36" s="253"/>
      <c r="AG36" s="253"/>
      <c r="AH36" s="253"/>
      <c r="AI36" s="253"/>
      <c r="AJ36" s="253"/>
      <c r="AK36" s="253"/>
      <c r="AL36" s="253"/>
      <c r="AM36" s="253"/>
      <c r="AN36" s="253"/>
      <c r="AO36" s="253"/>
      <c r="AP36" s="253"/>
      <c r="AQ36" s="253"/>
      <c r="AR36" s="253"/>
      <c r="AS36" s="253"/>
      <c r="AT36" s="253"/>
      <c r="AU36" s="253"/>
      <c r="AV36" s="253"/>
      <c r="AW36" s="253"/>
      <c r="AX36" s="253"/>
      <c r="AY36" s="253"/>
      <c r="AZ36" s="253"/>
      <c r="BA36" s="253"/>
      <c r="BB36" s="253"/>
      <c r="BC36" s="253"/>
      <c r="BD36" s="253"/>
      <c r="BE36" s="253"/>
      <c r="BF36" s="253"/>
      <c r="BG36" s="254">
        <f>2000-2000+320</f>
        <v>320</v>
      </c>
      <c r="BH36" s="253"/>
      <c r="BI36" s="253"/>
      <c r="BJ36" s="253"/>
      <c r="BK36" s="253"/>
      <c r="BL36" s="253"/>
      <c r="BM36" s="253"/>
      <c r="BN36" s="253"/>
      <c r="BO36" s="253"/>
      <c r="BP36" s="253"/>
      <c r="BQ36" s="253"/>
      <c r="BR36" s="253"/>
      <c r="BS36" s="253"/>
      <c r="BT36" s="253"/>
      <c r="BU36" s="253"/>
      <c r="BV36" s="253"/>
      <c r="BW36" s="253"/>
      <c r="BX36" s="253"/>
      <c r="BY36" s="253"/>
      <c r="BZ36" s="253"/>
      <c r="CA36" s="253"/>
      <c r="CB36" s="253"/>
      <c r="CC36" s="253"/>
      <c r="CD36" s="253"/>
      <c r="CE36" s="253"/>
      <c r="CF36" s="253"/>
      <c r="CG36" s="253"/>
      <c r="CH36" s="253"/>
      <c r="CI36" s="253"/>
      <c r="CJ36" s="253"/>
      <c r="CK36" s="253"/>
      <c r="CL36" s="253"/>
      <c r="CM36" s="253"/>
      <c r="CN36" s="253"/>
      <c r="CO36" s="253"/>
      <c r="CP36" s="253"/>
      <c r="CQ36" s="253"/>
      <c r="CR36" s="253"/>
      <c r="CS36" s="253"/>
      <c r="CT36" s="253"/>
      <c r="CU36" s="253"/>
      <c r="CV36" s="253"/>
      <c r="CW36" s="253"/>
      <c r="CX36" s="253"/>
      <c r="CY36" s="253"/>
      <c r="CZ36" s="253"/>
      <c r="DA36" s="253"/>
      <c r="DB36" s="253"/>
      <c r="DC36" s="253"/>
      <c r="DD36" s="253"/>
      <c r="DE36" s="253"/>
      <c r="DF36" s="253"/>
      <c r="DG36" s="253"/>
      <c r="DH36" s="253"/>
      <c r="DI36" s="253"/>
      <c r="DJ36" s="253"/>
      <c r="DK36" s="253"/>
      <c r="DL36" s="253"/>
      <c r="DM36" s="253"/>
      <c r="DN36" s="253"/>
      <c r="DO36" s="253"/>
      <c r="DP36" s="253"/>
      <c r="DQ36" s="253"/>
      <c r="DR36" s="253"/>
      <c r="DS36" s="253"/>
      <c r="DT36" s="253"/>
      <c r="DU36" s="253"/>
      <c r="DV36" s="253"/>
      <c r="DW36" s="253"/>
      <c r="DX36" s="253"/>
      <c r="DY36" s="253"/>
      <c r="DZ36" s="253"/>
      <c r="EA36" s="253"/>
      <c r="EB36" s="253"/>
      <c r="EC36" s="253"/>
      <c r="ED36" s="253"/>
      <c r="EE36" s="253"/>
      <c r="EF36" s="253"/>
      <c r="EG36" s="253"/>
      <c r="EH36" s="253"/>
      <c r="EI36" s="253"/>
      <c r="EJ36" s="253"/>
      <c r="EK36" s="253"/>
      <c r="EL36" s="253"/>
      <c r="EM36" s="253"/>
      <c r="EN36" s="253"/>
      <c r="EO36" s="253"/>
      <c r="EP36" s="253"/>
      <c r="EQ36" s="253"/>
      <c r="ER36" s="253"/>
      <c r="ES36" s="253"/>
      <c r="ET36" s="253"/>
      <c r="EU36" s="253"/>
      <c r="EV36" s="253"/>
      <c r="EW36" s="253"/>
      <c r="EX36" s="253"/>
      <c r="EY36" s="253"/>
      <c r="EZ36" s="253"/>
      <c r="FA36" s="253"/>
      <c r="FB36" s="253"/>
      <c r="FC36" s="253"/>
      <c r="FD36" s="253"/>
      <c r="FE36" s="253"/>
      <c r="FF36" s="253"/>
      <c r="FG36" s="253"/>
      <c r="FH36" s="253"/>
      <c r="FI36" s="253"/>
      <c r="FJ36" s="253"/>
      <c r="FK36" s="253"/>
      <c r="FL36" s="253"/>
      <c r="FM36" s="253"/>
      <c r="FN36" s="253"/>
      <c r="FO36" s="253"/>
      <c r="FP36" s="253"/>
      <c r="FQ36" s="256"/>
      <c r="FR36" s="257" t="s">
        <v>1062</v>
      </c>
      <c r="FS36" s="258" t="s">
        <v>389</v>
      </c>
      <c r="FT36" s="258"/>
      <c r="FU36" s="258" t="s">
        <v>409</v>
      </c>
      <c r="FV36" s="259">
        <f t="shared" si="0"/>
        <v>320</v>
      </c>
      <c r="FW36" s="260" t="s">
        <v>410</v>
      </c>
    </row>
    <row r="37" spans="1:179" s="260" customFormat="1" hidden="1">
      <c r="A37" s="251" t="s">
        <v>393</v>
      </c>
      <c r="B37" s="251" t="s">
        <v>385</v>
      </c>
      <c r="C37" s="251" t="s">
        <v>407</v>
      </c>
      <c r="D37" s="251" t="s">
        <v>1</v>
      </c>
      <c r="E37" s="252" t="s">
        <v>971</v>
      </c>
      <c r="F37" s="251" t="s">
        <v>388</v>
      </c>
      <c r="G37" s="251"/>
      <c r="H37" s="253"/>
      <c r="I37" s="253"/>
      <c r="J37" s="253"/>
      <c r="K37" s="253"/>
      <c r="L37" s="253"/>
      <c r="M37" s="253"/>
      <c r="N37" s="253"/>
      <c r="O37" s="253"/>
      <c r="P37" s="255">
        <f>500-500</f>
        <v>0</v>
      </c>
      <c r="Q37" s="253"/>
      <c r="R37" s="255">
        <f>1000-1000</f>
        <v>0</v>
      </c>
      <c r="S37" s="255">
        <f>500-500</f>
        <v>0</v>
      </c>
      <c r="T37" s="253"/>
      <c r="U37" s="253"/>
      <c r="V37" s="253"/>
      <c r="W37" s="253"/>
      <c r="X37" s="253"/>
      <c r="Y37" s="253"/>
      <c r="Z37" s="253"/>
      <c r="AA37" s="253"/>
      <c r="AB37" s="253"/>
      <c r="AC37" s="253"/>
      <c r="AD37" s="253"/>
      <c r="AE37" s="255">
        <f>1500-1500</f>
        <v>0</v>
      </c>
      <c r="AF37" s="253"/>
      <c r="AG37" s="253"/>
      <c r="AH37" s="253"/>
      <c r="AI37" s="253"/>
      <c r="AJ37" s="253"/>
      <c r="AK37" s="253"/>
      <c r="AL37" s="253"/>
      <c r="AM37" s="253"/>
      <c r="AN37" s="253"/>
      <c r="AO37" s="253"/>
      <c r="AP37" s="255">
        <f>500-500</f>
        <v>0</v>
      </c>
      <c r="AQ37" s="253"/>
      <c r="AR37" s="253"/>
      <c r="AS37" s="253"/>
      <c r="AT37" s="253"/>
      <c r="AU37" s="253"/>
      <c r="AV37" s="253"/>
      <c r="AW37" s="254">
        <f>2000-2000+190</f>
        <v>190</v>
      </c>
      <c r="AX37" s="253"/>
      <c r="AY37" s="253"/>
      <c r="AZ37" s="253"/>
      <c r="BA37" s="253"/>
      <c r="BB37" s="253"/>
      <c r="BC37" s="253"/>
      <c r="BD37" s="253"/>
      <c r="BE37" s="253"/>
      <c r="BF37" s="253"/>
      <c r="BG37" s="253"/>
      <c r="BH37" s="253"/>
      <c r="BI37" s="253"/>
      <c r="BJ37" s="253"/>
      <c r="BK37" s="253"/>
      <c r="BL37" s="253"/>
      <c r="BM37" s="253"/>
      <c r="BN37" s="253">
        <v>20</v>
      </c>
      <c r="BO37" s="253"/>
      <c r="BP37" s="253">
        <v>120</v>
      </c>
      <c r="BQ37" s="253">
        <v>60</v>
      </c>
      <c r="BR37" s="253">
        <v>20</v>
      </c>
      <c r="BS37" s="253"/>
      <c r="BT37" s="253">
        <v>4</v>
      </c>
      <c r="BU37" s="253"/>
      <c r="BV37" s="253"/>
      <c r="BW37" s="253"/>
      <c r="BX37" s="253">
        <v>10</v>
      </c>
      <c r="BY37" s="253"/>
      <c r="BZ37" s="253">
        <v>5</v>
      </c>
      <c r="CA37" s="253"/>
      <c r="CB37" s="253">
        <v>85</v>
      </c>
      <c r="CC37" s="253"/>
      <c r="CD37" s="253">
        <v>170</v>
      </c>
      <c r="CE37" s="253">
        <v>90</v>
      </c>
      <c r="CF37" s="253"/>
      <c r="CG37" s="253">
        <v>10</v>
      </c>
      <c r="CH37" s="253"/>
      <c r="CI37" s="253"/>
      <c r="CJ37" s="253"/>
      <c r="CK37" s="253">
        <v>35</v>
      </c>
      <c r="CL37" s="253"/>
      <c r="CM37" s="253"/>
      <c r="CN37" s="253">
        <v>20</v>
      </c>
      <c r="CO37" s="253"/>
      <c r="CP37" s="253"/>
      <c r="CQ37" s="253"/>
      <c r="CR37" s="253"/>
      <c r="CS37" s="253"/>
      <c r="CT37" s="253"/>
      <c r="CU37" s="253"/>
      <c r="CV37" s="253"/>
      <c r="CW37" s="253">
        <v>10</v>
      </c>
      <c r="CX37" s="253"/>
      <c r="CY37" s="253"/>
      <c r="CZ37" s="253"/>
      <c r="DA37" s="253"/>
      <c r="DB37" s="253">
        <v>5</v>
      </c>
      <c r="DC37" s="253">
        <v>45</v>
      </c>
      <c r="DD37" s="253"/>
      <c r="DE37" s="253"/>
      <c r="DF37" s="253"/>
      <c r="DG37" s="253">
        <v>5</v>
      </c>
      <c r="DH37" s="253"/>
      <c r="DI37" s="253"/>
      <c r="DJ37" s="253"/>
      <c r="DK37" s="253"/>
      <c r="DL37" s="253"/>
      <c r="DM37" s="253"/>
      <c r="DN37" s="253"/>
      <c r="DO37" s="253"/>
      <c r="DP37" s="253"/>
      <c r="DQ37" s="253"/>
      <c r="DR37" s="253"/>
      <c r="DS37" s="253"/>
      <c r="DT37" s="253"/>
      <c r="DU37" s="253"/>
      <c r="DV37" s="253"/>
      <c r="DW37" s="253"/>
      <c r="DX37" s="253"/>
      <c r="DY37" s="253"/>
      <c r="DZ37" s="253"/>
      <c r="EA37" s="253"/>
      <c r="EB37" s="253"/>
      <c r="EC37" s="253"/>
      <c r="ED37" s="253"/>
      <c r="EE37" s="253"/>
      <c r="EF37" s="253"/>
      <c r="EG37" s="253"/>
      <c r="EH37" s="253"/>
      <c r="EI37" s="253"/>
      <c r="EJ37" s="253"/>
      <c r="EK37" s="253"/>
      <c r="EL37" s="253"/>
      <c r="EM37" s="253"/>
      <c r="EN37" s="253"/>
      <c r="EO37" s="253"/>
      <c r="EP37" s="253"/>
      <c r="EQ37" s="253"/>
      <c r="ER37" s="253"/>
      <c r="ES37" s="253"/>
      <c r="ET37" s="253"/>
      <c r="EU37" s="253"/>
      <c r="EV37" s="254">
        <v>20</v>
      </c>
      <c r="EW37" s="254">
        <v>10</v>
      </c>
      <c r="EX37" s="253"/>
      <c r="EY37" s="253"/>
      <c r="EZ37" s="254">
        <v>10</v>
      </c>
      <c r="FA37" s="253"/>
      <c r="FB37" s="253"/>
      <c r="FC37" s="253"/>
      <c r="FD37" s="253"/>
      <c r="FE37" s="253"/>
      <c r="FF37" s="253"/>
      <c r="FG37" s="253"/>
      <c r="FH37" s="253"/>
      <c r="FI37" s="253"/>
      <c r="FJ37" s="253"/>
      <c r="FK37" s="253"/>
      <c r="FL37" s="253"/>
      <c r="FM37" s="253"/>
      <c r="FN37" s="253"/>
      <c r="FO37" s="253"/>
      <c r="FP37" s="253"/>
      <c r="FQ37" s="256"/>
      <c r="FR37" s="257" t="s">
        <v>1062</v>
      </c>
      <c r="FS37" s="258" t="s">
        <v>389</v>
      </c>
      <c r="FT37" s="258"/>
      <c r="FU37" s="258" t="s">
        <v>409</v>
      </c>
      <c r="FV37" s="259">
        <f t="shared" si="0"/>
        <v>944</v>
      </c>
      <c r="FW37" s="260" t="s">
        <v>410</v>
      </c>
    </row>
    <row r="38" spans="1:179" s="260" customFormat="1" hidden="1">
      <c r="A38" s="251" t="s">
        <v>393</v>
      </c>
      <c r="B38" s="251" t="s">
        <v>392</v>
      </c>
      <c r="C38" s="251" t="s">
        <v>893</v>
      </c>
      <c r="D38" s="251" t="s">
        <v>291</v>
      </c>
      <c r="E38" s="252" t="s">
        <v>1067</v>
      </c>
      <c r="F38" s="251" t="s">
        <v>388</v>
      </c>
      <c r="G38" s="251"/>
      <c r="H38" s="253"/>
      <c r="I38" s="253"/>
      <c r="J38" s="253"/>
      <c r="K38" s="253"/>
      <c r="L38" s="253"/>
      <c r="M38" s="253"/>
      <c r="N38" s="253"/>
      <c r="O38" s="253"/>
      <c r="P38" s="306"/>
      <c r="Q38" s="253"/>
      <c r="R38" s="253"/>
      <c r="S38" s="253"/>
      <c r="T38" s="253"/>
      <c r="U38" s="253"/>
      <c r="V38" s="253"/>
      <c r="W38" s="253"/>
      <c r="X38" s="253"/>
      <c r="Y38" s="253"/>
      <c r="Z38" s="253"/>
      <c r="AA38" s="253"/>
      <c r="AB38" s="253"/>
      <c r="AC38" s="253"/>
      <c r="AD38" s="253"/>
      <c r="AE38" s="253"/>
      <c r="AF38" s="253"/>
      <c r="AG38" s="253"/>
      <c r="AH38" s="253"/>
      <c r="AI38" s="253"/>
      <c r="AJ38" s="253"/>
      <c r="AK38" s="253"/>
      <c r="AL38" s="253"/>
      <c r="AM38" s="253"/>
      <c r="AN38" s="253"/>
      <c r="AO38" s="253"/>
      <c r="AP38" s="253"/>
      <c r="AQ38" s="253"/>
      <c r="AR38" s="253"/>
      <c r="AS38" s="253"/>
      <c r="AT38" s="253"/>
      <c r="AU38" s="253"/>
      <c r="AV38" s="253"/>
      <c r="AW38" s="253"/>
      <c r="AX38" s="253"/>
      <c r="AY38" s="253"/>
      <c r="AZ38" s="253"/>
      <c r="BA38" s="253"/>
      <c r="BB38" s="253"/>
      <c r="BC38" s="253"/>
      <c r="BD38" s="253"/>
      <c r="BE38" s="253"/>
      <c r="BF38" s="253"/>
      <c r="BG38" s="253"/>
      <c r="BH38" s="253"/>
      <c r="BI38" s="253"/>
      <c r="BJ38" s="253"/>
      <c r="BK38" s="253"/>
      <c r="BL38" s="253"/>
      <c r="BM38" s="253"/>
      <c r="BN38" s="253"/>
      <c r="BO38" s="253"/>
      <c r="BP38" s="253"/>
      <c r="BQ38" s="253"/>
      <c r="BR38" s="253"/>
      <c r="BS38" s="253"/>
      <c r="BT38" s="253"/>
      <c r="BU38" s="253"/>
      <c r="BV38" s="253"/>
      <c r="BW38" s="253"/>
      <c r="BX38" s="253"/>
      <c r="BY38" s="253"/>
      <c r="BZ38" s="253"/>
      <c r="CA38" s="253"/>
      <c r="CB38" s="253"/>
      <c r="CC38" s="253"/>
      <c r="CD38" s="253"/>
      <c r="CE38" s="253"/>
      <c r="CF38" s="253"/>
      <c r="CG38" s="253"/>
      <c r="CH38" s="253"/>
      <c r="CI38" s="253"/>
      <c r="CJ38" s="253"/>
      <c r="CK38" s="253"/>
      <c r="CL38" s="253"/>
      <c r="CM38" s="253"/>
      <c r="CN38" s="253"/>
      <c r="CO38" s="253"/>
      <c r="CP38" s="253"/>
      <c r="CQ38" s="253"/>
      <c r="CR38" s="253"/>
      <c r="CS38" s="253"/>
      <c r="CT38" s="253"/>
      <c r="CU38" s="253"/>
      <c r="CV38" s="253"/>
      <c r="CW38" s="253"/>
      <c r="CX38" s="253"/>
      <c r="CY38" s="253"/>
      <c r="CZ38" s="253"/>
      <c r="DA38" s="253"/>
      <c r="DB38" s="253"/>
      <c r="DC38" s="253"/>
      <c r="DD38" s="253"/>
      <c r="DE38" s="253"/>
      <c r="DF38" s="253"/>
      <c r="DG38" s="253"/>
      <c r="DH38" s="253"/>
      <c r="DI38" s="253"/>
      <c r="DJ38" s="253"/>
      <c r="DK38" s="253"/>
      <c r="DL38" s="253"/>
      <c r="DM38" s="253"/>
      <c r="DN38" s="253"/>
      <c r="DO38" s="253"/>
      <c r="DP38" s="253"/>
      <c r="DQ38" s="253"/>
      <c r="DR38" s="253"/>
      <c r="DS38" s="253"/>
      <c r="DT38" s="253"/>
      <c r="DU38" s="253"/>
      <c r="DV38" s="253"/>
      <c r="DW38" s="253"/>
      <c r="DX38" s="253"/>
      <c r="DY38" s="253"/>
      <c r="DZ38" s="253"/>
      <c r="EA38" s="253"/>
      <c r="EB38" s="253"/>
      <c r="EC38" s="253"/>
      <c r="ED38" s="253"/>
      <c r="EE38" s="253"/>
      <c r="EF38" s="253"/>
      <c r="EG38" s="253"/>
      <c r="EH38" s="253"/>
      <c r="EI38" s="253"/>
      <c r="EJ38" s="253"/>
      <c r="EK38" s="253"/>
      <c r="EL38" s="253"/>
      <c r="EM38" s="253"/>
      <c r="EN38" s="253"/>
      <c r="EO38" s="253"/>
      <c r="EP38" s="253"/>
      <c r="EQ38" s="253"/>
      <c r="ER38" s="253"/>
      <c r="ES38" s="253"/>
      <c r="ET38" s="253"/>
      <c r="EU38" s="253"/>
      <c r="EV38" s="253"/>
      <c r="EW38" s="253"/>
      <c r="EX38" s="253"/>
      <c r="EY38" s="253"/>
      <c r="EZ38" s="253"/>
      <c r="FA38" s="253"/>
      <c r="FB38" s="253"/>
      <c r="FC38" s="253"/>
      <c r="FD38" s="253"/>
      <c r="FE38" s="253"/>
      <c r="FF38" s="253"/>
      <c r="FG38" s="253"/>
      <c r="FH38" s="253"/>
      <c r="FI38" s="253"/>
      <c r="FJ38" s="253"/>
      <c r="FK38" s="253"/>
      <c r="FL38" s="253"/>
      <c r="FM38" s="253"/>
      <c r="FN38" s="253"/>
      <c r="FO38" s="253"/>
      <c r="FP38" s="253"/>
      <c r="FQ38" s="256"/>
      <c r="FR38" s="257" t="s">
        <v>1062</v>
      </c>
      <c r="FS38" s="258" t="s">
        <v>389</v>
      </c>
      <c r="FT38" s="258"/>
      <c r="FU38" s="258" t="s">
        <v>1068</v>
      </c>
      <c r="FV38" s="259">
        <f t="shared" si="0"/>
        <v>0</v>
      </c>
      <c r="FW38" s="260" t="s">
        <v>391</v>
      </c>
    </row>
    <row r="39" spans="1:179" s="260" customFormat="1" hidden="1">
      <c r="A39" s="251" t="s">
        <v>393</v>
      </c>
      <c r="B39" s="251" t="s">
        <v>392</v>
      </c>
      <c r="C39" s="251" t="s">
        <v>893</v>
      </c>
      <c r="D39" s="251" t="s">
        <v>772</v>
      </c>
      <c r="E39" s="252" t="s">
        <v>1067</v>
      </c>
      <c r="F39" s="251" t="s">
        <v>388</v>
      </c>
      <c r="G39" s="251"/>
      <c r="H39" s="306"/>
      <c r="I39" s="306"/>
      <c r="J39" s="306"/>
      <c r="K39" s="306"/>
      <c r="L39" s="306"/>
      <c r="M39" s="306"/>
      <c r="N39" s="306"/>
      <c r="O39" s="306"/>
      <c r="P39" s="255">
        <f>1100-1100</f>
        <v>0</v>
      </c>
      <c r="Q39" s="253"/>
      <c r="R39" s="306"/>
      <c r="S39" s="306"/>
      <c r="T39" s="306"/>
      <c r="U39" s="306"/>
      <c r="V39" s="306"/>
      <c r="W39" s="306"/>
      <c r="X39" s="306"/>
      <c r="Y39" s="306"/>
      <c r="Z39" s="306"/>
      <c r="AA39" s="306"/>
      <c r="AB39" s="306"/>
      <c r="AC39" s="306"/>
      <c r="AD39" s="306"/>
      <c r="AE39" s="306"/>
      <c r="AF39" s="306"/>
      <c r="AG39" s="306"/>
      <c r="AH39" s="306"/>
      <c r="AI39" s="306"/>
      <c r="AJ39" s="306"/>
      <c r="AK39" s="306"/>
      <c r="AL39" s="306"/>
      <c r="AM39" s="306"/>
      <c r="AN39" s="306"/>
      <c r="AO39" s="306"/>
      <c r="AP39" s="306"/>
      <c r="AQ39" s="306"/>
      <c r="AR39" s="306"/>
      <c r="AS39" s="306"/>
      <c r="AT39" s="306"/>
      <c r="AU39" s="306"/>
      <c r="AV39" s="306"/>
      <c r="AW39" s="306"/>
      <c r="AX39" s="306"/>
      <c r="AY39" s="306"/>
      <c r="AZ39" s="306"/>
      <c r="BA39" s="306"/>
      <c r="BB39" s="306"/>
      <c r="BC39" s="306"/>
      <c r="BD39" s="306"/>
      <c r="BE39" s="306"/>
      <c r="BF39" s="306"/>
      <c r="BG39" s="306"/>
      <c r="BH39" s="306"/>
      <c r="BI39" s="306"/>
      <c r="BJ39" s="306"/>
      <c r="BK39" s="306"/>
      <c r="BL39" s="306"/>
      <c r="BM39" s="306"/>
      <c r="BN39" s="306"/>
      <c r="BO39" s="306"/>
      <c r="BP39" s="306"/>
      <c r="BQ39" s="306"/>
      <c r="BR39" s="306"/>
      <c r="BS39" s="306"/>
      <c r="BT39" s="306"/>
      <c r="BU39" s="306"/>
      <c r="BV39" s="306"/>
      <c r="BW39" s="306"/>
      <c r="BX39" s="306"/>
      <c r="BY39" s="306"/>
      <c r="BZ39" s="306"/>
      <c r="CA39" s="306"/>
      <c r="CB39" s="306"/>
      <c r="CC39" s="306"/>
      <c r="CD39" s="306"/>
      <c r="CE39" s="306"/>
      <c r="CF39" s="306"/>
      <c r="CG39" s="306"/>
      <c r="CH39" s="306"/>
      <c r="CI39" s="306"/>
      <c r="CJ39" s="306"/>
      <c r="CK39" s="306"/>
      <c r="CL39" s="306"/>
      <c r="CM39" s="306"/>
      <c r="CN39" s="306"/>
      <c r="CO39" s="306"/>
      <c r="CP39" s="306"/>
      <c r="CQ39" s="306"/>
      <c r="CR39" s="306"/>
      <c r="CS39" s="306"/>
      <c r="CT39" s="306"/>
      <c r="CU39" s="306"/>
      <c r="CV39" s="306"/>
      <c r="CW39" s="306"/>
      <c r="CX39" s="306"/>
      <c r="CY39" s="306"/>
      <c r="CZ39" s="306"/>
      <c r="DA39" s="306"/>
      <c r="DB39" s="306"/>
      <c r="DC39" s="306"/>
      <c r="DD39" s="306"/>
      <c r="DE39" s="306"/>
      <c r="DF39" s="306"/>
      <c r="DG39" s="306"/>
      <c r="DH39" s="306"/>
      <c r="DI39" s="306"/>
      <c r="DJ39" s="306"/>
      <c r="DK39" s="306"/>
      <c r="DL39" s="306"/>
      <c r="DM39" s="306"/>
      <c r="DN39" s="306"/>
      <c r="DO39" s="306"/>
      <c r="DP39" s="306"/>
      <c r="DQ39" s="306"/>
      <c r="DR39" s="306"/>
      <c r="DS39" s="306"/>
      <c r="DT39" s="306"/>
      <c r="DU39" s="306"/>
      <c r="DV39" s="306"/>
      <c r="DW39" s="306"/>
      <c r="DX39" s="306"/>
      <c r="DY39" s="306"/>
      <c r="DZ39" s="306"/>
      <c r="EA39" s="306"/>
      <c r="EB39" s="306"/>
      <c r="EC39" s="306"/>
      <c r="ED39" s="306"/>
      <c r="EE39" s="306"/>
      <c r="EF39" s="306"/>
      <c r="EG39" s="306"/>
      <c r="EH39" s="306"/>
      <c r="EI39" s="306"/>
      <c r="EJ39" s="306"/>
      <c r="EK39" s="306"/>
      <c r="EL39" s="306"/>
      <c r="EM39" s="306"/>
      <c r="EN39" s="306"/>
      <c r="EO39" s="306"/>
      <c r="EP39" s="306"/>
      <c r="EQ39" s="306"/>
      <c r="ER39" s="306"/>
      <c r="ES39" s="306"/>
      <c r="ET39" s="306"/>
      <c r="EU39" s="306"/>
      <c r="EV39" s="306"/>
      <c r="EW39" s="306"/>
      <c r="EX39" s="306"/>
      <c r="EY39" s="306"/>
      <c r="EZ39" s="306"/>
      <c r="FA39" s="306"/>
      <c r="FB39" s="306"/>
      <c r="FC39" s="306"/>
      <c r="FD39" s="306"/>
      <c r="FE39" s="306"/>
      <c r="FF39" s="306"/>
      <c r="FG39" s="306"/>
      <c r="FH39" s="306"/>
      <c r="FI39" s="306"/>
      <c r="FJ39" s="306"/>
      <c r="FK39" s="306"/>
      <c r="FL39" s="306"/>
      <c r="FM39" s="306"/>
      <c r="FN39" s="306"/>
      <c r="FO39" s="306"/>
      <c r="FP39" s="306"/>
      <c r="FQ39" s="307"/>
      <c r="FR39" s="325"/>
      <c r="FS39" s="308"/>
      <c r="FT39" s="308"/>
      <c r="FU39" s="308"/>
      <c r="FV39" s="259">
        <f t="shared" si="0"/>
        <v>0</v>
      </c>
    </row>
    <row r="40" spans="1:179" s="260" customFormat="1" hidden="1">
      <c r="A40" s="251" t="s">
        <v>393</v>
      </c>
      <c r="B40" s="251" t="s">
        <v>392</v>
      </c>
      <c r="C40" s="251" t="s">
        <v>893</v>
      </c>
      <c r="D40" s="251" t="s">
        <v>291</v>
      </c>
      <c r="E40" s="252" t="s">
        <v>1069</v>
      </c>
      <c r="F40" s="251" t="s">
        <v>388</v>
      </c>
      <c r="G40" s="251"/>
      <c r="H40" s="253"/>
      <c r="I40" s="253"/>
      <c r="J40" s="253"/>
      <c r="K40" s="253"/>
      <c r="L40" s="253"/>
      <c r="M40" s="253"/>
      <c r="N40" s="253"/>
      <c r="O40" s="253"/>
      <c r="P40" s="253"/>
      <c r="Q40" s="253"/>
      <c r="R40" s="253"/>
      <c r="S40" s="253"/>
      <c r="T40" s="253"/>
      <c r="U40" s="255">
        <f>200-200</f>
        <v>0</v>
      </c>
      <c r="V40" s="253"/>
      <c r="W40" s="253"/>
      <c r="X40" s="253"/>
      <c r="Y40" s="253"/>
      <c r="Z40" s="253"/>
      <c r="AA40" s="253"/>
      <c r="AB40" s="253"/>
      <c r="AC40" s="253"/>
      <c r="AD40" s="253"/>
      <c r="AE40" s="253"/>
      <c r="AF40" s="253"/>
      <c r="AG40" s="253"/>
      <c r="AH40" s="253"/>
      <c r="AI40" s="253"/>
      <c r="AJ40" s="253"/>
      <c r="AK40" s="253"/>
      <c r="AL40" s="253"/>
      <c r="AM40" s="253"/>
      <c r="AN40" s="253"/>
      <c r="AO40" s="253"/>
      <c r="AP40" s="253"/>
      <c r="AQ40" s="253"/>
      <c r="AR40" s="253"/>
      <c r="AS40" s="253"/>
      <c r="AT40" s="253"/>
      <c r="AU40" s="253"/>
      <c r="AV40" s="253"/>
      <c r="AW40" s="253"/>
      <c r="AX40" s="253"/>
      <c r="AY40" s="253"/>
      <c r="AZ40" s="253"/>
      <c r="BA40" s="253"/>
      <c r="BB40" s="253"/>
      <c r="BC40" s="253"/>
      <c r="BD40" s="253"/>
      <c r="BE40" s="253"/>
      <c r="BF40" s="253"/>
      <c r="BG40" s="253"/>
      <c r="BH40" s="253"/>
      <c r="BI40" s="253"/>
      <c r="BJ40" s="253"/>
      <c r="BK40" s="253"/>
      <c r="BL40" s="253"/>
      <c r="BM40" s="253"/>
      <c r="BN40" s="253"/>
      <c r="BO40" s="253"/>
      <c r="BP40" s="253"/>
      <c r="BQ40" s="253"/>
      <c r="BR40" s="253"/>
      <c r="BS40" s="253"/>
      <c r="BT40" s="253"/>
      <c r="BU40" s="253"/>
      <c r="BV40" s="253"/>
      <c r="BW40" s="253"/>
      <c r="BX40" s="253"/>
      <c r="BY40" s="253"/>
      <c r="BZ40" s="253"/>
      <c r="CA40" s="253"/>
      <c r="CB40" s="253"/>
      <c r="CC40" s="253"/>
      <c r="CD40" s="253"/>
      <c r="CE40" s="253"/>
      <c r="CF40" s="253"/>
      <c r="CG40" s="253"/>
      <c r="CH40" s="253"/>
      <c r="CI40" s="253"/>
      <c r="CJ40" s="253"/>
      <c r="CK40" s="253"/>
      <c r="CL40" s="253"/>
      <c r="CM40" s="253"/>
      <c r="CN40" s="253"/>
      <c r="CO40" s="253"/>
      <c r="CP40" s="253"/>
      <c r="CQ40" s="253"/>
      <c r="CR40" s="253"/>
      <c r="CS40" s="253"/>
      <c r="CT40" s="253"/>
      <c r="CU40" s="253"/>
      <c r="CV40" s="253"/>
      <c r="CW40" s="253"/>
      <c r="CX40" s="253"/>
      <c r="CY40" s="253"/>
      <c r="CZ40" s="253"/>
      <c r="DA40" s="253"/>
      <c r="DB40" s="253"/>
      <c r="DC40" s="253"/>
      <c r="DD40" s="253"/>
      <c r="DE40" s="253"/>
      <c r="DF40" s="253"/>
      <c r="DG40" s="253"/>
      <c r="DH40" s="253"/>
      <c r="DI40" s="253"/>
      <c r="DJ40" s="253"/>
      <c r="DK40" s="253"/>
      <c r="DL40" s="253"/>
      <c r="DM40" s="253"/>
      <c r="DN40" s="253"/>
      <c r="DO40" s="253"/>
      <c r="DP40" s="253"/>
      <c r="DQ40" s="253"/>
      <c r="DR40" s="253"/>
      <c r="DS40" s="253"/>
      <c r="DT40" s="253"/>
      <c r="DU40" s="253"/>
      <c r="DV40" s="253"/>
      <c r="DW40" s="253"/>
      <c r="DX40" s="253"/>
      <c r="DY40" s="253"/>
      <c r="DZ40" s="253"/>
      <c r="EA40" s="253"/>
      <c r="EB40" s="253"/>
      <c r="EC40" s="253"/>
      <c r="ED40" s="253"/>
      <c r="EE40" s="253"/>
      <c r="EF40" s="253"/>
      <c r="EG40" s="253"/>
      <c r="EH40" s="253"/>
      <c r="EI40" s="253"/>
      <c r="EJ40" s="253"/>
      <c r="EK40" s="253"/>
      <c r="EL40" s="253"/>
      <c r="EM40" s="253"/>
      <c r="EN40" s="253"/>
      <c r="EO40" s="253"/>
      <c r="EP40" s="253"/>
      <c r="EQ40" s="253"/>
      <c r="ER40" s="253"/>
      <c r="ES40" s="253"/>
      <c r="ET40" s="253"/>
      <c r="EU40" s="253"/>
      <c r="EV40" s="253"/>
      <c r="EW40" s="253"/>
      <c r="EX40" s="253"/>
      <c r="EY40" s="253"/>
      <c r="EZ40" s="253"/>
      <c r="FA40" s="253"/>
      <c r="FB40" s="253"/>
      <c r="FC40" s="253"/>
      <c r="FD40" s="253"/>
      <c r="FE40" s="253"/>
      <c r="FF40" s="253"/>
      <c r="FG40" s="253"/>
      <c r="FH40" s="253"/>
      <c r="FI40" s="253"/>
      <c r="FJ40" s="253"/>
      <c r="FK40" s="253"/>
      <c r="FL40" s="253"/>
      <c r="FM40" s="253"/>
      <c r="FN40" s="253"/>
      <c r="FO40" s="253"/>
      <c r="FP40" s="253"/>
      <c r="FQ40" s="256"/>
      <c r="FR40" s="257" t="s">
        <v>1062</v>
      </c>
      <c r="FS40" s="258" t="s">
        <v>389</v>
      </c>
      <c r="FT40" s="258"/>
      <c r="FU40" s="258" t="s">
        <v>1068</v>
      </c>
      <c r="FV40" s="259">
        <f t="shared" ref="FV40:FV72" si="2">SUM(H40:FP40)</f>
        <v>0</v>
      </c>
      <c r="FW40" s="260" t="s">
        <v>391</v>
      </c>
    </row>
    <row r="41" spans="1:179" s="260" customFormat="1" hidden="1">
      <c r="A41" s="251" t="s">
        <v>393</v>
      </c>
      <c r="B41" s="251" t="s">
        <v>392</v>
      </c>
      <c r="C41" s="251" t="s">
        <v>893</v>
      </c>
      <c r="D41" s="251" t="s">
        <v>1</v>
      </c>
      <c r="E41" s="252" t="s">
        <v>1069</v>
      </c>
      <c r="F41" s="251" t="s">
        <v>388</v>
      </c>
      <c r="G41" s="251"/>
      <c r="H41" s="253"/>
      <c r="I41" s="253"/>
      <c r="J41" s="253"/>
      <c r="K41" s="253"/>
      <c r="L41" s="253"/>
      <c r="M41" s="255">
        <f>200-200</f>
        <v>0</v>
      </c>
      <c r="N41" s="253"/>
      <c r="O41" s="253"/>
      <c r="P41" s="253"/>
      <c r="Q41" s="253"/>
      <c r="R41" s="253"/>
      <c r="S41" s="253"/>
      <c r="T41" s="253"/>
      <c r="U41" s="253"/>
      <c r="V41" s="253"/>
      <c r="W41" s="253"/>
      <c r="X41" s="255">
        <f>200-200</f>
        <v>0</v>
      </c>
      <c r="Y41" s="253"/>
      <c r="Z41" s="253"/>
      <c r="AA41" s="253"/>
      <c r="AB41" s="253"/>
      <c r="AC41" s="253"/>
      <c r="AD41" s="253"/>
      <c r="AE41" s="253"/>
      <c r="AF41" s="253"/>
      <c r="AG41" s="253"/>
      <c r="AH41" s="253"/>
      <c r="AI41" s="253"/>
      <c r="AJ41" s="253"/>
      <c r="AK41" s="253"/>
      <c r="AL41" s="253"/>
      <c r="AM41" s="255">
        <f>300-300</f>
        <v>0</v>
      </c>
      <c r="AN41" s="255">
        <f>300-300</f>
        <v>0</v>
      </c>
      <c r="AO41" s="253"/>
      <c r="AP41" s="255">
        <f>300-300</f>
        <v>0</v>
      </c>
      <c r="AQ41" s="253"/>
      <c r="AR41" s="253"/>
      <c r="AS41" s="253"/>
      <c r="AT41" s="253"/>
      <c r="AU41" s="253"/>
      <c r="AV41" s="253"/>
      <c r="AW41" s="254">
        <f>300-300+80</f>
        <v>80</v>
      </c>
      <c r="AX41" s="253"/>
      <c r="AY41" s="253"/>
      <c r="AZ41" s="253"/>
      <c r="BA41" s="253"/>
      <c r="BB41" s="253"/>
      <c r="BC41" s="253"/>
      <c r="BD41" s="253"/>
      <c r="BE41" s="253"/>
      <c r="BF41" s="253"/>
      <c r="BG41" s="253"/>
      <c r="BH41" s="253"/>
      <c r="BI41" s="253"/>
      <c r="BJ41" s="253"/>
      <c r="BK41" s="253"/>
      <c r="BL41" s="253"/>
      <c r="BM41" s="253"/>
      <c r="BN41" s="253"/>
      <c r="BO41" s="253"/>
      <c r="BP41" s="253"/>
      <c r="BQ41" s="253"/>
      <c r="BR41" s="253"/>
      <c r="BS41" s="253"/>
      <c r="BT41" s="253"/>
      <c r="BU41" s="253"/>
      <c r="BV41" s="253"/>
      <c r="BW41" s="253"/>
      <c r="BX41" s="253"/>
      <c r="BY41" s="253"/>
      <c r="BZ41" s="253"/>
      <c r="CA41" s="253"/>
      <c r="CB41" s="253"/>
      <c r="CC41" s="253"/>
      <c r="CD41" s="253"/>
      <c r="CE41" s="253"/>
      <c r="CF41" s="253"/>
      <c r="CG41" s="253"/>
      <c r="CH41" s="253"/>
      <c r="CI41" s="253"/>
      <c r="CJ41" s="253"/>
      <c r="CK41" s="253"/>
      <c r="CL41" s="253"/>
      <c r="CM41" s="253"/>
      <c r="CN41" s="253"/>
      <c r="CO41" s="253"/>
      <c r="CP41" s="253"/>
      <c r="CQ41" s="253"/>
      <c r="CR41" s="253"/>
      <c r="CS41" s="253"/>
      <c r="CT41" s="253"/>
      <c r="CU41" s="253"/>
      <c r="CV41" s="253"/>
      <c r="CW41" s="253"/>
      <c r="CX41" s="253"/>
      <c r="CY41" s="253"/>
      <c r="CZ41" s="253"/>
      <c r="DA41" s="253"/>
      <c r="DB41" s="253"/>
      <c r="DC41" s="253"/>
      <c r="DD41" s="253"/>
      <c r="DE41" s="253"/>
      <c r="DF41" s="253"/>
      <c r="DG41" s="253"/>
      <c r="DH41" s="253"/>
      <c r="DI41" s="253"/>
      <c r="DJ41" s="253"/>
      <c r="DK41" s="253"/>
      <c r="DL41" s="253"/>
      <c r="DM41" s="253"/>
      <c r="DN41" s="253"/>
      <c r="DO41" s="253"/>
      <c r="DP41" s="253"/>
      <c r="DQ41" s="253"/>
      <c r="DR41" s="253"/>
      <c r="DS41" s="253"/>
      <c r="DT41" s="253"/>
      <c r="DU41" s="253"/>
      <c r="DV41" s="253"/>
      <c r="DW41" s="253"/>
      <c r="DX41" s="253"/>
      <c r="DY41" s="253"/>
      <c r="DZ41" s="253"/>
      <c r="EA41" s="253"/>
      <c r="EB41" s="253"/>
      <c r="EC41" s="253"/>
      <c r="ED41" s="253"/>
      <c r="EE41" s="253"/>
      <c r="EF41" s="253"/>
      <c r="EG41" s="253"/>
      <c r="EH41" s="253"/>
      <c r="EI41" s="253"/>
      <c r="EJ41" s="253"/>
      <c r="EK41" s="253"/>
      <c r="EL41" s="253"/>
      <c r="EM41" s="253"/>
      <c r="EN41" s="253"/>
      <c r="EO41" s="253"/>
      <c r="EP41" s="253"/>
      <c r="EQ41" s="253"/>
      <c r="ER41" s="253"/>
      <c r="ES41" s="253"/>
      <c r="ET41" s="253"/>
      <c r="EU41" s="253"/>
      <c r="EV41" s="253"/>
      <c r="EW41" s="253"/>
      <c r="EX41" s="253"/>
      <c r="EY41" s="253"/>
      <c r="EZ41" s="253"/>
      <c r="FA41" s="253"/>
      <c r="FB41" s="253"/>
      <c r="FC41" s="253"/>
      <c r="FD41" s="253"/>
      <c r="FE41" s="253"/>
      <c r="FF41" s="253"/>
      <c r="FG41" s="253"/>
      <c r="FH41" s="253"/>
      <c r="FI41" s="253"/>
      <c r="FJ41" s="253"/>
      <c r="FK41" s="253"/>
      <c r="FL41" s="253"/>
      <c r="FM41" s="253"/>
      <c r="FN41" s="253"/>
      <c r="FO41" s="253"/>
      <c r="FP41" s="253"/>
      <c r="FQ41" s="256"/>
      <c r="FR41" s="257" t="s">
        <v>1062</v>
      </c>
      <c r="FS41" s="258" t="s">
        <v>389</v>
      </c>
      <c r="FT41" s="258"/>
      <c r="FU41" s="258" t="s">
        <v>1068</v>
      </c>
      <c r="FV41" s="259">
        <f t="shared" si="2"/>
        <v>80</v>
      </c>
      <c r="FW41" s="260" t="s">
        <v>391</v>
      </c>
    </row>
    <row r="42" spans="1:179" s="260" customFormat="1" hidden="1">
      <c r="A42" s="251" t="s">
        <v>393</v>
      </c>
      <c r="B42" s="251" t="s">
        <v>392</v>
      </c>
      <c r="C42" s="251" t="s">
        <v>893</v>
      </c>
      <c r="D42" s="251" t="s">
        <v>291</v>
      </c>
      <c r="E42" s="252" t="s">
        <v>1070</v>
      </c>
      <c r="F42" s="251" t="s">
        <v>388</v>
      </c>
      <c r="G42" s="251"/>
      <c r="H42" s="253"/>
      <c r="I42" s="253"/>
      <c r="J42" s="253"/>
      <c r="K42" s="253"/>
      <c r="L42" s="253"/>
      <c r="M42" s="253"/>
      <c r="N42" s="253"/>
      <c r="O42" s="253"/>
      <c r="P42" s="253"/>
      <c r="Q42" s="253"/>
      <c r="R42" s="253"/>
      <c r="S42" s="253"/>
      <c r="T42" s="253"/>
      <c r="U42" s="253"/>
      <c r="V42" s="253"/>
      <c r="W42" s="253"/>
      <c r="X42" s="253"/>
      <c r="Y42" s="253"/>
      <c r="Z42" s="253"/>
      <c r="AA42" s="253"/>
      <c r="AB42" s="253"/>
      <c r="AC42" s="253"/>
      <c r="AD42" s="253"/>
      <c r="AE42" s="253"/>
      <c r="AF42" s="253"/>
      <c r="AG42" s="253"/>
      <c r="AH42" s="253"/>
      <c r="AI42" s="253"/>
      <c r="AJ42" s="255">
        <f>1000-1000</f>
        <v>0</v>
      </c>
      <c r="AK42" s="253"/>
      <c r="AL42" s="253"/>
      <c r="AM42" s="253"/>
      <c r="AN42" s="253"/>
      <c r="AO42" s="253"/>
      <c r="AP42" s="253"/>
      <c r="AQ42" s="253"/>
      <c r="AR42" s="253"/>
      <c r="AS42" s="253"/>
      <c r="AT42" s="253"/>
      <c r="AU42" s="253"/>
      <c r="AV42" s="253"/>
      <c r="AW42" s="253"/>
      <c r="AX42" s="253"/>
      <c r="AY42" s="253"/>
      <c r="AZ42" s="253"/>
      <c r="BA42" s="253"/>
      <c r="BB42" s="253"/>
      <c r="BC42" s="253"/>
      <c r="BD42" s="253"/>
      <c r="BE42" s="253"/>
      <c r="BF42" s="253"/>
      <c r="BG42" s="253"/>
      <c r="BH42" s="253"/>
      <c r="BI42" s="253"/>
      <c r="BJ42" s="253"/>
      <c r="BK42" s="253"/>
      <c r="BL42" s="253"/>
      <c r="BM42" s="253"/>
      <c r="BN42" s="253"/>
      <c r="BO42" s="253"/>
      <c r="BP42" s="253"/>
      <c r="BQ42" s="253"/>
      <c r="BR42" s="253"/>
      <c r="BS42" s="253"/>
      <c r="BT42" s="253"/>
      <c r="BU42" s="253"/>
      <c r="BV42" s="253"/>
      <c r="BW42" s="253"/>
      <c r="BX42" s="253"/>
      <c r="BY42" s="253"/>
      <c r="BZ42" s="253"/>
      <c r="CA42" s="253"/>
      <c r="CB42" s="253"/>
      <c r="CC42" s="253"/>
      <c r="CD42" s="253"/>
      <c r="CE42" s="253"/>
      <c r="CF42" s="253"/>
      <c r="CG42" s="253"/>
      <c r="CH42" s="253"/>
      <c r="CI42" s="253"/>
      <c r="CJ42" s="253"/>
      <c r="CK42" s="253"/>
      <c r="CL42" s="253"/>
      <c r="CM42" s="253"/>
      <c r="CN42" s="253"/>
      <c r="CO42" s="253"/>
      <c r="CP42" s="253"/>
      <c r="CQ42" s="253"/>
      <c r="CR42" s="253"/>
      <c r="CS42" s="253"/>
      <c r="CT42" s="253"/>
      <c r="CU42" s="253"/>
      <c r="CV42" s="253"/>
      <c r="CW42" s="253"/>
      <c r="CX42" s="253"/>
      <c r="CY42" s="253"/>
      <c r="CZ42" s="253"/>
      <c r="DA42" s="253"/>
      <c r="DB42" s="253"/>
      <c r="DC42" s="253"/>
      <c r="DD42" s="253"/>
      <c r="DE42" s="253"/>
      <c r="DF42" s="253"/>
      <c r="DG42" s="253"/>
      <c r="DH42" s="253"/>
      <c r="DI42" s="253"/>
      <c r="DJ42" s="253"/>
      <c r="DK42" s="253"/>
      <c r="DL42" s="253"/>
      <c r="DM42" s="253"/>
      <c r="DN42" s="253"/>
      <c r="DO42" s="253"/>
      <c r="DP42" s="253"/>
      <c r="DQ42" s="253"/>
      <c r="DR42" s="253"/>
      <c r="DS42" s="253"/>
      <c r="DT42" s="253"/>
      <c r="DU42" s="253"/>
      <c r="DV42" s="253"/>
      <c r="DW42" s="253"/>
      <c r="DX42" s="253"/>
      <c r="DY42" s="253"/>
      <c r="DZ42" s="253"/>
      <c r="EA42" s="253"/>
      <c r="EB42" s="253"/>
      <c r="EC42" s="253"/>
      <c r="ED42" s="253"/>
      <c r="EE42" s="253"/>
      <c r="EF42" s="253"/>
      <c r="EG42" s="253"/>
      <c r="EH42" s="253"/>
      <c r="EI42" s="253"/>
      <c r="EJ42" s="253"/>
      <c r="EK42" s="253"/>
      <c r="EL42" s="253"/>
      <c r="EM42" s="253"/>
      <c r="EN42" s="253"/>
      <c r="EO42" s="253"/>
      <c r="EP42" s="253"/>
      <c r="EQ42" s="253"/>
      <c r="ER42" s="253"/>
      <c r="ES42" s="253"/>
      <c r="ET42" s="253"/>
      <c r="EU42" s="253"/>
      <c r="EV42" s="253"/>
      <c r="EW42" s="253"/>
      <c r="EX42" s="253"/>
      <c r="EY42" s="253"/>
      <c r="EZ42" s="253"/>
      <c r="FA42" s="253"/>
      <c r="FB42" s="253"/>
      <c r="FC42" s="253"/>
      <c r="FD42" s="253"/>
      <c r="FE42" s="253"/>
      <c r="FF42" s="253"/>
      <c r="FG42" s="253"/>
      <c r="FH42" s="253"/>
      <c r="FI42" s="253"/>
      <c r="FJ42" s="253"/>
      <c r="FK42" s="253"/>
      <c r="FL42" s="253"/>
      <c r="FM42" s="253"/>
      <c r="FN42" s="253"/>
      <c r="FO42" s="253"/>
      <c r="FP42" s="253"/>
      <c r="FQ42" s="256"/>
      <c r="FR42" s="257" t="s">
        <v>1062</v>
      </c>
      <c r="FS42" s="258" t="s">
        <v>389</v>
      </c>
      <c r="FT42" s="258"/>
      <c r="FU42" s="258" t="s">
        <v>1068</v>
      </c>
      <c r="FV42" s="259">
        <f t="shared" si="2"/>
        <v>0</v>
      </c>
      <c r="FW42" s="260" t="s">
        <v>391</v>
      </c>
    </row>
    <row r="43" spans="1:179" s="260" customFormat="1" hidden="1">
      <c r="A43" s="251" t="s">
        <v>393</v>
      </c>
      <c r="B43" s="251" t="s">
        <v>392</v>
      </c>
      <c r="C43" s="251" t="s">
        <v>893</v>
      </c>
      <c r="D43" s="251" t="s">
        <v>1</v>
      </c>
      <c r="E43" s="252" t="s">
        <v>1070</v>
      </c>
      <c r="F43" s="251" t="s">
        <v>388</v>
      </c>
      <c r="G43" s="251"/>
      <c r="H43" s="253"/>
      <c r="I43" s="253"/>
      <c r="J43" s="253"/>
      <c r="K43" s="253"/>
      <c r="L43" s="253"/>
      <c r="M43" s="253"/>
      <c r="N43" s="253"/>
      <c r="O43" s="253"/>
      <c r="P43" s="253"/>
      <c r="Q43" s="253"/>
      <c r="R43" s="253"/>
      <c r="S43" s="255">
        <f>500-500</f>
        <v>0</v>
      </c>
      <c r="T43" s="253"/>
      <c r="U43" s="253"/>
      <c r="V43" s="253"/>
      <c r="W43" s="253"/>
      <c r="X43" s="253"/>
      <c r="Y43" s="253"/>
      <c r="Z43" s="253"/>
      <c r="AA43" s="253"/>
      <c r="AB43" s="253"/>
      <c r="AC43" s="253"/>
      <c r="AD43" s="253"/>
      <c r="AE43" s="255">
        <f>1000-1000</f>
        <v>0</v>
      </c>
      <c r="AF43" s="253"/>
      <c r="AG43" s="253"/>
      <c r="AH43" s="253"/>
      <c r="AI43" s="255">
        <f>1000-1000</f>
        <v>0</v>
      </c>
      <c r="AJ43" s="253"/>
      <c r="AK43" s="253"/>
      <c r="AL43" s="253"/>
      <c r="AM43" s="253"/>
      <c r="AN43" s="253"/>
      <c r="AO43" s="253"/>
      <c r="AP43" s="253"/>
      <c r="AQ43" s="253"/>
      <c r="AR43" s="253"/>
      <c r="AS43" s="253"/>
      <c r="AT43" s="253"/>
      <c r="AU43" s="253"/>
      <c r="AV43" s="253"/>
      <c r="AW43" s="254">
        <f>1000-1000+80</f>
        <v>80</v>
      </c>
      <c r="AX43" s="253"/>
      <c r="AY43" s="253"/>
      <c r="AZ43" s="253"/>
      <c r="BA43" s="253"/>
      <c r="BB43" s="253"/>
      <c r="BC43" s="253"/>
      <c r="BD43" s="253"/>
      <c r="BE43" s="253"/>
      <c r="BF43" s="253"/>
      <c r="BG43" s="253"/>
      <c r="BH43" s="253"/>
      <c r="BI43" s="253"/>
      <c r="BJ43" s="253"/>
      <c r="BK43" s="253"/>
      <c r="BL43" s="253"/>
      <c r="BM43" s="253"/>
      <c r="BN43" s="253"/>
      <c r="BO43" s="253"/>
      <c r="BP43" s="253"/>
      <c r="BQ43" s="253"/>
      <c r="BR43" s="253"/>
      <c r="BS43" s="253"/>
      <c r="BT43" s="253"/>
      <c r="BU43" s="253"/>
      <c r="BV43" s="253"/>
      <c r="BW43" s="253"/>
      <c r="BX43" s="253"/>
      <c r="BY43" s="253"/>
      <c r="BZ43" s="253"/>
      <c r="CA43" s="253"/>
      <c r="CB43" s="253"/>
      <c r="CC43" s="253"/>
      <c r="CD43" s="253"/>
      <c r="CE43" s="253"/>
      <c r="CF43" s="253"/>
      <c r="CG43" s="253"/>
      <c r="CH43" s="253"/>
      <c r="CI43" s="253"/>
      <c r="CJ43" s="253"/>
      <c r="CK43" s="253"/>
      <c r="CL43" s="253"/>
      <c r="CM43" s="253"/>
      <c r="CN43" s="253"/>
      <c r="CO43" s="253"/>
      <c r="CP43" s="253"/>
      <c r="CQ43" s="253"/>
      <c r="CR43" s="253"/>
      <c r="CS43" s="253"/>
      <c r="CT43" s="253"/>
      <c r="CU43" s="253"/>
      <c r="CV43" s="253"/>
      <c r="CW43" s="253"/>
      <c r="CX43" s="253"/>
      <c r="CY43" s="253"/>
      <c r="CZ43" s="253"/>
      <c r="DA43" s="253"/>
      <c r="DB43" s="253"/>
      <c r="DC43" s="253"/>
      <c r="DD43" s="253"/>
      <c r="DE43" s="253"/>
      <c r="DF43" s="253"/>
      <c r="DG43" s="253"/>
      <c r="DH43" s="253"/>
      <c r="DI43" s="253"/>
      <c r="DJ43" s="253"/>
      <c r="DK43" s="253"/>
      <c r="DL43" s="253"/>
      <c r="DM43" s="253"/>
      <c r="DN43" s="253"/>
      <c r="DO43" s="253"/>
      <c r="DP43" s="253"/>
      <c r="DQ43" s="253"/>
      <c r="DR43" s="253"/>
      <c r="DS43" s="253"/>
      <c r="DT43" s="253"/>
      <c r="DU43" s="253"/>
      <c r="DV43" s="253"/>
      <c r="DW43" s="253"/>
      <c r="DX43" s="253"/>
      <c r="DY43" s="253"/>
      <c r="DZ43" s="253"/>
      <c r="EA43" s="253"/>
      <c r="EB43" s="253"/>
      <c r="EC43" s="253"/>
      <c r="ED43" s="253"/>
      <c r="EE43" s="253"/>
      <c r="EF43" s="253"/>
      <c r="EG43" s="253"/>
      <c r="EH43" s="253"/>
      <c r="EI43" s="253"/>
      <c r="EJ43" s="253"/>
      <c r="EK43" s="253"/>
      <c r="EL43" s="253"/>
      <c r="EM43" s="253"/>
      <c r="EN43" s="253"/>
      <c r="EO43" s="253"/>
      <c r="EP43" s="253"/>
      <c r="EQ43" s="253"/>
      <c r="ER43" s="253"/>
      <c r="ES43" s="253"/>
      <c r="ET43" s="253"/>
      <c r="EU43" s="253"/>
      <c r="EV43" s="253"/>
      <c r="EW43" s="253"/>
      <c r="EX43" s="253"/>
      <c r="EY43" s="253"/>
      <c r="EZ43" s="253"/>
      <c r="FA43" s="253"/>
      <c r="FB43" s="253"/>
      <c r="FC43" s="253"/>
      <c r="FD43" s="253"/>
      <c r="FE43" s="253"/>
      <c r="FF43" s="253"/>
      <c r="FG43" s="253"/>
      <c r="FH43" s="253"/>
      <c r="FI43" s="253"/>
      <c r="FJ43" s="253"/>
      <c r="FK43" s="253"/>
      <c r="FL43" s="253"/>
      <c r="FM43" s="253"/>
      <c r="FN43" s="253"/>
      <c r="FO43" s="253"/>
      <c r="FP43" s="253"/>
      <c r="FQ43" s="256"/>
      <c r="FR43" s="257" t="s">
        <v>1062</v>
      </c>
      <c r="FS43" s="258" t="s">
        <v>389</v>
      </c>
      <c r="FT43" s="258"/>
      <c r="FU43" s="258" t="s">
        <v>1068</v>
      </c>
      <c r="FV43" s="259">
        <f t="shared" si="2"/>
        <v>80</v>
      </c>
      <c r="FW43" s="260" t="s">
        <v>391</v>
      </c>
    </row>
    <row r="44" spans="1:179" s="260" customFormat="1" hidden="1">
      <c r="A44" s="251" t="s">
        <v>393</v>
      </c>
      <c r="B44" s="251" t="s">
        <v>392</v>
      </c>
      <c r="C44" s="251" t="s">
        <v>893</v>
      </c>
      <c r="D44" s="251" t="s">
        <v>1</v>
      </c>
      <c r="E44" s="252" t="s">
        <v>1071</v>
      </c>
      <c r="F44" s="251" t="s">
        <v>388</v>
      </c>
      <c r="G44" s="251"/>
      <c r="H44" s="253"/>
      <c r="I44" s="253"/>
      <c r="J44" s="253"/>
      <c r="K44" s="253"/>
      <c r="L44" s="253"/>
      <c r="M44" s="253"/>
      <c r="N44" s="253"/>
      <c r="O44" s="253"/>
      <c r="P44" s="253"/>
      <c r="Q44" s="253"/>
      <c r="R44" s="255">
        <f>2000-2000</f>
        <v>0</v>
      </c>
      <c r="S44" s="253"/>
      <c r="T44" s="253"/>
      <c r="U44" s="253"/>
      <c r="V44" s="253"/>
      <c r="W44" s="253"/>
      <c r="X44" s="253"/>
      <c r="Y44" s="253"/>
      <c r="Z44" s="253"/>
      <c r="AA44" s="253"/>
      <c r="AB44" s="253"/>
      <c r="AC44" s="253"/>
      <c r="AD44" s="253"/>
      <c r="AE44" s="253"/>
      <c r="AF44" s="253"/>
      <c r="AG44" s="253"/>
      <c r="AH44" s="253"/>
      <c r="AI44" s="253"/>
      <c r="AJ44" s="253"/>
      <c r="AK44" s="253"/>
      <c r="AL44" s="253"/>
      <c r="AM44" s="253"/>
      <c r="AN44" s="253"/>
      <c r="AO44" s="253"/>
      <c r="AP44" s="255">
        <f>1500-1500</f>
        <v>0</v>
      </c>
      <c r="AQ44" s="253"/>
      <c r="AR44" s="253"/>
      <c r="AS44" s="253"/>
      <c r="AT44" s="253"/>
      <c r="AU44" s="253"/>
      <c r="AV44" s="253"/>
      <c r="AW44" s="254">
        <f>1500-1500+90</f>
        <v>90</v>
      </c>
      <c r="AX44" s="253"/>
      <c r="AY44" s="253"/>
      <c r="AZ44" s="253"/>
      <c r="BA44" s="253"/>
      <c r="BB44" s="253"/>
      <c r="BC44" s="253"/>
      <c r="BD44" s="253"/>
      <c r="BE44" s="253"/>
      <c r="BF44" s="253"/>
      <c r="BG44" s="253"/>
      <c r="BH44" s="253"/>
      <c r="BI44" s="253"/>
      <c r="BJ44" s="253"/>
      <c r="BK44" s="253"/>
      <c r="BL44" s="253"/>
      <c r="BM44" s="253"/>
      <c r="BN44" s="253"/>
      <c r="BO44" s="253"/>
      <c r="BP44" s="253"/>
      <c r="BQ44" s="253"/>
      <c r="BR44" s="253"/>
      <c r="BS44" s="253"/>
      <c r="BT44" s="253"/>
      <c r="BU44" s="253"/>
      <c r="BV44" s="253"/>
      <c r="BW44" s="253"/>
      <c r="BX44" s="253"/>
      <c r="BY44" s="253"/>
      <c r="BZ44" s="253"/>
      <c r="CA44" s="253"/>
      <c r="CB44" s="253"/>
      <c r="CC44" s="253"/>
      <c r="CD44" s="253"/>
      <c r="CE44" s="253"/>
      <c r="CF44" s="253"/>
      <c r="CG44" s="253"/>
      <c r="CH44" s="253"/>
      <c r="CI44" s="253"/>
      <c r="CJ44" s="253"/>
      <c r="CK44" s="253"/>
      <c r="CL44" s="253"/>
      <c r="CM44" s="253"/>
      <c r="CN44" s="253"/>
      <c r="CO44" s="253"/>
      <c r="CP44" s="253"/>
      <c r="CQ44" s="253"/>
      <c r="CR44" s="253"/>
      <c r="CS44" s="253"/>
      <c r="CT44" s="253"/>
      <c r="CU44" s="253"/>
      <c r="CV44" s="253"/>
      <c r="CW44" s="253"/>
      <c r="CX44" s="253"/>
      <c r="CY44" s="253"/>
      <c r="CZ44" s="253"/>
      <c r="DA44" s="253"/>
      <c r="DB44" s="253"/>
      <c r="DC44" s="253"/>
      <c r="DD44" s="253"/>
      <c r="DE44" s="253"/>
      <c r="DF44" s="253"/>
      <c r="DG44" s="253"/>
      <c r="DH44" s="253"/>
      <c r="DI44" s="253"/>
      <c r="DJ44" s="253"/>
      <c r="DK44" s="253"/>
      <c r="DL44" s="253"/>
      <c r="DM44" s="253"/>
      <c r="DN44" s="253"/>
      <c r="DO44" s="253"/>
      <c r="DP44" s="253"/>
      <c r="DQ44" s="253"/>
      <c r="DR44" s="253"/>
      <c r="DS44" s="253"/>
      <c r="DT44" s="253"/>
      <c r="DU44" s="253"/>
      <c r="DV44" s="253"/>
      <c r="DW44" s="253"/>
      <c r="DX44" s="253"/>
      <c r="DY44" s="253"/>
      <c r="DZ44" s="253"/>
      <c r="EA44" s="253"/>
      <c r="EB44" s="253"/>
      <c r="EC44" s="253"/>
      <c r="ED44" s="253"/>
      <c r="EE44" s="253"/>
      <c r="EF44" s="253"/>
      <c r="EG44" s="253"/>
      <c r="EH44" s="253"/>
      <c r="EI44" s="253"/>
      <c r="EJ44" s="253"/>
      <c r="EK44" s="253"/>
      <c r="EL44" s="253"/>
      <c r="EM44" s="253"/>
      <c r="EN44" s="253"/>
      <c r="EO44" s="253"/>
      <c r="EP44" s="253"/>
      <c r="EQ44" s="253"/>
      <c r="ER44" s="253"/>
      <c r="ES44" s="253"/>
      <c r="ET44" s="253"/>
      <c r="EU44" s="253"/>
      <c r="EV44" s="253"/>
      <c r="EW44" s="253"/>
      <c r="EX44" s="253"/>
      <c r="EY44" s="253"/>
      <c r="EZ44" s="253"/>
      <c r="FA44" s="253"/>
      <c r="FB44" s="253"/>
      <c r="FC44" s="253"/>
      <c r="FD44" s="253"/>
      <c r="FE44" s="253"/>
      <c r="FF44" s="253"/>
      <c r="FG44" s="253"/>
      <c r="FH44" s="253"/>
      <c r="FI44" s="253"/>
      <c r="FJ44" s="253"/>
      <c r="FK44" s="253"/>
      <c r="FL44" s="253"/>
      <c r="FM44" s="253"/>
      <c r="FN44" s="253"/>
      <c r="FO44" s="253"/>
      <c r="FP44" s="253"/>
      <c r="FQ44" s="256"/>
      <c r="FR44" s="257" t="s">
        <v>1062</v>
      </c>
      <c r="FS44" s="258" t="s">
        <v>389</v>
      </c>
      <c r="FT44" s="258"/>
      <c r="FU44" s="258" t="s">
        <v>1068</v>
      </c>
      <c r="FV44" s="259">
        <f t="shared" si="2"/>
        <v>90</v>
      </c>
      <c r="FW44" s="260" t="s">
        <v>391</v>
      </c>
    </row>
    <row r="45" spans="1:179" s="260" customFormat="1" hidden="1">
      <c r="A45" s="251" t="s">
        <v>385</v>
      </c>
      <c r="B45" s="251" t="s">
        <v>385</v>
      </c>
      <c r="C45" s="251" t="s">
        <v>893</v>
      </c>
      <c r="D45" s="251" t="s">
        <v>291</v>
      </c>
      <c r="E45" s="252" t="s">
        <v>894</v>
      </c>
      <c r="F45" s="251" t="s">
        <v>388</v>
      </c>
      <c r="G45" s="251"/>
      <c r="H45" s="253"/>
      <c r="I45" s="253"/>
      <c r="J45" s="253"/>
      <c r="K45" s="253"/>
      <c r="L45" s="253"/>
      <c r="M45" s="253"/>
      <c r="N45" s="253"/>
      <c r="O45" s="253"/>
      <c r="P45" s="253"/>
      <c r="Q45" s="253"/>
      <c r="R45" s="253"/>
      <c r="S45" s="253"/>
      <c r="T45" s="253"/>
      <c r="U45" s="253"/>
      <c r="V45" s="253"/>
      <c r="W45" s="253"/>
      <c r="X45" s="253"/>
      <c r="Y45" s="253"/>
      <c r="Z45" s="253"/>
      <c r="AA45" s="253"/>
      <c r="AB45" s="253"/>
      <c r="AC45" s="253"/>
      <c r="AD45" s="253"/>
      <c r="AE45" s="253"/>
      <c r="AF45" s="253"/>
      <c r="AG45" s="253"/>
      <c r="AH45" s="253"/>
      <c r="AI45" s="253"/>
      <c r="AJ45" s="253"/>
      <c r="AK45" s="253"/>
      <c r="AL45" s="253"/>
      <c r="AM45" s="253"/>
      <c r="AN45" s="253"/>
      <c r="AO45" s="253"/>
      <c r="AP45" s="253"/>
      <c r="AQ45" s="253"/>
      <c r="AR45" s="253"/>
      <c r="AS45" s="253"/>
      <c r="AT45" s="253"/>
      <c r="AU45" s="253"/>
      <c r="AV45" s="253"/>
      <c r="AW45" s="253"/>
      <c r="AX45" s="253"/>
      <c r="AY45" s="253"/>
      <c r="AZ45" s="253"/>
      <c r="BA45" s="253"/>
      <c r="BB45" s="253"/>
      <c r="BC45" s="253"/>
      <c r="BD45" s="253"/>
      <c r="BE45" s="253"/>
      <c r="BF45" s="253"/>
      <c r="BG45" s="253"/>
      <c r="BH45" s="253"/>
      <c r="BI45" s="253"/>
      <c r="BJ45" s="253"/>
      <c r="BK45" s="253"/>
      <c r="BL45" s="253"/>
      <c r="BM45" s="253"/>
      <c r="BN45" s="253"/>
      <c r="BO45" s="253"/>
      <c r="BP45" s="253"/>
      <c r="BQ45" s="253"/>
      <c r="BR45" s="253"/>
      <c r="BS45" s="253"/>
      <c r="BT45" s="253"/>
      <c r="BU45" s="253"/>
      <c r="BV45" s="253"/>
      <c r="BW45" s="253"/>
      <c r="BX45" s="253"/>
      <c r="BY45" s="253"/>
      <c r="BZ45" s="253"/>
      <c r="CA45" s="253"/>
      <c r="CB45" s="253"/>
      <c r="CC45" s="253"/>
      <c r="CD45" s="253"/>
      <c r="CE45" s="253"/>
      <c r="CF45" s="253"/>
      <c r="CG45" s="253"/>
      <c r="CH45" s="253"/>
      <c r="CI45" s="253"/>
      <c r="CJ45" s="253"/>
      <c r="CK45" s="253"/>
      <c r="CL45" s="253"/>
      <c r="CM45" s="253"/>
      <c r="CN45" s="253"/>
      <c r="CO45" s="253"/>
      <c r="CP45" s="253"/>
      <c r="CQ45" s="253"/>
      <c r="CR45" s="253"/>
      <c r="CS45" s="253"/>
      <c r="CT45" s="253"/>
      <c r="CU45" s="253"/>
      <c r="CV45" s="253"/>
      <c r="CW45" s="253"/>
      <c r="CX45" s="253"/>
      <c r="CY45" s="253"/>
      <c r="CZ45" s="253"/>
      <c r="DA45" s="253"/>
      <c r="DB45" s="253"/>
      <c r="DC45" s="253"/>
      <c r="DD45" s="253"/>
      <c r="DE45" s="253"/>
      <c r="DF45" s="253"/>
      <c r="DG45" s="253"/>
      <c r="DH45" s="253"/>
      <c r="DI45" s="253"/>
      <c r="DJ45" s="253"/>
      <c r="DK45" s="253"/>
      <c r="DL45" s="253"/>
      <c r="DM45" s="253"/>
      <c r="DN45" s="253"/>
      <c r="DO45" s="253"/>
      <c r="DP45" s="253"/>
      <c r="DQ45" s="253"/>
      <c r="DR45" s="253"/>
      <c r="DS45" s="253"/>
      <c r="DT45" s="253"/>
      <c r="DU45" s="253"/>
      <c r="DV45" s="253"/>
      <c r="DW45" s="253"/>
      <c r="DX45" s="253"/>
      <c r="DY45" s="253"/>
      <c r="DZ45" s="253"/>
      <c r="EA45" s="253"/>
      <c r="EB45" s="253"/>
      <c r="EC45" s="253"/>
      <c r="ED45" s="253"/>
      <c r="EE45" s="253"/>
      <c r="EF45" s="253"/>
      <c r="EG45" s="253"/>
      <c r="EH45" s="253"/>
      <c r="EI45" s="253"/>
      <c r="EJ45" s="253"/>
      <c r="EK45" s="253"/>
      <c r="EL45" s="253"/>
      <c r="EM45" s="253"/>
      <c r="EN45" s="253"/>
      <c r="EO45" s="253"/>
      <c r="EP45" s="253"/>
      <c r="EQ45" s="253"/>
      <c r="ER45" s="253"/>
      <c r="ES45" s="253"/>
      <c r="ET45" s="253"/>
      <c r="EU45" s="253"/>
      <c r="EV45" s="253"/>
      <c r="EW45" s="253"/>
      <c r="EX45" s="253"/>
      <c r="EY45" s="253"/>
      <c r="EZ45" s="253"/>
      <c r="FA45" s="253"/>
      <c r="FB45" s="253"/>
      <c r="FC45" s="253"/>
      <c r="FD45" s="253"/>
      <c r="FE45" s="253"/>
      <c r="FF45" s="253"/>
      <c r="FG45" s="253"/>
      <c r="FH45" s="253"/>
      <c r="FI45" s="253"/>
      <c r="FJ45" s="253"/>
      <c r="FK45" s="253"/>
      <c r="FL45" s="253"/>
      <c r="FM45" s="253"/>
      <c r="FN45" s="253"/>
      <c r="FO45" s="253"/>
      <c r="FP45" s="253"/>
      <c r="FQ45" s="256"/>
      <c r="FR45" s="257" t="s">
        <v>1062</v>
      </c>
      <c r="FS45" s="258" t="s">
        <v>389</v>
      </c>
      <c r="FT45" s="258"/>
      <c r="FU45" s="258" t="s">
        <v>895</v>
      </c>
      <c r="FV45" s="259">
        <f t="shared" si="2"/>
        <v>0</v>
      </c>
      <c r="FW45" s="260" t="s">
        <v>410</v>
      </c>
    </row>
    <row r="46" spans="1:179" s="260" customFormat="1" hidden="1">
      <c r="A46" s="251" t="s">
        <v>385</v>
      </c>
      <c r="B46" s="251" t="s">
        <v>385</v>
      </c>
      <c r="C46" s="251" t="s">
        <v>893</v>
      </c>
      <c r="D46" s="251" t="s">
        <v>772</v>
      </c>
      <c r="E46" s="252" t="s">
        <v>894</v>
      </c>
      <c r="F46" s="251" t="s">
        <v>388</v>
      </c>
      <c r="G46" s="304"/>
      <c r="H46" s="306"/>
      <c r="I46" s="306"/>
      <c r="J46" s="306"/>
      <c r="K46" s="306"/>
      <c r="L46" s="306"/>
      <c r="M46" s="306"/>
      <c r="N46" s="306"/>
      <c r="O46" s="306"/>
      <c r="P46" s="255">
        <f>200-200</f>
        <v>0</v>
      </c>
      <c r="Q46" s="253"/>
      <c r="R46" s="306"/>
      <c r="S46" s="306"/>
      <c r="T46" s="306"/>
      <c r="U46" s="306"/>
      <c r="V46" s="306"/>
      <c r="W46" s="306"/>
      <c r="X46" s="306"/>
      <c r="Y46" s="306"/>
      <c r="Z46" s="306"/>
      <c r="AA46" s="306"/>
      <c r="AB46" s="306"/>
      <c r="AC46" s="306"/>
      <c r="AD46" s="306"/>
      <c r="AE46" s="306"/>
      <c r="AF46" s="306"/>
      <c r="AG46" s="306"/>
      <c r="AH46" s="306"/>
      <c r="AI46" s="306"/>
      <c r="AJ46" s="306"/>
      <c r="AK46" s="306"/>
      <c r="AL46" s="306"/>
      <c r="AM46" s="306"/>
      <c r="AN46" s="306"/>
      <c r="AO46" s="306"/>
      <c r="AP46" s="306"/>
      <c r="AQ46" s="306"/>
      <c r="AR46" s="306"/>
      <c r="AS46" s="306"/>
      <c r="AT46" s="306"/>
      <c r="AU46" s="306"/>
      <c r="AV46" s="306"/>
      <c r="AW46" s="306"/>
      <c r="AX46" s="306"/>
      <c r="AY46" s="306"/>
      <c r="AZ46" s="306"/>
      <c r="BA46" s="306"/>
      <c r="BB46" s="306"/>
      <c r="BC46" s="306"/>
      <c r="BD46" s="306"/>
      <c r="BE46" s="306"/>
      <c r="BF46" s="306"/>
      <c r="BG46" s="306"/>
      <c r="BH46" s="306"/>
      <c r="BI46" s="306"/>
      <c r="BJ46" s="306"/>
      <c r="BK46" s="306"/>
      <c r="BL46" s="306"/>
      <c r="BM46" s="306"/>
      <c r="BN46" s="306"/>
      <c r="BO46" s="306"/>
      <c r="BP46" s="306"/>
      <c r="BQ46" s="306"/>
      <c r="BR46" s="306"/>
      <c r="BS46" s="306"/>
      <c r="BT46" s="306"/>
      <c r="BU46" s="306"/>
      <c r="BV46" s="306"/>
      <c r="BW46" s="306"/>
      <c r="BX46" s="306"/>
      <c r="BY46" s="306"/>
      <c r="BZ46" s="306"/>
      <c r="CA46" s="306"/>
      <c r="CB46" s="306"/>
      <c r="CC46" s="306"/>
      <c r="CD46" s="306"/>
      <c r="CE46" s="306"/>
      <c r="CF46" s="306"/>
      <c r="CG46" s="306"/>
      <c r="CH46" s="306"/>
      <c r="CI46" s="306"/>
      <c r="CJ46" s="306"/>
      <c r="CK46" s="306"/>
      <c r="CL46" s="306"/>
      <c r="CM46" s="306"/>
      <c r="CN46" s="306"/>
      <c r="CO46" s="306"/>
      <c r="CP46" s="306"/>
      <c r="CQ46" s="306"/>
      <c r="CR46" s="306"/>
      <c r="CS46" s="306"/>
      <c r="CT46" s="306"/>
      <c r="CU46" s="306"/>
      <c r="CV46" s="306"/>
      <c r="CW46" s="306"/>
      <c r="CX46" s="306"/>
      <c r="CY46" s="306"/>
      <c r="CZ46" s="306"/>
      <c r="DA46" s="306"/>
      <c r="DB46" s="306"/>
      <c r="DC46" s="306"/>
      <c r="DD46" s="306"/>
      <c r="DE46" s="306"/>
      <c r="DF46" s="306"/>
      <c r="DG46" s="306"/>
      <c r="DH46" s="306"/>
      <c r="DI46" s="306"/>
      <c r="DJ46" s="306"/>
      <c r="DK46" s="306"/>
      <c r="DL46" s="306"/>
      <c r="DM46" s="306"/>
      <c r="DN46" s="306"/>
      <c r="DO46" s="306"/>
      <c r="DP46" s="306"/>
      <c r="DQ46" s="306"/>
      <c r="DR46" s="306"/>
      <c r="DS46" s="306"/>
      <c r="DT46" s="306"/>
      <c r="DU46" s="306"/>
      <c r="DV46" s="306"/>
      <c r="DW46" s="306"/>
      <c r="DX46" s="306"/>
      <c r="DY46" s="306"/>
      <c r="DZ46" s="306"/>
      <c r="EA46" s="306"/>
      <c r="EB46" s="306"/>
      <c r="EC46" s="306"/>
      <c r="ED46" s="306"/>
      <c r="EE46" s="306"/>
      <c r="EF46" s="306"/>
      <c r="EG46" s="306"/>
      <c r="EH46" s="306"/>
      <c r="EI46" s="306"/>
      <c r="EJ46" s="306"/>
      <c r="EK46" s="306"/>
      <c r="EL46" s="306"/>
      <c r="EM46" s="306"/>
      <c r="EN46" s="306"/>
      <c r="EO46" s="306"/>
      <c r="EP46" s="306"/>
      <c r="EQ46" s="306"/>
      <c r="ER46" s="306"/>
      <c r="ES46" s="306"/>
      <c r="ET46" s="306"/>
      <c r="EU46" s="306"/>
      <c r="EV46" s="306"/>
      <c r="EW46" s="306"/>
      <c r="EX46" s="306"/>
      <c r="EY46" s="306"/>
      <c r="EZ46" s="306"/>
      <c r="FA46" s="306"/>
      <c r="FB46" s="306"/>
      <c r="FC46" s="306"/>
      <c r="FD46" s="306"/>
      <c r="FE46" s="306"/>
      <c r="FF46" s="306"/>
      <c r="FG46" s="306"/>
      <c r="FH46" s="306"/>
      <c r="FI46" s="306"/>
      <c r="FJ46" s="306"/>
      <c r="FK46" s="306"/>
      <c r="FL46" s="306"/>
      <c r="FM46" s="306"/>
      <c r="FN46" s="306"/>
      <c r="FO46" s="306"/>
      <c r="FP46" s="306"/>
      <c r="FQ46" s="307"/>
      <c r="FR46" s="325"/>
      <c r="FS46" s="308"/>
      <c r="FT46" s="308"/>
      <c r="FU46" s="308"/>
      <c r="FV46" s="259">
        <f t="shared" si="2"/>
        <v>0</v>
      </c>
    </row>
    <row r="47" spans="1:179" s="260" customFormat="1">
      <c r="A47" s="251" t="s">
        <v>393</v>
      </c>
      <c r="B47" s="251" t="s">
        <v>385</v>
      </c>
      <c r="C47" s="251" t="s">
        <v>411</v>
      </c>
      <c r="D47" s="251" t="s">
        <v>291</v>
      </c>
      <c r="E47" s="252" t="s">
        <v>831</v>
      </c>
      <c r="F47" s="251" t="s">
        <v>388</v>
      </c>
      <c r="G47" s="251" t="s">
        <v>1072</v>
      </c>
      <c r="H47" s="253"/>
      <c r="I47" s="255">
        <f>100-100</f>
        <v>0</v>
      </c>
      <c r="J47" s="253"/>
      <c r="K47" s="255">
        <f>100-100</f>
        <v>0</v>
      </c>
      <c r="L47" s="253"/>
      <c r="M47" s="253"/>
      <c r="N47" s="253"/>
      <c r="O47" s="253"/>
      <c r="P47" s="253"/>
      <c r="Q47" s="253"/>
      <c r="R47" s="253"/>
      <c r="S47" s="253"/>
      <c r="T47" s="253"/>
      <c r="U47" s="253"/>
      <c r="V47" s="253"/>
      <c r="W47" s="253"/>
      <c r="X47" s="253"/>
      <c r="Y47" s="253"/>
      <c r="Z47" s="253"/>
      <c r="AA47" s="253"/>
      <c r="AB47" s="253"/>
      <c r="AC47" s="253"/>
      <c r="AD47" s="253"/>
      <c r="AE47" s="253"/>
      <c r="AF47" s="253"/>
      <c r="AG47" s="253"/>
      <c r="AH47" s="253"/>
      <c r="AI47" s="253"/>
      <c r="AJ47" s="255">
        <f>100-100</f>
        <v>0</v>
      </c>
      <c r="AK47" s="253"/>
      <c r="AL47" s="253"/>
      <c r="AM47" s="253"/>
      <c r="AN47" s="253"/>
      <c r="AO47" s="253"/>
      <c r="AP47" s="253"/>
      <c r="AQ47" s="253"/>
      <c r="AR47" s="253"/>
      <c r="AS47" s="253"/>
      <c r="AT47" s="253"/>
      <c r="AU47" s="253"/>
      <c r="AV47" s="253"/>
      <c r="AW47" s="253"/>
      <c r="AX47" s="253"/>
      <c r="AY47" s="253"/>
      <c r="AZ47" s="253"/>
      <c r="BA47" s="253"/>
      <c r="BB47" s="253"/>
      <c r="BC47" s="253"/>
      <c r="BD47" s="253"/>
      <c r="BE47" s="253"/>
      <c r="BF47" s="253"/>
      <c r="BG47" s="255">
        <f>100-100+20-20</f>
        <v>0</v>
      </c>
      <c r="BH47" s="253"/>
      <c r="BI47" s="253"/>
      <c r="BJ47" s="253"/>
      <c r="BK47" s="253"/>
      <c r="BL47" s="253"/>
      <c r="BM47" s="253"/>
      <c r="BN47" s="253"/>
      <c r="BO47" s="253"/>
      <c r="BP47" s="253"/>
      <c r="BQ47" s="253"/>
      <c r="BR47" s="253"/>
      <c r="BS47" s="253"/>
      <c r="BT47" s="253"/>
      <c r="BU47" s="253"/>
      <c r="BV47" s="253"/>
      <c r="BW47" s="253"/>
      <c r="BX47" s="253"/>
      <c r="BY47" s="253"/>
      <c r="BZ47" s="253"/>
      <c r="CA47" s="253"/>
      <c r="CB47" s="253"/>
      <c r="CC47" s="253"/>
      <c r="CD47" s="253"/>
      <c r="CE47" s="253"/>
      <c r="CF47" s="253"/>
      <c r="CG47" s="253"/>
      <c r="CH47" s="253"/>
      <c r="CI47" s="253"/>
      <c r="CJ47" s="253"/>
      <c r="CK47" s="253"/>
      <c r="CL47" s="253"/>
      <c r="CM47" s="253"/>
      <c r="CN47" s="253"/>
      <c r="CO47" s="253"/>
      <c r="CP47" s="253"/>
      <c r="CQ47" s="253"/>
      <c r="CR47" s="253"/>
      <c r="CS47" s="253"/>
      <c r="CT47" s="253"/>
      <c r="CU47" s="253"/>
      <c r="CV47" s="253"/>
      <c r="CW47" s="253"/>
      <c r="CX47" s="253"/>
      <c r="CY47" s="253"/>
      <c r="CZ47" s="253"/>
      <c r="DA47" s="253"/>
      <c r="DB47" s="253"/>
      <c r="DC47" s="253"/>
      <c r="DD47" s="253"/>
      <c r="DE47" s="253"/>
      <c r="DF47" s="253"/>
      <c r="DG47" s="253"/>
      <c r="DH47" s="253"/>
      <c r="DI47" s="253"/>
      <c r="DJ47" s="253"/>
      <c r="DK47" s="253"/>
      <c r="DL47" s="253"/>
      <c r="DM47" s="253"/>
      <c r="DN47" s="253"/>
      <c r="DO47" s="253"/>
      <c r="DP47" s="253"/>
      <c r="DQ47" s="253"/>
      <c r="DR47" s="253"/>
      <c r="DS47" s="253"/>
      <c r="DT47" s="253"/>
      <c r="DU47" s="253"/>
      <c r="DV47" s="253"/>
      <c r="DW47" s="253"/>
      <c r="DX47" s="253"/>
      <c r="DY47" s="253"/>
      <c r="DZ47" s="253"/>
      <c r="EA47" s="253"/>
      <c r="EB47" s="253"/>
      <c r="EC47" s="253"/>
      <c r="ED47" s="253"/>
      <c r="EE47" s="253"/>
      <c r="EF47" s="253"/>
      <c r="EG47" s="253"/>
      <c r="EH47" s="253"/>
      <c r="EI47" s="253"/>
      <c r="EJ47" s="253"/>
      <c r="EK47" s="253"/>
      <c r="EL47" s="253"/>
      <c r="EM47" s="253"/>
      <c r="EN47" s="253"/>
      <c r="EO47" s="253"/>
      <c r="EP47" s="253"/>
      <c r="EQ47" s="253"/>
      <c r="ER47" s="253"/>
      <c r="ES47" s="253"/>
      <c r="ET47" s="253"/>
      <c r="EU47" s="253"/>
      <c r="EV47" s="253"/>
      <c r="EW47" s="253"/>
      <c r="EX47" s="253"/>
      <c r="EY47" s="253"/>
      <c r="EZ47" s="253"/>
      <c r="FA47" s="253"/>
      <c r="FB47" s="253"/>
      <c r="FC47" s="253"/>
      <c r="FD47" s="253"/>
      <c r="FE47" s="253"/>
      <c r="FF47" s="253"/>
      <c r="FG47" s="253"/>
      <c r="FH47" s="253"/>
      <c r="FI47" s="253"/>
      <c r="FJ47" s="253"/>
      <c r="FK47" s="253"/>
      <c r="FL47" s="253"/>
      <c r="FM47" s="253"/>
      <c r="FN47" s="253"/>
      <c r="FO47" s="253"/>
      <c r="FP47" s="253"/>
      <c r="FQ47" s="256"/>
      <c r="FR47" s="257" t="s">
        <v>1062</v>
      </c>
      <c r="FS47" s="258" t="s">
        <v>389</v>
      </c>
      <c r="FT47" s="258" t="s">
        <v>833</v>
      </c>
      <c r="FU47" s="258" t="s">
        <v>834</v>
      </c>
      <c r="FV47" s="259">
        <f t="shared" si="2"/>
        <v>0</v>
      </c>
      <c r="FW47" s="260" t="s">
        <v>433</v>
      </c>
    </row>
    <row r="48" spans="1:179" s="260" customFormat="1">
      <c r="A48" s="251" t="s">
        <v>393</v>
      </c>
      <c r="B48" s="251" t="s">
        <v>385</v>
      </c>
      <c r="C48" s="251" t="s">
        <v>411</v>
      </c>
      <c r="D48" s="251" t="s">
        <v>1</v>
      </c>
      <c r="E48" s="252" t="s">
        <v>831</v>
      </c>
      <c r="F48" s="251" t="s">
        <v>388</v>
      </c>
      <c r="G48" s="251" t="s">
        <v>1072</v>
      </c>
      <c r="H48" s="253"/>
      <c r="I48" s="253"/>
      <c r="J48" s="253"/>
      <c r="K48" s="253"/>
      <c r="L48" s="253"/>
      <c r="M48" s="253"/>
      <c r="N48" s="253"/>
      <c r="O48" s="253"/>
      <c r="P48" s="255">
        <f>100-100</f>
        <v>0</v>
      </c>
      <c r="Q48" s="253"/>
      <c r="R48" s="255">
        <f>100-100</f>
        <v>0</v>
      </c>
      <c r="S48" s="255">
        <f>100-100</f>
        <v>0</v>
      </c>
      <c r="T48" s="253"/>
      <c r="U48" s="253"/>
      <c r="V48" s="253"/>
      <c r="W48" s="253"/>
      <c r="X48" s="253"/>
      <c r="Y48" s="253"/>
      <c r="Z48" s="253"/>
      <c r="AA48" s="253"/>
      <c r="AB48" s="253"/>
      <c r="AC48" s="253"/>
      <c r="AD48" s="253"/>
      <c r="AE48" s="255">
        <f>100-100</f>
        <v>0</v>
      </c>
      <c r="AF48" s="254">
        <f>100-100+20</f>
        <v>20</v>
      </c>
      <c r="AG48" s="253"/>
      <c r="AH48" s="253"/>
      <c r="AI48" s="253"/>
      <c r="AJ48" s="253"/>
      <c r="AK48" s="253"/>
      <c r="AL48" s="253"/>
      <c r="AM48" s="253"/>
      <c r="AN48" s="255">
        <f>100-100</f>
        <v>0</v>
      </c>
      <c r="AO48" s="253"/>
      <c r="AP48" s="255">
        <f>100-100</f>
        <v>0</v>
      </c>
      <c r="AQ48" s="253"/>
      <c r="AR48" s="253"/>
      <c r="AS48" s="253"/>
      <c r="AT48" s="253"/>
      <c r="AU48" s="253"/>
      <c r="AV48" s="253"/>
      <c r="AW48" s="255">
        <f>100-100+40-40</f>
        <v>0</v>
      </c>
      <c r="AX48" s="253"/>
      <c r="AY48" s="253"/>
      <c r="AZ48" s="253"/>
      <c r="BA48" s="253"/>
      <c r="BB48" s="253"/>
      <c r="BC48" s="253"/>
      <c r="BD48" s="253"/>
      <c r="BE48" s="253"/>
      <c r="BF48" s="253"/>
      <c r="BG48" s="253"/>
      <c r="BH48" s="253"/>
      <c r="BI48" s="253"/>
      <c r="BJ48" s="253"/>
      <c r="BK48" s="253"/>
      <c r="BL48" s="253"/>
      <c r="BM48" s="253"/>
      <c r="BN48" s="253"/>
      <c r="BO48" s="253"/>
      <c r="BP48" s="253"/>
      <c r="BQ48" s="253"/>
      <c r="BR48" s="253"/>
      <c r="BS48" s="253"/>
      <c r="BT48" s="253"/>
      <c r="BU48" s="253"/>
      <c r="BV48" s="253"/>
      <c r="BW48" s="253"/>
      <c r="BX48" s="253"/>
      <c r="BY48" s="253"/>
      <c r="BZ48" s="253"/>
      <c r="CA48" s="253"/>
      <c r="CB48" s="253"/>
      <c r="CC48" s="253"/>
      <c r="CD48" s="253"/>
      <c r="CE48" s="253"/>
      <c r="CF48" s="253"/>
      <c r="CG48" s="253"/>
      <c r="CH48" s="253"/>
      <c r="CI48" s="253"/>
      <c r="CJ48" s="253"/>
      <c r="CK48" s="253"/>
      <c r="CL48" s="253"/>
      <c r="CM48" s="253"/>
      <c r="CN48" s="253"/>
      <c r="CO48" s="253"/>
      <c r="CP48" s="253"/>
      <c r="CQ48" s="253"/>
      <c r="CR48" s="253"/>
      <c r="CS48" s="253"/>
      <c r="CT48" s="253"/>
      <c r="CU48" s="253"/>
      <c r="CV48" s="253"/>
      <c r="CW48" s="253"/>
      <c r="CX48" s="253"/>
      <c r="CY48" s="253"/>
      <c r="CZ48" s="253"/>
      <c r="DA48" s="253"/>
      <c r="DB48" s="253"/>
      <c r="DC48" s="253"/>
      <c r="DD48" s="253"/>
      <c r="DE48" s="253"/>
      <c r="DF48" s="253"/>
      <c r="DG48" s="253"/>
      <c r="DH48" s="253"/>
      <c r="DI48" s="253"/>
      <c r="DJ48" s="253"/>
      <c r="DK48" s="253"/>
      <c r="DL48" s="253"/>
      <c r="DM48" s="253"/>
      <c r="DN48" s="253"/>
      <c r="DO48" s="253"/>
      <c r="DP48" s="253"/>
      <c r="DQ48" s="253"/>
      <c r="DR48" s="253"/>
      <c r="DS48" s="253"/>
      <c r="DT48" s="253"/>
      <c r="DU48" s="253"/>
      <c r="DV48" s="253"/>
      <c r="DW48" s="253"/>
      <c r="DX48" s="253"/>
      <c r="DY48" s="253"/>
      <c r="DZ48" s="253"/>
      <c r="EA48" s="253"/>
      <c r="EB48" s="253"/>
      <c r="EC48" s="253"/>
      <c r="ED48" s="253"/>
      <c r="EE48" s="253"/>
      <c r="EF48" s="253"/>
      <c r="EG48" s="253"/>
      <c r="EH48" s="253"/>
      <c r="EI48" s="255">
        <f>100-100</f>
        <v>0</v>
      </c>
      <c r="EJ48" s="255">
        <f>100-100</f>
        <v>0</v>
      </c>
      <c r="EK48" s="253"/>
      <c r="EL48" s="253"/>
      <c r="EM48" s="255">
        <f>100-100</f>
        <v>0</v>
      </c>
      <c r="EN48" s="253"/>
      <c r="EO48" s="253"/>
      <c r="EP48" s="255">
        <f>100-100</f>
        <v>0</v>
      </c>
      <c r="EQ48" s="253"/>
      <c r="ER48" s="255">
        <f>100-100</f>
        <v>0</v>
      </c>
      <c r="ES48" s="253"/>
      <c r="ET48" s="253"/>
      <c r="EU48" s="253"/>
      <c r="EV48" s="253"/>
      <c r="EW48" s="253"/>
      <c r="EX48" s="253"/>
      <c r="EY48" s="253"/>
      <c r="EZ48" s="253"/>
      <c r="FA48" s="253"/>
      <c r="FB48" s="253"/>
      <c r="FC48" s="253"/>
      <c r="FD48" s="253"/>
      <c r="FE48" s="253"/>
      <c r="FF48" s="253"/>
      <c r="FG48" s="253"/>
      <c r="FH48" s="253"/>
      <c r="FI48" s="253"/>
      <c r="FJ48" s="253"/>
      <c r="FK48" s="253"/>
      <c r="FL48" s="253"/>
      <c r="FM48" s="253"/>
      <c r="FN48" s="253"/>
      <c r="FO48" s="253"/>
      <c r="FP48" s="253"/>
      <c r="FQ48" s="256"/>
      <c r="FR48" s="257" t="s">
        <v>1062</v>
      </c>
      <c r="FS48" s="258" t="s">
        <v>389</v>
      </c>
      <c r="FT48" s="258" t="s">
        <v>833</v>
      </c>
      <c r="FU48" s="258" t="s">
        <v>834</v>
      </c>
      <c r="FV48" s="259">
        <f t="shared" si="2"/>
        <v>20</v>
      </c>
      <c r="FW48" s="260" t="s">
        <v>433</v>
      </c>
    </row>
    <row r="49" spans="1:179" s="260" customFormat="1">
      <c r="A49" s="251" t="s">
        <v>393</v>
      </c>
      <c r="B49" s="251" t="s">
        <v>385</v>
      </c>
      <c r="C49" s="251" t="s">
        <v>411</v>
      </c>
      <c r="D49" s="251" t="s">
        <v>291</v>
      </c>
      <c r="E49" s="252" t="s">
        <v>412</v>
      </c>
      <c r="F49" s="251" t="s">
        <v>388</v>
      </c>
      <c r="G49" s="251"/>
      <c r="H49" s="253"/>
      <c r="I49" s="253"/>
      <c r="J49" s="253"/>
      <c r="K49" s="253"/>
      <c r="L49" s="253"/>
      <c r="M49" s="253"/>
      <c r="N49" s="253"/>
      <c r="O49" s="253"/>
      <c r="P49" s="253"/>
      <c r="Q49" s="253"/>
      <c r="R49" s="253"/>
      <c r="S49" s="253"/>
      <c r="T49" s="253"/>
      <c r="U49" s="253"/>
      <c r="V49" s="253"/>
      <c r="W49" s="253"/>
      <c r="X49" s="253"/>
      <c r="Y49" s="253"/>
      <c r="Z49" s="253"/>
      <c r="AA49" s="253"/>
      <c r="AB49" s="253"/>
      <c r="AC49" s="253"/>
      <c r="AD49" s="253"/>
      <c r="AE49" s="253"/>
      <c r="AF49" s="253"/>
      <c r="AG49" s="253"/>
      <c r="AH49" s="255">
        <f>200-200</f>
        <v>0</v>
      </c>
      <c r="AI49" s="253"/>
      <c r="AJ49" s="255">
        <f>200-200</f>
        <v>0</v>
      </c>
      <c r="AK49" s="253"/>
      <c r="AL49" s="253"/>
      <c r="AM49" s="253"/>
      <c r="AN49" s="253"/>
      <c r="AO49" s="253"/>
      <c r="AP49" s="253"/>
      <c r="AQ49" s="253"/>
      <c r="AR49" s="253"/>
      <c r="AS49" s="255">
        <f>200-200</f>
        <v>0</v>
      </c>
      <c r="AT49" s="255">
        <f>200-200</f>
        <v>0</v>
      </c>
      <c r="AU49" s="253"/>
      <c r="AV49" s="253"/>
      <c r="AW49" s="253"/>
      <c r="AX49" s="253"/>
      <c r="AY49" s="253"/>
      <c r="AZ49" s="253"/>
      <c r="BA49" s="253"/>
      <c r="BB49" s="253"/>
      <c r="BC49" s="253"/>
      <c r="BD49" s="253"/>
      <c r="BE49" s="253"/>
      <c r="BF49" s="253"/>
      <c r="BG49" s="255">
        <f>1000-1000+20-20</f>
        <v>0</v>
      </c>
      <c r="BH49" s="253"/>
      <c r="BI49" s="253"/>
      <c r="BJ49" s="253"/>
      <c r="BK49" s="253"/>
      <c r="BL49" s="253"/>
      <c r="BM49" s="253"/>
      <c r="BN49" s="253"/>
      <c r="BO49" s="253"/>
      <c r="BP49" s="253"/>
      <c r="BQ49" s="253"/>
      <c r="BR49" s="253"/>
      <c r="BS49" s="253"/>
      <c r="BT49" s="253"/>
      <c r="BU49" s="253"/>
      <c r="BV49" s="253"/>
      <c r="BW49" s="253"/>
      <c r="BX49" s="253"/>
      <c r="BY49" s="253"/>
      <c r="BZ49" s="253"/>
      <c r="CA49" s="253"/>
      <c r="CB49" s="253"/>
      <c r="CC49" s="253"/>
      <c r="CD49" s="253"/>
      <c r="CE49" s="253"/>
      <c r="CF49" s="253"/>
      <c r="CG49" s="253"/>
      <c r="CH49" s="253"/>
      <c r="CI49" s="253"/>
      <c r="CJ49" s="253"/>
      <c r="CK49" s="253"/>
      <c r="CL49" s="253"/>
      <c r="CM49" s="253"/>
      <c r="CN49" s="253"/>
      <c r="CO49" s="253"/>
      <c r="CP49" s="253"/>
      <c r="CQ49" s="253"/>
      <c r="CR49" s="253"/>
      <c r="CS49" s="253"/>
      <c r="CT49" s="253"/>
      <c r="CU49" s="253"/>
      <c r="CV49" s="253"/>
      <c r="CW49" s="253"/>
      <c r="CX49" s="253"/>
      <c r="CY49" s="253"/>
      <c r="CZ49" s="253"/>
      <c r="DA49" s="253"/>
      <c r="DB49" s="253"/>
      <c r="DC49" s="253"/>
      <c r="DD49" s="253"/>
      <c r="DE49" s="253"/>
      <c r="DF49" s="253"/>
      <c r="DG49" s="253"/>
      <c r="DH49" s="253"/>
      <c r="DI49" s="253"/>
      <c r="DJ49" s="253"/>
      <c r="DK49" s="253"/>
      <c r="DL49" s="253"/>
      <c r="DM49" s="253"/>
      <c r="DN49" s="253"/>
      <c r="DO49" s="253"/>
      <c r="DP49" s="253"/>
      <c r="DQ49" s="253"/>
      <c r="DR49" s="253"/>
      <c r="DS49" s="253"/>
      <c r="DT49" s="253"/>
      <c r="DU49" s="253"/>
      <c r="DV49" s="253"/>
      <c r="DW49" s="253"/>
      <c r="DX49" s="253"/>
      <c r="DY49" s="253"/>
      <c r="DZ49" s="253"/>
      <c r="EA49" s="253"/>
      <c r="EB49" s="253"/>
      <c r="EC49" s="253"/>
      <c r="ED49" s="253"/>
      <c r="EE49" s="253"/>
      <c r="EF49" s="253"/>
      <c r="EG49" s="253"/>
      <c r="EH49" s="253"/>
      <c r="EI49" s="253"/>
      <c r="EJ49" s="253"/>
      <c r="EK49" s="253"/>
      <c r="EL49" s="253"/>
      <c r="EM49" s="253"/>
      <c r="EN49" s="253"/>
      <c r="EO49" s="253"/>
      <c r="EP49" s="253"/>
      <c r="EQ49" s="253"/>
      <c r="ER49" s="253"/>
      <c r="ES49" s="253"/>
      <c r="ET49" s="253"/>
      <c r="EU49" s="253"/>
      <c r="EV49" s="253"/>
      <c r="EW49" s="253"/>
      <c r="EX49" s="253"/>
      <c r="EY49" s="253"/>
      <c r="EZ49" s="253"/>
      <c r="FA49" s="253"/>
      <c r="FB49" s="253"/>
      <c r="FC49" s="253"/>
      <c r="FD49" s="253"/>
      <c r="FE49" s="253"/>
      <c r="FF49" s="253"/>
      <c r="FG49" s="253"/>
      <c r="FH49" s="253"/>
      <c r="FI49" s="253"/>
      <c r="FJ49" s="253"/>
      <c r="FK49" s="253"/>
      <c r="FL49" s="253"/>
      <c r="FM49" s="253"/>
      <c r="FN49" s="253"/>
      <c r="FO49" s="253"/>
      <c r="FP49" s="253"/>
      <c r="FQ49" s="256"/>
      <c r="FR49" s="257" t="s">
        <v>1062</v>
      </c>
      <c r="FS49" s="258" t="s">
        <v>389</v>
      </c>
      <c r="FT49" s="258"/>
      <c r="FU49" s="258" t="s">
        <v>413</v>
      </c>
      <c r="FV49" s="259">
        <f t="shared" si="2"/>
        <v>0</v>
      </c>
      <c r="FW49" s="260" t="s">
        <v>414</v>
      </c>
    </row>
    <row r="50" spans="1:179" s="260" customFormat="1">
      <c r="A50" s="251" t="s">
        <v>393</v>
      </c>
      <c r="B50" s="251" t="s">
        <v>385</v>
      </c>
      <c r="C50" s="251" t="s">
        <v>411</v>
      </c>
      <c r="D50" s="251" t="s">
        <v>1</v>
      </c>
      <c r="E50" s="252" t="s">
        <v>412</v>
      </c>
      <c r="F50" s="251" t="s">
        <v>388</v>
      </c>
      <c r="G50" s="251"/>
      <c r="H50" s="253"/>
      <c r="I50" s="253"/>
      <c r="J50" s="253"/>
      <c r="K50" s="253"/>
      <c r="L50" s="253"/>
      <c r="M50" s="253"/>
      <c r="N50" s="253"/>
      <c r="O50" s="253"/>
      <c r="P50" s="255">
        <f>100-100</f>
        <v>0</v>
      </c>
      <c r="Q50" s="253"/>
      <c r="R50" s="255">
        <f>100-100</f>
        <v>0</v>
      </c>
      <c r="S50" s="253"/>
      <c r="T50" s="253"/>
      <c r="U50" s="253"/>
      <c r="V50" s="253"/>
      <c r="W50" s="253"/>
      <c r="X50" s="255">
        <f>200-200</f>
        <v>0</v>
      </c>
      <c r="Y50" s="253"/>
      <c r="Z50" s="253"/>
      <c r="AA50" s="255">
        <f>300-300</f>
        <v>0</v>
      </c>
      <c r="AB50" s="253"/>
      <c r="AC50" s="255">
        <f>300-300</f>
        <v>0</v>
      </c>
      <c r="AD50" s="253"/>
      <c r="AE50" s="255">
        <f>200-200</f>
        <v>0</v>
      </c>
      <c r="AF50" s="255">
        <f>200-200</f>
        <v>0</v>
      </c>
      <c r="AG50" s="253"/>
      <c r="AH50" s="253"/>
      <c r="AI50" s="253"/>
      <c r="AJ50" s="253"/>
      <c r="AK50" s="253"/>
      <c r="AL50" s="255">
        <f>200-200</f>
        <v>0</v>
      </c>
      <c r="AM50" s="253"/>
      <c r="AN50" s="255">
        <f>200-200</f>
        <v>0</v>
      </c>
      <c r="AO50" s="253"/>
      <c r="AP50" s="255">
        <f>200-200</f>
        <v>0</v>
      </c>
      <c r="AQ50" s="253"/>
      <c r="AR50" s="253"/>
      <c r="AS50" s="253"/>
      <c r="AT50" s="253"/>
      <c r="AU50" s="253"/>
      <c r="AV50" s="253"/>
      <c r="AW50" s="255">
        <f>400-400+20-20</f>
        <v>0</v>
      </c>
      <c r="AX50" s="253"/>
      <c r="AY50" s="253"/>
      <c r="AZ50" s="253"/>
      <c r="BA50" s="253"/>
      <c r="BB50" s="253"/>
      <c r="BC50" s="253"/>
      <c r="BD50" s="253"/>
      <c r="BE50" s="253"/>
      <c r="BF50" s="253"/>
      <c r="BG50" s="253"/>
      <c r="BH50" s="253"/>
      <c r="BI50" s="253"/>
      <c r="BJ50" s="253"/>
      <c r="BK50" s="253"/>
      <c r="BL50" s="253"/>
      <c r="BM50" s="253"/>
      <c r="BN50" s="253"/>
      <c r="BO50" s="253"/>
      <c r="BP50" s="253"/>
      <c r="BQ50" s="253"/>
      <c r="BR50" s="253"/>
      <c r="BS50" s="253"/>
      <c r="BT50" s="253"/>
      <c r="BU50" s="253"/>
      <c r="BV50" s="253"/>
      <c r="BW50" s="253"/>
      <c r="BX50" s="253"/>
      <c r="BY50" s="253"/>
      <c r="BZ50" s="253"/>
      <c r="CA50" s="253"/>
      <c r="CB50" s="253"/>
      <c r="CC50" s="253"/>
      <c r="CD50" s="253"/>
      <c r="CE50" s="253"/>
      <c r="CF50" s="253"/>
      <c r="CG50" s="253"/>
      <c r="CH50" s="253"/>
      <c r="CI50" s="253"/>
      <c r="CJ50" s="253"/>
      <c r="CK50" s="253"/>
      <c r="CL50" s="253"/>
      <c r="CM50" s="253"/>
      <c r="CN50" s="253"/>
      <c r="CO50" s="253"/>
      <c r="CP50" s="253"/>
      <c r="CQ50" s="253"/>
      <c r="CR50" s="253"/>
      <c r="CS50" s="253"/>
      <c r="CT50" s="253"/>
      <c r="CU50" s="253"/>
      <c r="CV50" s="253"/>
      <c r="CW50" s="253"/>
      <c r="CX50" s="253"/>
      <c r="CY50" s="253"/>
      <c r="CZ50" s="253"/>
      <c r="DA50" s="253"/>
      <c r="DB50" s="253"/>
      <c r="DC50" s="253"/>
      <c r="DD50" s="253"/>
      <c r="DE50" s="253"/>
      <c r="DF50" s="253"/>
      <c r="DG50" s="253"/>
      <c r="DH50" s="253"/>
      <c r="DI50" s="253"/>
      <c r="DJ50" s="253"/>
      <c r="DK50" s="253"/>
      <c r="DL50" s="253"/>
      <c r="DM50" s="253"/>
      <c r="DN50" s="253"/>
      <c r="DO50" s="253"/>
      <c r="DP50" s="253"/>
      <c r="DQ50" s="253"/>
      <c r="DR50" s="253"/>
      <c r="DS50" s="253"/>
      <c r="DT50" s="253"/>
      <c r="DU50" s="253"/>
      <c r="DV50" s="253"/>
      <c r="DW50" s="253"/>
      <c r="DX50" s="253"/>
      <c r="DY50" s="253"/>
      <c r="DZ50" s="253"/>
      <c r="EA50" s="253"/>
      <c r="EB50" s="253"/>
      <c r="EC50" s="253"/>
      <c r="ED50" s="253"/>
      <c r="EE50" s="255">
        <f>100-100</f>
        <v>0</v>
      </c>
      <c r="EF50" s="253"/>
      <c r="EG50" s="253"/>
      <c r="EH50" s="253"/>
      <c r="EI50" s="255">
        <f>100-100</f>
        <v>0</v>
      </c>
      <c r="EJ50" s="253"/>
      <c r="EK50" s="253"/>
      <c r="EL50" s="253"/>
      <c r="EM50" s="255">
        <f>100-100</f>
        <v>0</v>
      </c>
      <c r="EN50" s="253"/>
      <c r="EO50" s="253"/>
      <c r="EP50" s="253"/>
      <c r="EQ50" s="253"/>
      <c r="ER50" s="255">
        <f>100-100</f>
        <v>0</v>
      </c>
      <c r="ES50" s="253"/>
      <c r="ET50" s="253"/>
      <c r="EU50" s="253"/>
      <c r="EV50" s="253"/>
      <c r="EW50" s="253"/>
      <c r="EX50" s="253"/>
      <c r="EY50" s="253"/>
      <c r="EZ50" s="253"/>
      <c r="FA50" s="253"/>
      <c r="FB50" s="253"/>
      <c r="FC50" s="253"/>
      <c r="FD50" s="253"/>
      <c r="FE50" s="253"/>
      <c r="FF50" s="253"/>
      <c r="FG50" s="253"/>
      <c r="FH50" s="253"/>
      <c r="FI50" s="253"/>
      <c r="FJ50" s="253"/>
      <c r="FK50" s="253"/>
      <c r="FL50" s="253"/>
      <c r="FM50" s="253"/>
      <c r="FN50" s="253"/>
      <c r="FO50" s="253"/>
      <c r="FP50" s="253"/>
      <c r="FQ50" s="256"/>
      <c r="FR50" s="257" t="s">
        <v>1062</v>
      </c>
      <c r="FS50" s="258" t="s">
        <v>389</v>
      </c>
      <c r="FT50" s="258"/>
      <c r="FU50" s="258" t="s">
        <v>413</v>
      </c>
      <c r="FV50" s="259">
        <f t="shared" si="2"/>
        <v>0</v>
      </c>
      <c r="FW50" s="260" t="s">
        <v>414</v>
      </c>
    </row>
    <row r="51" spans="1:179" s="260" customFormat="1">
      <c r="A51" s="251" t="s">
        <v>393</v>
      </c>
      <c r="B51" s="251" t="s">
        <v>385</v>
      </c>
      <c r="C51" s="251" t="s">
        <v>411</v>
      </c>
      <c r="D51" s="251" t="s">
        <v>291</v>
      </c>
      <c r="E51" s="252" t="s">
        <v>897</v>
      </c>
      <c r="F51" s="251" t="s">
        <v>388</v>
      </c>
      <c r="G51" s="251" t="s">
        <v>1073</v>
      </c>
      <c r="H51" s="253"/>
      <c r="I51" s="253"/>
      <c r="J51" s="253"/>
      <c r="K51" s="253"/>
      <c r="L51" s="253"/>
      <c r="M51" s="253"/>
      <c r="N51" s="253"/>
      <c r="O51" s="253"/>
      <c r="P51" s="253"/>
      <c r="Q51" s="253"/>
      <c r="R51" s="253"/>
      <c r="S51" s="253"/>
      <c r="T51" s="253"/>
      <c r="U51" s="253"/>
      <c r="V51" s="253"/>
      <c r="W51" s="253"/>
      <c r="X51" s="253"/>
      <c r="Y51" s="253"/>
      <c r="Z51" s="253"/>
      <c r="AA51" s="253"/>
      <c r="AB51" s="253"/>
      <c r="AC51" s="253"/>
      <c r="AD51" s="253"/>
      <c r="AE51" s="253"/>
      <c r="AF51" s="253"/>
      <c r="AG51" s="253"/>
      <c r="AH51" s="255">
        <f>200-200</f>
        <v>0</v>
      </c>
      <c r="AI51" s="253"/>
      <c r="AJ51" s="253"/>
      <c r="AK51" s="255">
        <f>200-200</f>
        <v>0</v>
      </c>
      <c r="AL51" s="253"/>
      <c r="AM51" s="253"/>
      <c r="AN51" s="253"/>
      <c r="AO51" s="253"/>
      <c r="AP51" s="253"/>
      <c r="AQ51" s="253"/>
      <c r="AR51" s="253"/>
      <c r="AS51" s="253"/>
      <c r="AT51" s="253"/>
      <c r="AU51" s="253"/>
      <c r="AV51" s="253"/>
      <c r="AW51" s="253"/>
      <c r="AX51" s="253"/>
      <c r="AY51" s="253"/>
      <c r="AZ51" s="253"/>
      <c r="BA51" s="253"/>
      <c r="BB51" s="253"/>
      <c r="BC51" s="253"/>
      <c r="BD51" s="253"/>
      <c r="BE51" s="253"/>
      <c r="BF51" s="253"/>
      <c r="BG51" s="255">
        <f>200-200+20-20</f>
        <v>0</v>
      </c>
      <c r="BH51" s="253"/>
      <c r="BI51" s="253"/>
      <c r="BJ51" s="253"/>
      <c r="BK51" s="253"/>
      <c r="BL51" s="253"/>
      <c r="BM51" s="253"/>
      <c r="BN51" s="253"/>
      <c r="BO51" s="253"/>
      <c r="BP51" s="253"/>
      <c r="BQ51" s="253"/>
      <c r="BR51" s="253"/>
      <c r="BS51" s="253"/>
      <c r="BT51" s="253"/>
      <c r="BU51" s="253"/>
      <c r="BV51" s="253"/>
      <c r="BW51" s="253"/>
      <c r="BX51" s="253"/>
      <c r="BY51" s="253"/>
      <c r="BZ51" s="253"/>
      <c r="CA51" s="253"/>
      <c r="CB51" s="253"/>
      <c r="CC51" s="253"/>
      <c r="CD51" s="253"/>
      <c r="CE51" s="253"/>
      <c r="CF51" s="253"/>
      <c r="CG51" s="253"/>
      <c r="CH51" s="253"/>
      <c r="CI51" s="253"/>
      <c r="CJ51" s="253"/>
      <c r="CK51" s="253"/>
      <c r="CL51" s="253"/>
      <c r="CM51" s="253"/>
      <c r="CN51" s="253"/>
      <c r="CO51" s="253"/>
      <c r="CP51" s="253"/>
      <c r="CQ51" s="253"/>
      <c r="CR51" s="253"/>
      <c r="CS51" s="253"/>
      <c r="CT51" s="253"/>
      <c r="CU51" s="253"/>
      <c r="CV51" s="253"/>
      <c r="CW51" s="253"/>
      <c r="CX51" s="253"/>
      <c r="CY51" s="253"/>
      <c r="CZ51" s="253"/>
      <c r="DA51" s="253"/>
      <c r="DB51" s="253"/>
      <c r="DC51" s="253"/>
      <c r="DD51" s="253"/>
      <c r="DE51" s="253"/>
      <c r="DF51" s="253"/>
      <c r="DG51" s="253"/>
      <c r="DH51" s="253"/>
      <c r="DI51" s="253"/>
      <c r="DJ51" s="253"/>
      <c r="DK51" s="253"/>
      <c r="DL51" s="253"/>
      <c r="DM51" s="253"/>
      <c r="DN51" s="253"/>
      <c r="DO51" s="253"/>
      <c r="DP51" s="253"/>
      <c r="DQ51" s="253"/>
      <c r="DR51" s="253"/>
      <c r="DS51" s="253"/>
      <c r="DT51" s="253"/>
      <c r="DU51" s="253"/>
      <c r="DV51" s="253"/>
      <c r="DW51" s="253"/>
      <c r="DX51" s="253"/>
      <c r="DY51" s="253"/>
      <c r="DZ51" s="253"/>
      <c r="EA51" s="253"/>
      <c r="EB51" s="253"/>
      <c r="EC51" s="253"/>
      <c r="ED51" s="253"/>
      <c r="EE51" s="253"/>
      <c r="EF51" s="253"/>
      <c r="EG51" s="253"/>
      <c r="EH51" s="253"/>
      <c r="EI51" s="253"/>
      <c r="EJ51" s="253"/>
      <c r="EK51" s="253"/>
      <c r="EL51" s="253"/>
      <c r="EM51" s="253"/>
      <c r="EN51" s="253"/>
      <c r="EO51" s="253"/>
      <c r="EP51" s="253"/>
      <c r="EQ51" s="253"/>
      <c r="ER51" s="253"/>
      <c r="ES51" s="253"/>
      <c r="ET51" s="253"/>
      <c r="EU51" s="253"/>
      <c r="EV51" s="253"/>
      <c r="EW51" s="253"/>
      <c r="EX51" s="253"/>
      <c r="EY51" s="253"/>
      <c r="EZ51" s="253"/>
      <c r="FA51" s="253"/>
      <c r="FB51" s="253"/>
      <c r="FC51" s="253"/>
      <c r="FD51" s="253"/>
      <c r="FE51" s="253"/>
      <c r="FF51" s="253"/>
      <c r="FG51" s="253"/>
      <c r="FH51" s="253"/>
      <c r="FI51" s="253"/>
      <c r="FJ51" s="253"/>
      <c r="FK51" s="253"/>
      <c r="FL51" s="253"/>
      <c r="FM51" s="253"/>
      <c r="FN51" s="253"/>
      <c r="FO51" s="253"/>
      <c r="FP51" s="253"/>
      <c r="FQ51" s="256"/>
      <c r="FR51" s="257" t="s">
        <v>1062</v>
      </c>
      <c r="FS51" s="258" t="s">
        <v>389</v>
      </c>
      <c r="FT51" s="258" t="s">
        <v>899</v>
      </c>
      <c r="FU51" s="258" t="s">
        <v>900</v>
      </c>
      <c r="FV51" s="259">
        <f t="shared" si="2"/>
        <v>0</v>
      </c>
      <c r="FW51" s="260" t="s">
        <v>421</v>
      </c>
    </row>
    <row r="52" spans="1:179" s="260" customFormat="1">
      <c r="A52" s="251" t="s">
        <v>393</v>
      </c>
      <c r="B52" s="251" t="s">
        <v>385</v>
      </c>
      <c r="C52" s="251" t="s">
        <v>411</v>
      </c>
      <c r="D52" s="251" t="s">
        <v>1</v>
      </c>
      <c r="E52" s="252" t="s">
        <v>897</v>
      </c>
      <c r="F52" s="251" t="s">
        <v>388</v>
      </c>
      <c r="G52" s="251" t="s">
        <v>1073</v>
      </c>
      <c r="H52" s="253"/>
      <c r="I52" s="253"/>
      <c r="J52" s="253"/>
      <c r="K52" s="253"/>
      <c r="L52" s="253"/>
      <c r="M52" s="253"/>
      <c r="N52" s="253"/>
      <c r="O52" s="253"/>
      <c r="P52" s="253"/>
      <c r="Q52" s="253"/>
      <c r="R52" s="253"/>
      <c r="S52" s="253"/>
      <c r="T52" s="253"/>
      <c r="U52" s="253"/>
      <c r="V52" s="253"/>
      <c r="W52" s="253"/>
      <c r="X52" s="253"/>
      <c r="Y52" s="253"/>
      <c r="Z52" s="253"/>
      <c r="AA52" s="253"/>
      <c r="AB52" s="253"/>
      <c r="AC52" s="253"/>
      <c r="AD52" s="253"/>
      <c r="AE52" s="253"/>
      <c r="AF52" s="253"/>
      <c r="AG52" s="253"/>
      <c r="AH52" s="253"/>
      <c r="AI52" s="253"/>
      <c r="AJ52" s="253"/>
      <c r="AK52" s="253"/>
      <c r="AL52" s="253"/>
      <c r="AM52" s="253"/>
      <c r="AN52" s="253"/>
      <c r="AO52" s="253"/>
      <c r="AP52" s="253"/>
      <c r="AQ52" s="253"/>
      <c r="AR52" s="253"/>
      <c r="AS52" s="253"/>
      <c r="AT52" s="253"/>
      <c r="AU52" s="253"/>
      <c r="AV52" s="253"/>
      <c r="AW52" s="255">
        <f>200-200+40-40</f>
        <v>0</v>
      </c>
      <c r="AX52" s="253"/>
      <c r="AY52" s="253"/>
      <c r="AZ52" s="253"/>
      <c r="BA52" s="253"/>
      <c r="BB52" s="253"/>
      <c r="BC52" s="255">
        <f>200-200+20</f>
        <v>20</v>
      </c>
      <c r="BD52" s="253"/>
      <c r="BE52" s="253"/>
      <c r="BF52" s="253"/>
      <c r="BG52" s="253"/>
      <c r="BH52" s="253"/>
      <c r="BI52" s="253"/>
      <c r="BJ52" s="253"/>
      <c r="BK52" s="253"/>
      <c r="BL52" s="253"/>
      <c r="BM52" s="253"/>
      <c r="BN52" s="253"/>
      <c r="BO52" s="253"/>
      <c r="BP52" s="253"/>
      <c r="BQ52" s="253"/>
      <c r="BR52" s="253"/>
      <c r="BS52" s="253"/>
      <c r="BT52" s="253"/>
      <c r="BU52" s="253"/>
      <c r="BV52" s="253"/>
      <c r="BW52" s="253"/>
      <c r="BX52" s="253"/>
      <c r="BY52" s="253"/>
      <c r="BZ52" s="253"/>
      <c r="CA52" s="253"/>
      <c r="CB52" s="253"/>
      <c r="CC52" s="253"/>
      <c r="CD52" s="253"/>
      <c r="CE52" s="253"/>
      <c r="CF52" s="253"/>
      <c r="CG52" s="253"/>
      <c r="CH52" s="253"/>
      <c r="CI52" s="253"/>
      <c r="CJ52" s="253"/>
      <c r="CK52" s="253"/>
      <c r="CL52" s="253"/>
      <c r="CM52" s="253"/>
      <c r="CN52" s="253"/>
      <c r="CO52" s="253"/>
      <c r="CP52" s="253"/>
      <c r="CQ52" s="253"/>
      <c r="CR52" s="253"/>
      <c r="CS52" s="253"/>
      <c r="CT52" s="253"/>
      <c r="CU52" s="253"/>
      <c r="CV52" s="253"/>
      <c r="CW52" s="253"/>
      <c r="CX52" s="253"/>
      <c r="CY52" s="253"/>
      <c r="CZ52" s="253"/>
      <c r="DA52" s="253"/>
      <c r="DB52" s="253"/>
      <c r="DC52" s="253"/>
      <c r="DD52" s="253"/>
      <c r="DE52" s="253"/>
      <c r="DF52" s="253"/>
      <c r="DG52" s="253"/>
      <c r="DH52" s="253"/>
      <c r="DI52" s="253"/>
      <c r="DJ52" s="253"/>
      <c r="DK52" s="253"/>
      <c r="DL52" s="253"/>
      <c r="DM52" s="253"/>
      <c r="DN52" s="253"/>
      <c r="DO52" s="253"/>
      <c r="DP52" s="253"/>
      <c r="DQ52" s="253"/>
      <c r="DR52" s="253"/>
      <c r="DS52" s="253"/>
      <c r="DT52" s="253"/>
      <c r="DU52" s="253"/>
      <c r="DV52" s="253"/>
      <c r="DW52" s="253"/>
      <c r="DX52" s="253"/>
      <c r="DY52" s="253"/>
      <c r="DZ52" s="253"/>
      <c r="EA52" s="253"/>
      <c r="EB52" s="253"/>
      <c r="EC52" s="253"/>
      <c r="ED52" s="253"/>
      <c r="EE52" s="253"/>
      <c r="EF52" s="253"/>
      <c r="EG52" s="253"/>
      <c r="EH52" s="253"/>
      <c r="EI52" s="253"/>
      <c r="EJ52" s="253"/>
      <c r="EK52" s="253"/>
      <c r="EL52" s="253"/>
      <c r="EM52" s="253"/>
      <c r="EN52" s="253"/>
      <c r="EO52" s="253"/>
      <c r="EP52" s="253"/>
      <c r="EQ52" s="253"/>
      <c r="ER52" s="253"/>
      <c r="ES52" s="253"/>
      <c r="ET52" s="253"/>
      <c r="EU52" s="253"/>
      <c r="EV52" s="253"/>
      <c r="EW52" s="253"/>
      <c r="EX52" s="253"/>
      <c r="EY52" s="253"/>
      <c r="EZ52" s="253"/>
      <c r="FA52" s="253"/>
      <c r="FB52" s="253"/>
      <c r="FC52" s="253"/>
      <c r="FD52" s="253"/>
      <c r="FE52" s="253"/>
      <c r="FF52" s="253"/>
      <c r="FG52" s="253"/>
      <c r="FH52" s="253"/>
      <c r="FI52" s="253"/>
      <c r="FJ52" s="253"/>
      <c r="FK52" s="253"/>
      <c r="FL52" s="253"/>
      <c r="FM52" s="253"/>
      <c r="FN52" s="253"/>
      <c r="FO52" s="253"/>
      <c r="FP52" s="253"/>
      <c r="FQ52" s="256"/>
      <c r="FR52" s="257" t="s">
        <v>1062</v>
      </c>
      <c r="FS52" s="258" t="s">
        <v>389</v>
      </c>
      <c r="FT52" s="258" t="s">
        <v>899</v>
      </c>
      <c r="FU52" s="258" t="s">
        <v>900</v>
      </c>
      <c r="FV52" s="259">
        <f t="shared" si="2"/>
        <v>20</v>
      </c>
      <c r="FW52" s="260" t="s">
        <v>421</v>
      </c>
    </row>
    <row r="53" spans="1:179" s="260" customFormat="1">
      <c r="A53" s="251" t="s">
        <v>393</v>
      </c>
      <c r="B53" s="251" t="s">
        <v>392</v>
      </c>
      <c r="C53" s="251" t="s">
        <v>411</v>
      </c>
      <c r="D53" s="251" t="s">
        <v>291</v>
      </c>
      <c r="E53" s="252" t="s">
        <v>904</v>
      </c>
      <c r="F53" s="251" t="s">
        <v>388</v>
      </c>
      <c r="G53" s="251" t="s">
        <v>1074</v>
      </c>
      <c r="H53" s="253"/>
      <c r="I53" s="253"/>
      <c r="J53" s="253"/>
      <c r="K53" s="253"/>
      <c r="L53" s="253"/>
      <c r="M53" s="253"/>
      <c r="N53" s="253"/>
      <c r="O53" s="253"/>
      <c r="P53" s="253"/>
      <c r="Q53" s="253"/>
      <c r="R53" s="253"/>
      <c r="S53" s="253"/>
      <c r="T53" s="255">
        <f>50-50</f>
        <v>0</v>
      </c>
      <c r="U53" s="253"/>
      <c r="V53" s="253"/>
      <c r="W53" s="253"/>
      <c r="X53" s="253"/>
      <c r="Y53" s="253"/>
      <c r="Z53" s="253"/>
      <c r="AA53" s="253"/>
      <c r="AB53" s="253"/>
      <c r="AC53" s="253"/>
      <c r="AD53" s="253"/>
      <c r="AE53" s="253"/>
      <c r="AF53" s="253"/>
      <c r="AG53" s="253"/>
      <c r="AH53" s="253"/>
      <c r="AI53" s="253"/>
      <c r="AJ53" s="255">
        <f>40-40</f>
        <v>0</v>
      </c>
      <c r="AK53" s="255">
        <f>200-200</f>
        <v>0</v>
      </c>
      <c r="AL53" s="253"/>
      <c r="AM53" s="253"/>
      <c r="AN53" s="253"/>
      <c r="AO53" s="253"/>
      <c r="AP53" s="253"/>
      <c r="AQ53" s="253"/>
      <c r="AR53" s="253"/>
      <c r="AS53" s="255">
        <f>150-150</f>
        <v>0</v>
      </c>
      <c r="AT53" s="253"/>
      <c r="AU53" s="253"/>
      <c r="AV53" s="253"/>
      <c r="AW53" s="253"/>
      <c r="AX53" s="253"/>
      <c r="AY53" s="253"/>
      <c r="AZ53" s="253"/>
      <c r="BA53" s="255">
        <f>30-30</f>
        <v>0</v>
      </c>
      <c r="BB53" s="253"/>
      <c r="BC53" s="253"/>
      <c r="BD53" s="253"/>
      <c r="BE53" s="253"/>
      <c r="BF53" s="253"/>
      <c r="BG53" s="253"/>
      <c r="BH53" s="253"/>
      <c r="BI53" s="253"/>
      <c r="BJ53" s="253"/>
      <c r="BK53" s="253"/>
      <c r="BL53" s="253"/>
      <c r="BM53" s="253"/>
      <c r="BN53" s="253"/>
      <c r="BO53" s="253"/>
      <c r="BP53" s="253"/>
      <c r="BQ53" s="253"/>
      <c r="BR53" s="253"/>
      <c r="BS53" s="253"/>
      <c r="BT53" s="253"/>
      <c r="BU53" s="253"/>
      <c r="BV53" s="253"/>
      <c r="BW53" s="253"/>
      <c r="BX53" s="253"/>
      <c r="BY53" s="253"/>
      <c r="BZ53" s="253"/>
      <c r="CA53" s="253"/>
      <c r="CB53" s="253"/>
      <c r="CC53" s="253"/>
      <c r="CD53" s="253"/>
      <c r="CE53" s="253"/>
      <c r="CF53" s="253"/>
      <c r="CG53" s="253"/>
      <c r="CH53" s="253"/>
      <c r="CI53" s="253"/>
      <c r="CJ53" s="253"/>
      <c r="CK53" s="253"/>
      <c r="CL53" s="253"/>
      <c r="CM53" s="253"/>
      <c r="CN53" s="253"/>
      <c r="CO53" s="253"/>
      <c r="CP53" s="253"/>
      <c r="CQ53" s="253"/>
      <c r="CR53" s="253"/>
      <c r="CS53" s="253"/>
      <c r="CT53" s="253"/>
      <c r="CU53" s="253"/>
      <c r="CV53" s="253"/>
      <c r="CW53" s="253"/>
      <c r="CX53" s="253"/>
      <c r="CY53" s="253"/>
      <c r="CZ53" s="253"/>
      <c r="DA53" s="253"/>
      <c r="DB53" s="253"/>
      <c r="DC53" s="253"/>
      <c r="DD53" s="253"/>
      <c r="DE53" s="253"/>
      <c r="DF53" s="253"/>
      <c r="DG53" s="253"/>
      <c r="DH53" s="253"/>
      <c r="DI53" s="253"/>
      <c r="DJ53" s="253"/>
      <c r="DK53" s="253"/>
      <c r="DL53" s="253"/>
      <c r="DM53" s="253"/>
      <c r="DN53" s="253"/>
      <c r="DO53" s="253"/>
      <c r="DP53" s="253"/>
      <c r="DQ53" s="253"/>
      <c r="DR53" s="253"/>
      <c r="DS53" s="253"/>
      <c r="DT53" s="253"/>
      <c r="DU53" s="253"/>
      <c r="DV53" s="253"/>
      <c r="DW53" s="253"/>
      <c r="DX53" s="253"/>
      <c r="DY53" s="253"/>
      <c r="DZ53" s="253"/>
      <c r="EA53" s="253"/>
      <c r="EB53" s="253"/>
      <c r="EC53" s="253"/>
      <c r="ED53" s="253"/>
      <c r="EE53" s="253"/>
      <c r="EF53" s="253"/>
      <c r="EG53" s="253"/>
      <c r="EH53" s="253"/>
      <c r="EI53" s="253"/>
      <c r="EJ53" s="253"/>
      <c r="EK53" s="253"/>
      <c r="EL53" s="253"/>
      <c r="EM53" s="253"/>
      <c r="EN53" s="253"/>
      <c r="EO53" s="253"/>
      <c r="EP53" s="253"/>
      <c r="EQ53" s="253"/>
      <c r="ER53" s="253"/>
      <c r="ES53" s="253"/>
      <c r="ET53" s="253"/>
      <c r="EU53" s="253"/>
      <c r="EV53" s="253"/>
      <c r="EW53" s="253"/>
      <c r="EX53" s="253"/>
      <c r="EY53" s="253"/>
      <c r="EZ53" s="253"/>
      <c r="FA53" s="253"/>
      <c r="FB53" s="253"/>
      <c r="FC53" s="253"/>
      <c r="FD53" s="253"/>
      <c r="FE53" s="253"/>
      <c r="FF53" s="253"/>
      <c r="FG53" s="253"/>
      <c r="FH53" s="253"/>
      <c r="FI53" s="253"/>
      <c r="FJ53" s="253"/>
      <c r="FK53" s="253"/>
      <c r="FL53" s="253"/>
      <c r="FM53" s="253"/>
      <c r="FN53" s="253"/>
      <c r="FO53" s="253"/>
      <c r="FP53" s="253"/>
      <c r="FQ53" s="256"/>
      <c r="FR53" s="257" t="s">
        <v>1062</v>
      </c>
      <c r="FS53" s="258" t="s">
        <v>389</v>
      </c>
      <c r="FT53" s="258" t="s">
        <v>906</v>
      </c>
      <c r="FU53" s="258" t="s">
        <v>420</v>
      </c>
      <c r="FV53" s="259">
        <f t="shared" si="2"/>
        <v>0</v>
      </c>
      <c r="FW53" s="260" t="s">
        <v>421</v>
      </c>
    </row>
    <row r="54" spans="1:179" s="260" customFormat="1">
      <c r="A54" s="251" t="s">
        <v>393</v>
      </c>
      <c r="B54" s="251" t="s">
        <v>392</v>
      </c>
      <c r="C54" s="251" t="s">
        <v>411</v>
      </c>
      <c r="D54" s="251" t="s">
        <v>1</v>
      </c>
      <c r="E54" s="252" t="s">
        <v>904</v>
      </c>
      <c r="F54" s="251" t="s">
        <v>388</v>
      </c>
      <c r="G54" s="251" t="s">
        <v>1074</v>
      </c>
      <c r="H54" s="253"/>
      <c r="I54" s="253"/>
      <c r="J54" s="253"/>
      <c r="K54" s="253"/>
      <c r="L54" s="254">
        <f>30-30+20</f>
        <v>20</v>
      </c>
      <c r="M54" s="253"/>
      <c r="N54" s="255">
        <f>100-100</f>
        <v>0</v>
      </c>
      <c r="O54" s="253"/>
      <c r="P54" s="254">
        <f>60-60+20</f>
        <v>20</v>
      </c>
      <c r="Q54" s="253"/>
      <c r="R54" s="255">
        <f>50-50</f>
        <v>0</v>
      </c>
      <c r="S54" s="253"/>
      <c r="T54" s="253"/>
      <c r="U54" s="253"/>
      <c r="V54" s="253"/>
      <c r="W54" s="253"/>
      <c r="X54" s="255">
        <f>140-140</f>
        <v>0</v>
      </c>
      <c r="Y54" s="253"/>
      <c r="Z54" s="253"/>
      <c r="AA54" s="253"/>
      <c r="AB54" s="253"/>
      <c r="AC54" s="253"/>
      <c r="AD54" s="253"/>
      <c r="AE54" s="253"/>
      <c r="AF54" s="253"/>
      <c r="AG54" s="253"/>
      <c r="AH54" s="253"/>
      <c r="AI54" s="253"/>
      <c r="AJ54" s="253"/>
      <c r="AK54" s="253"/>
      <c r="AL54" s="255">
        <f>50-50</f>
        <v>0</v>
      </c>
      <c r="AM54" s="253"/>
      <c r="AN54" s="253"/>
      <c r="AO54" s="253"/>
      <c r="AP54" s="253"/>
      <c r="AQ54" s="253"/>
      <c r="AR54" s="253"/>
      <c r="AS54" s="253"/>
      <c r="AT54" s="253"/>
      <c r="AU54" s="253"/>
      <c r="AV54" s="253"/>
      <c r="AW54" s="255">
        <f>50-50+40-40</f>
        <v>0</v>
      </c>
      <c r="AX54" s="253"/>
      <c r="AY54" s="253"/>
      <c r="AZ54" s="253"/>
      <c r="BA54" s="253"/>
      <c r="BB54" s="253"/>
      <c r="BC54" s="253"/>
      <c r="BD54" s="253"/>
      <c r="BE54" s="253"/>
      <c r="BF54" s="253"/>
      <c r="BG54" s="253"/>
      <c r="BH54" s="253"/>
      <c r="BI54" s="253"/>
      <c r="BJ54" s="253"/>
      <c r="BK54" s="253"/>
      <c r="BL54" s="253"/>
      <c r="BM54" s="253"/>
      <c r="BN54" s="253"/>
      <c r="BO54" s="253"/>
      <c r="BP54" s="253"/>
      <c r="BQ54" s="253"/>
      <c r="BR54" s="253"/>
      <c r="BS54" s="253"/>
      <c r="BT54" s="253"/>
      <c r="BU54" s="253"/>
      <c r="BV54" s="253"/>
      <c r="BW54" s="253"/>
      <c r="BX54" s="253"/>
      <c r="BY54" s="253"/>
      <c r="BZ54" s="253"/>
      <c r="CA54" s="253"/>
      <c r="CB54" s="253"/>
      <c r="CC54" s="253"/>
      <c r="CD54" s="253"/>
      <c r="CE54" s="253"/>
      <c r="CF54" s="253"/>
      <c r="CG54" s="253"/>
      <c r="CH54" s="253"/>
      <c r="CI54" s="253"/>
      <c r="CJ54" s="253"/>
      <c r="CK54" s="253"/>
      <c r="CL54" s="253"/>
      <c r="CM54" s="253"/>
      <c r="CN54" s="253"/>
      <c r="CO54" s="253"/>
      <c r="CP54" s="253"/>
      <c r="CQ54" s="253"/>
      <c r="CR54" s="253"/>
      <c r="CS54" s="253"/>
      <c r="CT54" s="253"/>
      <c r="CU54" s="253"/>
      <c r="CV54" s="253"/>
      <c r="CW54" s="253"/>
      <c r="CX54" s="253"/>
      <c r="CY54" s="253"/>
      <c r="CZ54" s="253"/>
      <c r="DA54" s="253"/>
      <c r="DB54" s="253"/>
      <c r="DC54" s="253"/>
      <c r="DD54" s="253"/>
      <c r="DE54" s="253"/>
      <c r="DF54" s="253"/>
      <c r="DG54" s="253"/>
      <c r="DH54" s="253"/>
      <c r="DI54" s="253"/>
      <c r="DJ54" s="253"/>
      <c r="DK54" s="253"/>
      <c r="DL54" s="253"/>
      <c r="DM54" s="253"/>
      <c r="DN54" s="253"/>
      <c r="DO54" s="253"/>
      <c r="DP54" s="253"/>
      <c r="DQ54" s="253"/>
      <c r="DR54" s="253"/>
      <c r="DS54" s="253"/>
      <c r="DT54" s="253"/>
      <c r="DU54" s="253"/>
      <c r="DV54" s="253"/>
      <c r="DW54" s="253"/>
      <c r="DX54" s="253"/>
      <c r="DY54" s="253"/>
      <c r="DZ54" s="253"/>
      <c r="EA54" s="253"/>
      <c r="EB54" s="253"/>
      <c r="EC54" s="253"/>
      <c r="ED54" s="253"/>
      <c r="EE54" s="253"/>
      <c r="EF54" s="253"/>
      <c r="EG54" s="253"/>
      <c r="EH54" s="253"/>
      <c r="EI54" s="253"/>
      <c r="EJ54" s="253"/>
      <c r="EK54" s="253"/>
      <c r="EL54" s="253"/>
      <c r="EM54" s="253"/>
      <c r="EN54" s="253"/>
      <c r="EO54" s="253"/>
      <c r="EP54" s="253"/>
      <c r="EQ54" s="253"/>
      <c r="ER54" s="253"/>
      <c r="ES54" s="253"/>
      <c r="ET54" s="253"/>
      <c r="EU54" s="253"/>
      <c r="EV54" s="253"/>
      <c r="EW54" s="253"/>
      <c r="EX54" s="253"/>
      <c r="EY54" s="253"/>
      <c r="EZ54" s="253"/>
      <c r="FA54" s="253"/>
      <c r="FB54" s="253"/>
      <c r="FC54" s="253"/>
      <c r="FD54" s="253"/>
      <c r="FE54" s="253"/>
      <c r="FF54" s="253"/>
      <c r="FG54" s="253"/>
      <c r="FH54" s="253"/>
      <c r="FI54" s="253"/>
      <c r="FJ54" s="253"/>
      <c r="FK54" s="253"/>
      <c r="FL54" s="253"/>
      <c r="FM54" s="253"/>
      <c r="FN54" s="253"/>
      <c r="FO54" s="253"/>
      <c r="FP54" s="253"/>
      <c r="FQ54" s="256"/>
      <c r="FR54" s="257" t="s">
        <v>1062</v>
      </c>
      <c r="FS54" s="258" t="s">
        <v>389</v>
      </c>
      <c r="FT54" s="258" t="s">
        <v>906</v>
      </c>
      <c r="FU54" s="258" t="s">
        <v>420</v>
      </c>
      <c r="FV54" s="259">
        <f t="shared" si="2"/>
        <v>40</v>
      </c>
      <c r="FW54" s="260" t="s">
        <v>421</v>
      </c>
    </row>
    <row r="55" spans="1:179" s="260" customFormat="1">
      <c r="A55" s="251" t="s">
        <v>393</v>
      </c>
      <c r="B55" s="251" t="s">
        <v>385</v>
      </c>
      <c r="C55" s="251" t="s">
        <v>411</v>
      </c>
      <c r="D55" s="251" t="s">
        <v>291</v>
      </c>
      <c r="E55" s="252" t="s">
        <v>422</v>
      </c>
      <c r="F55" s="251" t="s">
        <v>388</v>
      </c>
      <c r="G55" s="251"/>
      <c r="H55" s="253"/>
      <c r="I55" s="255">
        <f>200-200</f>
        <v>0</v>
      </c>
      <c r="J55" s="253"/>
      <c r="K55" s="255">
        <f>500-500</f>
        <v>0</v>
      </c>
      <c r="L55" s="253"/>
      <c r="M55" s="253"/>
      <c r="N55" s="253"/>
      <c r="O55" s="253"/>
      <c r="P55" s="253"/>
      <c r="Q55" s="253"/>
      <c r="R55" s="253"/>
      <c r="S55" s="253"/>
      <c r="T55" s="255">
        <f>2000-2000</f>
        <v>0</v>
      </c>
      <c r="U55" s="253"/>
      <c r="V55" s="253"/>
      <c r="W55" s="255">
        <f>2000-2000</f>
        <v>0</v>
      </c>
      <c r="X55" s="253"/>
      <c r="Y55" s="253"/>
      <c r="Z55" s="253"/>
      <c r="AA55" s="253"/>
      <c r="AB55" s="253"/>
      <c r="AC55" s="253"/>
      <c r="AD55" s="253"/>
      <c r="AE55" s="253"/>
      <c r="AF55" s="253"/>
      <c r="AG55" s="253"/>
      <c r="AH55" s="254">
        <f>2000-2000+20</f>
        <v>20</v>
      </c>
      <c r="AI55" s="253"/>
      <c r="AJ55" s="255">
        <f>2000-2000</f>
        <v>0</v>
      </c>
      <c r="AK55" s="255">
        <f>2000-2000</f>
        <v>0</v>
      </c>
      <c r="AL55" s="253"/>
      <c r="AM55" s="253"/>
      <c r="AN55" s="253"/>
      <c r="AO55" s="253"/>
      <c r="AP55" s="253"/>
      <c r="AQ55" s="253"/>
      <c r="AR55" s="253"/>
      <c r="AS55" s="255">
        <f>2000-2000</f>
        <v>0</v>
      </c>
      <c r="AT55" s="253"/>
      <c r="AU55" s="253"/>
      <c r="AV55" s="253"/>
      <c r="AW55" s="253"/>
      <c r="AX55" s="253"/>
      <c r="AY55" s="253"/>
      <c r="AZ55" s="253"/>
      <c r="BA55" s="255">
        <f>2000-2000</f>
        <v>0</v>
      </c>
      <c r="BB55" s="253"/>
      <c r="BC55" s="253"/>
      <c r="BD55" s="253"/>
      <c r="BE55" s="253"/>
      <c r="BF55" s="253"/>
      <c r="BG55" s="255">
        <f>500-500+100-100</f>
        <v>0</v>
      </c>
      <c r="BH55" s="253"/>
      <c r="BI55" s="253"/>
      <c r="BJ55" s="253"/>
      <c r="BK55" s="253"/>
      <c r="BL55" s="253"/>
      <c r="BM55" s="253"/>
      <c r="BN55" s="253"/>
      <c r="BO55" s="253"/>
      <c r="BP55" s="253"/>
      <c r="BQ55" s="253"/>
      <c r="BR55" s="253"/>
      <c r="BS55" s="253"/>
      <c r="BT55" s="253"/>
      <c r="BU55" s="253"/>
      <c r="BV55" s="253"/>
      <c r="BW55" s="253"/>
      <c r="BX55" s="253"/>
      <c r="BY55" s="253"/>
      <c r="BZ55" s="253"/>
      <c r="CA55" s="253"/>
      <c r="CB55" s="253"/>
      <c r="CC55" s="253"/>
      <c r="CD55" s="253"/>
      <c r="CE55" s="253"/>
      <c r="CF55" s="253"/>
      <c r="CG55" s="253"/>
      <c r="CH55" s="253"/>
      <c r="CI55" s="253"/>
      <c r="CJ55" s="253"/>
      <c r="CK55" s="253"/>
      <c r="CL55" s="253"/>
      <c r="CM55" s="253"/>
      <c r="CN55" s="253"/>
      <c r="CO55" s="253"/>
      <c r="CP55" s="253"/>
      <c r="CQ55" s="253"/>
      <c r="CR55" s="253"/>
      <c r="CS55" s="253"/>
      <c r="CT55" s="253"/>
      <c r="CU55" s="253"/>
      <c r="CV55" s="253"/>
      <c r="CW55" s="253"/>
      <c r="CX55" s="253"/>
      <c r="CY55" s="253"/>
      <c r="CZ55" s="253"/>
      <c r="DA55" s="253"/>
      <c r="DB55" s="253"/>
      <c r="DC55" s="253"/>
      <c r="DD55" s="253"/>
      <c r="DE55" s="253"/>
      <c r="DF55" s="253"/>
      <c r="DG55" s="253"/>
      <c r="DH55" s="253"/>
      <c r="DI55" s="253"/>
      <c r="DJ55" s="253"/>
      <c r="DK55" s="253"/>
      <c r="DL55" s="253"/>
      <c r="DM55" s="253"/>
      <c r="DN55" s="253"/>
      <c r="DO55" s="253"/>
      <c r="DP55" s="253"/>
      <c r="DQ55" s="253"/>
      <c r="DR55" s="253"/>
      <c r="DS55" s="253"/>
      <c r="DT55" s="253"/>
      <c r="DU55" s="253"/>
      <c r="DV55" s="253"/>
      <c r="DW55" s="253"/>
      <c r="DX55" s="253"/>
      <c r="DY55" s="253"/>
      <c r="DZ55" s="253"/>
      <c r="EA55" s="253"/>
      <c r="EB55" s="253"/>
      <c r="EC55" s="253"/>
      <c r="ED55" s="253"/>
      <c r="EE55" s="253"/>
      <c r="EF55" s="253"/>
      <c r="EG55" s="253"/>
      <c r="EH55" s="253"/>
      <c r="EI55" s="253"/>
      <c r="EJ55" s="253"/>
      <c r="EK55" s="253"/>
      <c r="EL55" s="253"/>
      <c r="EM55" s="253"/>
      <c r="EN55" s="253"/>
      <c r="EO55" s="253"/>
      <c r="EP55" s="253"/>
      <c r="EQ55" s="253"/>
      <c r="ER55" s="253"/>
      <c r="ES55" s="253"/>
      <c r="ET55" s="253"/>
      <c r="EU55" s="253"/>
      <c r="EV55" s="253"/>
      <c r="EW55" s="253"/>
      <c r="EX55" s="253"/>
      <c r="EY55" s="253"/>
      <c r="EZ55" s="253"/>
      <c r="FA55" s="253"/>
      <c r="FB55" s="253"/>
      <c r="FC55" s="253"/>
      <c r="FD55" s="253"/>
      <c r="FE55" s="253"/>
      <c r="FF55" s="253"/>
      <c r="FG55" s="253"/>
      <c r="FH55" s="253"/>
      <c r="FI55" s="253"/>
      <c r="FJ55" s="253"/>
      <c r="FK55" s="253"/>
      <c r="FL55" s="253"/>
      <c r="FM55" s="253"/>
      <c r="FN55" s="253"/>
      <c r="FO55" s="253"/>
      <c r="FP55" s="253"/>
      <c r="FQ55" s="256"/>
      <c r="FR55" s="257" t="s">
        <v>1062</v>
      </c>
      <c r="FS55" s="258" t="s">
        <v>389</v>
      </c>
      <c r="FT55" s="258"/>
      <c r="FU55" s="258" t="s">
        <v>423</v>
      </c>
      <c r="FV55" s="259">
        <f t="shared" si="2"/>
        <v>20</v>
      </c>
      <c r="FW55" s="260" t="s">
        <v>424</v>
      </c>
    </row>
    <row r="56" spans="1:179" s="260" customFormat="1">
      <c r="A56" s="251" t="s">
        <v>393</v>
      </c>
      <c r="B56" s="251" t="s">
        <v>385</v>
      </c>
      <c r="C56" s="251" t="s">
        <v>411</v>
      </c>
      <c r="D56" s="251" t="s">
        <v>1</v>
      </c>
      <c r="E56" s="252" t="s">
        <v>422</v>
      </c>
      <c r="F56" s="251" t="s">
        <v>388</v>
      </c>
      <c r="G56" s="251"/>
      <c r="H56" s="253">
        <v>5</v>
      </c>
      <c r="I56" s="253"/>
      <c r="J56" s="253"/>
      <c r="K56" s="253"/>
      <c r="L56" s="253"/>
      <c r="M56" s="253"/>
      <c r="N56" s="253"/>
      <c r="O56" s="253"/>
      <c r="P56" s="255">
        <f>600-600</f>
        <v>0</v>
      </c>
      <c r="Q56" s="253"/>
      <c r="R56" s="254">
        <f>900-900+20</f>
        <v>20</v>
      </c>
      <c r="S56" s="255">
        <f>300-300</f>
        <v>0</v>
      </c>
      <c r="T56" s="253"/>
      <c r="U56" s="253"/>
      <c r="V56" s="255">
        <f>2000-2000</f>
        <v>0</v>
      </c>
      <c r="W56" s="253"/>
      <c r="X56" s="255">
        <f>2000-2000</f>
        <v>0</v>
      </c>
      <c r="Y56" s="255">
        <f>2000-2000</f>
        <v>0</v>
      </c>
      <c r="Z56" s="255">
        <f>2000-2000</f>
        <v>0</v>
      </c>
      <c r="AA56" s="255">
        <f>2000-2000</f>
        <v>0</v>
      </c>
      <c r="AB56" s="253"/>
      <c r="AC56" s="255">
        <f>2000-2000</f>
        <v>0</v>
      </c>
      <c r="AD56" s="253"/>
      <c r="AE56" s="255">
        <f>1990-1990</f>
        <v>0</v>
      </c>
      <c r="AF56" s="255">
        <f>2000-2000</f>
        <v>0</v>
      </c>
      <c r="AG56" s="255">
        <f>2000-2000</f>
        <v>0</v>
      </c>
      <c r="AH56" s="253"/>
      <c r="AI56" s="255">
        <f>2000-2000</f>
        <v>0</v>
      </c>
      <c r="AJ56" s="253"/>
      <c r="AK56" s="253"/>
      <c r="AL56" s="255">
        <f>2000-2000</f>
        <v>0</v>
      </c>
      <c r="AM56" s="255">
        <f>2000-2000</f>
        <v>0</v>
      </c>
      <c r="AN56" s="253"/>
      <c r="AO56" s="255">
        <f>2000-2000</f>
        <v>0</v>
      </c>
      <c r="AP56" s="255">
        <f>1900-1900</f>
        <v>0</v>
      </c>
      <c r="AQ56" s="253"/>
      <c r="AR56" s="254">
        <f>1900-1900+40+20</f>
        <v>60</v>
      </c>
      <c r="AS56" s="253"/>
      <c r="AT56" s="253"/>
      <c r="AU56" s="255">
        <f>2000-2000</f>
        <v>0</v>
      </c>
      <c r="AV56" s="255">
        <f>2000-2000</f>
        <v>0</v>
      </c>
      <c r="AW56" s="255">
        <f>1890-1890+100-100</f>
        <v>0</v>
      </c>
      <c r="AX56" s="253"/>
      <c r="AY56" s="253"/>
      <c r="AZ56" s="255">
        <f>2000-2000</f>
        <v>0</v>
      </c>
      <c r="BA56" s="253"/>
      <c r="BB56" s="253"/>
      <c r="BC56" s="255">
        <f>460-460</f>
        <v>0</v>
      </c>
      <c r="BD56" s="253"/>
      <c r="BE56" s="253"/>
      <c r="BF56" s="253"/>
      <c r="BG56" s="253"/>
      <c r="BH56" s="255">
        <f>500-500</f>
        <v>0</v>
      </c>
      <c r="BI56" s="253"/>
      <c r="BJ56" s="253"/>
      <c r="BK56" s="253"/>
      <c r="BL56" s="253"/>
      <c r="BM56" s="253"/>
      <c r="BN56" s="255">
        <f>1980-1980</f>
        <v>0</v>
      </c>
      <c r="BO56" s="255">
        <f>2000-2000</f>
        <v>0</v>
      </c>
      <c r="BP56" s="255">
        <f>1950-1950</f>
        <v>0</v>
      </c>
      <c r="BQ56" s="255">
        <f>1670-1670</f>
        <v>0</v>
      </c>
      <c r="BR56" s="255">
        <f>1920-1920</f>
        <v>0</v>
      </c>
      <c r="BS56" s="255">
        <f>2000-2000</f>
        <v>0</v>
      </c>
      <c r="BT56" s="255">
        <f>2000-2000</f>
        <v>0</v>
      </c>
      <c r="BU56" s="255">
        <f>1995-1995</f>
        <v>0</v>
      </c>
      <c r="BV56" s="255">
        <f>2000-2000</f>
        <v>0</v>
      </c>
      <c r="BW56" s="253"/>
      <c r="BX56" s="255">
        <f>1996-1996</f>
        <v>0</v>
      </c>
      <c r="BY56" s="255">
        <f>2000-2000</f>
        <v>0</v>
      </c>
      <c r="BZ56" s="255">
        <f>2000-2000</f>
        <v>0</v>
      </c>
      <c r="CA56" s="255">
        <f>2000-2000</f>
        <v>0</v>
      </c>
      <c r="CB56" s="255">
        <f>980-980</f>
        <v>0</v>
      </c>
      <c r="CC56" s="255">
        <f>1000-1000</f>
        <v>0</v>
      </c>
      <c r="CD56" s="255">
        <f>1000-1000</f>
        <v>0</v>
      </c>
      <c r="CE56" s="255">
        <f>850-850</f>
        <v>0</v>
      </c>
      <c r="CF56" s="255">
        <f>1000-1000</f>
        <v>0</v>
      </c>
      <c r="CG56" s="255">
        <f>200-200</f>
        <v>0</v>
      </c>
      <c r="CH56" s="253"/>
      <c r="CI56" s="255">
        <f>192-192</f>
        <v>0</v>
      </c>
      <c r="CJ56" s="255">
        <f>200-200</f>
        <v>0</v>
      </c>
      <c r="CK56" s="255">
        <f>200-200</f>
        <v>0</v>
      </c>
      <c r="CL56" s="255">
        <f>200-200</f>
        <v>0</v>
      </c>
      <c r="CM56" s="255">
        <f>200-200</f>
        <v>0</v>
      </c>
      <c r="CN56" s="255">
        <f>140-140</f>
        <v>0</v>
      </c>
      <c r="CO56" s="255">
        <f>200-200</f>
        <v>0</v>
      </c>
      <c r="CP56" s="255">
        <f>198-198</f>
        <v>0</v>
      </c>
      <c r="CQ56" s="253"/>
      <c r="CR56" s="253"/>
      <c r="CS56" s="253"/>
      <c r="CT56" s="253"/>
      <c r="CU56" s="253"/>
      <c r="CV56" s="255">
        <f>30-30</f>
        <v>0</v>
      </c>
      <c r="CW56" s="255">
        <f>170-170</f>
        <v>0</v>
      </c>
      <c r="CX56" s="253"/>
      <c r="CY56" s="253"/>
      <c r="CZ56" s="253"/>
      <c r="DA56" s="255">
        <f>46-46</f>
        <v>0</v>
      </c>
      <c r="DB56" s="255">
        <f>45-45</f>
        <v>0</v>
      </c>
      <c r="DC56" s="255">
        <f>30-30</f>
        <v>0</v>
      </c>
      <c r="DD56" s="255">
        <f>50-50</f>
        <v>0</v>
      </c>
      <c r="DE56" s="255">
        <f>50-50</f>
        <v>0</v>
      </c>
      <c r="DF56" s="255">
        <f>50-50</f>
        <v>0</v>
      </c>
      <c r="DG56" s="255">
        <f>50-50</f>
        <v>0</v>
      </c>
      <c r="DH56" s="253"/>
      <c r="DI56" s="253"/>
      <c r="DJ56" s="253"/>
      <c r="DK56" s="253"/>
      <c r="DL56" s="253"/>
      <c r="DM56" s="255">
        <f>50-50</f>
        <v>0</v>
      </c>
      <c r="DN56" s="253"/>
      <c r="DO56" s="253"/>
      <c r="DP56" s="253"/>
      <c r="DQ56" s="253"/>
      <c r="DR56" s="253"/>
      <c r="DS56" s="253"/>
      <c r="DT56" s="253"/>
      <c r="DU56" s="253"/>
      <c r="DV56" s="253"/>
      <c r="DW56" s="253"/>
      <c r="DX56" s="253"/>
      <c r="DY56" s="253"/>
      <c r="DZ56" s="253"/>
      <c r="EA56" s="253"/>
      <c r="EB56" s="253"/>
      <c r="EC56" s="253"/>
      <c r="ED56" s="253"/>
      <c r="EE56" s="255">
        <f>1000-1000</f>
        <v>0</v>
      </c>
      <c r="EF56" s="255">
        <f>1000-1000</f>
        <v>0</v>
      </c>
      <c r="EG56" s="253"/>
      <c r="EH56" s="253"/>
      <c r="EI56" s="255">
        <f>1000-1000</f>
        <v>0</v>
      </c>
      <c r="EJ56" s="255">
        <f>1000-1000</f>
        <v>0</v>
      </c>
      <c r="EK56" s="255">
        <f>1000-1000</f>
        <v>0</v>
      </c>
      <c r="EL56" s="255">
        <f>1000-1000</f>
        <v>0</v>
      </c>
      <c r="EM56" s="255">
        <f>1000-1000</f>
        <v>0</v>
      </c>
      <c r="EN56" s="253"/>
      <c r="EO56" s="253"/>
      <c r="EP56" s="255">
        <f>1000-1000</f>
        <v>0</v>
      </c>
      <c r="EQ56" s="255">
        <f>1000-1000</f>
        <v>0</v>
      </c>
      <c r="ER56" s="255">
        <f>1000-1000</f>
        <v>0</v>
      </c>
      <c r="ES56" s="253"/>
      <c r="ET56" s="255">
        <f>2000-2000</f>
        <v>0</v>
      </c>
      <c r="EU56" s="255">
        <f>2000-2000</f>
        <v>0</v>
      </c>
      <c r="EV56" s="255">
        <f>980-980</f>
        <v>0</v>
      </c>
      <c r="EW56" s="253"/>
      <c r="EX56" s="253"/>
      <c r="EY56" s="255">
        <f>970-970</f>
        <v>0</v>
      </c>
      <c r="EZ56" s="255">
        <f>940-940</f>
        <v>0</v>
      </c>
      <c r="FA56" s="255">
        <f>295-295</f>
        <v>0</v>
      </c>
      <c r="FB56" s="253"/>
      <c r="FC56" s="255">
        <f>290-290</f>
        <v>0</v>
      </c>
      <c r="FD56" s="255">
        <f>300-300</f>
        <v>0</v>
      </c>
      <c r="FE56" s="255">
        <f>300-300</f>
        <v>0</v>
      </c>
      <c r="FF56" s="253"/>
      <c r="FG56" s="255">
        <f>300-300</f>
        <v>0</v>
      </c>
      <c r="FH56" s="254">
        <f>50-50+4</f>
        <v>4</v>
      </c>
      <c r="FI56" s="255">
        <f>15-15</f>
        <v>0</v>
      </c>
      <c r="FJ56" s="253"/>
      <c r="FK56" s="255">
        <f>50-50</f>
        <v>0</v>
      </c>
      <c r="FL56" s="253"/>
      <c r="FM56" s="255">
        <f>3000-3000</f>
        <v>0</v>
      </c>
      <c r="FN56" s="255">
        <f>3000-3000</f>
        <v>0</v>
      </c>
      <c r="FO56" s="253"/>
      <c r="FP56" s="253"/>
      <c r="FQ56" s="256"/>
      <c r="FR56" s="257" t="s">
        <v>1062</v>
      </c>
      <c r="FS56" s="258" t="s">
        <v>389</v>
      </c>
      <c r="FT56" s="258"/>
      <c r="FU56" s="258" t="s">
        <v>423</v>
      </c>
      <c r="FV56" s="259">
        <f t="shared" si="2"/>
        <v>89</v>
      </c>
      <c r="FW56" s="260" t="s">
        <v>424</v>
      </c>
    </row>
    <row r="57" spans="1:179" s="260" customFormat="1">
      <c r="A57" s="251" t="s">
        <v>393</v>
      </c>
      <c r="B57" s="251" t="s">
        <v>385</v>
      </c>
      <c r="C57" s="251" t="s">
        <v>411</v>
      </c>
      <c r="D57" s="251" t="s">
        <v>293</v>
      </c>
      <c r="E57" s="252" t="s">
        <v>422</v>
      </c>
      <c r="F57" s="251" t="s">
        <v>388</v>
      </c>
      <c r="G57" s="251"/>
      <c r="H57" s="253"/>
      <c r="I57" s="253"/>
      <c r="J57" s="253"/>
      <c r="K57" s="253"/>
      <c r="L57" s="253"/>
      <c r="M57" s="253"/>
      <c r="N57" s="253"/>
      <c r="O57" s="253"/>
      <c r="P57" s="253"/>
      <c r="Q57" s="253"/>
      <c r="R57" s="253"/>
      <c r="S57" s="253"/>
      <c r="T57" s="253"/>
      <c r="U57" s="253"/>
      <c r="V57" s="253"/>
      <c r="W57" s="253"/>
      <c r="X57" s="253"/>
      <c r="Y57" s="253"/>
      <c r="Z57" s="253"/>
      <c r="AA57" s="253"/>
      <c r="AB57" s="253"/>
      <c r="AC57" s="253"/>
      <c r="AD57" s="253"/>
      <c r="AE57" s="253"/>
      <c r="AF57" s="253"/>
      <c r="AG57" s="253"/>
      <c r="AH57" s="253"/>
      <c r="AI57" s="253"/>
      <c r="AJ57" s="253"/>
      <c r="AK57" s="253"/>
      <c r="AL57" s="253"/>
      <c r="AM57" s="253"/>
      <c r="AN57" s="253"/>
      <c r="AO57" s="253"/>
      <c r="AP57" s="253"/>
      <c r="AQ57" s="253"/>
      <c r="AR57" s="253"/>
      <c r="AS57" s="253"/>
      <c r="AT57" s="253"/>
      <c r="AU57" s="253"/>
      <c r="AV57" s="253"/>
      <c r="AW57" s="253"/>
      <c r="AX57" s="253"/>
      <c r="AY57" s="253"/>
      <c r="AZ57" s="253"/>
      <c r="BA57" s="253"/>
      <c r="BB57" s="253"/>
      <c r="BC57" s="253"/>
      <c r="BD57" s="253"/>
      <c r="BE57" s="253"/>
      <c r="BF57" s="253"/>
      <c r="BG57" s="253"/>
      <c r="BH57" s="253"/>
      <c r="BI57" s="253"/>
      <c r="BJ57" s="253"/>
      <c r="BK57" s="253"/>
      <c r="BL57" s="253"/>
      <c r="BM57" s="253"/>
      <c r="BN57" s="253"/>
      <c r="BO57" s="253"/>
      <c r="BP57" s="253"/>
      <c r="BQ57" s="253"/>
      <c r="BR57" s="253"/>
      <c r="BS57" s="253"/>
      <c r="BT57" s="253"/>
      <c r="BU57" s="253"/>
      <c r="BV57" s="253"/>
      <c r="BW57" s="253"/>
      <c r="BX57" s="253"/>
      <c r="BY57" s="253"/>
      <c r="BZ57" s="253"/>
      <c r="CA57" s="253"/>
      <c r="CB57" s="253"/>
      <c r="CC57" s="253"/>
      <c r="CD57" s="253"/>
      <c r="CE57" s="253"/>
      <c r="CF57" s="253"/>
      <c r="CG57" s="253"/>
      <c r="CH57" s="253"/>
      <c r="CI57" s="253"/>
      <c r="CJ57" s="253"/>
      <c r="CK57" s="253"/>
      <c r="CL57" s="253"/>
      <c r="CM57" s="253"/>
      <c r="CN57" s="253"/>
      <c r="CO57" s="253"/>
      <c r="CP57" s="253"/>
      <c r="CQ57" s="253"/>
      <c r="CR57" s="253"/>
      <c r="CS57" s="253"/>
      <c r="CT57" s="253"/>
      <c r="CU57" s="253"/>
      <c r="CV57" s="253"/>
      <c r="CW57" s="253"/>
      <c r="CX57" s="253"/>
      <c r="CY57" s="253"/>
      <c r="CZ57" s="255">
        <f>50-50</f>
        <v>0</v>
      </c>
      <c r="DA57" s="253"/>
      <c r="DB57" s="253"/>
      <c r="DC57" s="253"/>
      <c r="DD57" s="253"/>
      <c r="DE57" s="253"/>
      <c r="DF57" s="253"/>
      <c r="DG57" s="253"/>
      <c r="DH57" s="253"/>
      <c r="DI57" s="253"/>
      <c r="DJ57" s="253"/>
      <c r="DK57" s="253"/>
      <c r="DL57" s="253"/>
      <c r="DM57" s="253"/>
      <c r="DN57" s="253"/>
      <c r="DO57" s="253"/>
      <c r="DP57" s="253"/>
      <c r="DQ57" s="253"/>
      <c r="DR57" s="253"/>
      <c r="DS57" s="253"/>
      <c r="DT57" s="253"/>
      <c r="DU57" s="253"/>
      <c r="DV57" s="253"/>
      <c r="DW57" s="253"/>
      <c r="DX57" s="253"/>
      <c r="DY57" s="253"/>
      <c r="DZ57" s="253"/>
      <c r="EA57" s="253"/>
      <c r="EB57" s="253"/>
      <c r="EC57" s="253"/>
      <c r="ED57" s="253"/>
      <c r="EE57" s="253"/>
      <c r="EF57" s="253"/>
      <c r="EG57" s="253"/>
      <c r="EH57" s="253"/>
      <c r="EI57" s="253"/>
      <c r="EJ57" s="253"/>
      <c r="EK57" s="253"/>
      <c r="EL57" s="253"/>
      <c r="EM57" s="253"/>
      <c r="EN57" s="253"/>
      <c r="EO57" s="253"/>
      <c r="EP57" s="253"/>
      <c r="EQ57" s="253"/>
      <c r="ER57" s="253"/>
      <c r="ES57" s="253"/>
      <c r="ET57" s="253"/>
      <c r="EU57" s="253"/>
      <c r="EV57" s="253"/>
      <c r="EW57" s="255">
        <f>1000-1000</f>
        <v>0</v>
      </c>
      <c r="EX57" s="253"/>
      <c r="EY57" s="253"/>
      <c r="EZ57" s="253"/>
      <c r="FA57" s="253"/>
      <c r="FB57" s="255">
        <f>300-300</f>
        <v>0</v>
      </c>
      <c r="FC57" s="253"/>
      <c r="FD57" s="253"/>
      <c r="FE57" s="253"/>
      <c r="FF57" s="255">
        <f>300-300</f>
        <v>0</v>
      </c>
      <c r="FG57" s="253"/>
      <c r="FH57" s="253"/>
      <c r="FI57" s="253"/>
      <c r="FJ57" s="255">
        <f>50-50</f>
        <v>0</v>
      </c>
      <c r="FK57" s="253"/>
      <c r="FL57" s="253"/>
      <c r="FM57" s="253"/>
      <c r="FN57" s="253"/>
      <c r="FO57" s="253"/>
      <c r="FP57" s="253"/>
      <c r="FQ57" s="256"/>
      <c r="FR57" s="257" t="s">
        <v>1062</v>
      </c>
      <c r="FS57" s="258" t="s">
        <v>389</v>
      </c>
      <c r="FT57" s="258"/>
      <c r="FU57" s="258" t="s">
        <v>423</v>
      </c>
      <c r="FV57" s="259">
        <f t="shared" si="2"/>
        <v>0</v>
      </c>
      <c r="FW57" s="260" t="s">
        <v>424</v>
      </c>
    </row>
    <row r="58" spans="1:179" s="260" customFormat="1">
      <c r="A58" s="251" t="s">
        <v>393</v>
      </c>
      <c r="B58" s="251" t="s">
        <v>385</v>
      </c>
      <c r="C58" s="251" t="s">
        <v>411</v>
      </c>
      <c r="D58" s="251" t="s">
        <v>291</v>
      </c>
      <c r="E58" s="252" t="s">
        <v>425</v>
      </c>
      <c r="F58" s="251" t="s">
        <v>388</v>
      </c>
      <c r="G58" s="251"/>
      <c r="H58" s="253"/>
      <c r="I58" s="253"/>
      <c r="J58" s="253"/>
      <c r="K58" s="253"/>
      <c r="L58" s="253"/>
      <c r="M58" s="253"/>
      <c r="N58" s="253"/>
      <c r="O58" s="253"/>
      <c r="P58" s="253"/>
      <c r="Q58" s="253"/>
      <c r="R58" s="253"/>
      <c r="S58" s="253"/>
      <c r="T58" s="253"/>
      <c r="U58" s="253"/>
      <c r="V58" s="253"/>
      <c r="W58" s="253"/>
      <c r="X58" s="253"/>
      <c r="Y58" s="253"/>
      <c r="Z58" s="253"/>
      <c r="AA58" s="253"/>
      <c r="AB58" s="253"/>
      <c r="AC58" s="253"/>
      <c r="AD58" s="253"/>
      <c r="AE58" s="253"/>
      <c r="AF58" s="253"/>
      <c r="AG58" s="253"/>
      <c r="AH58" s="254">
        <f>100-100+20</f>
        <v>20</v>
      </c>
      <c r="AI58" s="253"/>
      <c r="AJ58" s="255">
        <f>100-100</f>
        <v>0</v>
      </c>
      <c r="AK58" s="253"/>
      <c r="AL58" s="253"/>
      <c r="AM58" s="253"/>
      <c r="AN58" s="253"/>
      <c r="AO58" s="253"/>
      <c r="AP58" s="253"/>
      <c r="AQ58" s="253"/>
      <c r="AR58" s="253"/>
      <c r="AS58" s="255">
        <f>200-200</f>
        <v>0</v>
      </c>
      <c r="AT58" s="255">
        <f>200-200</f>
        <v>0</v>
      </c>
      <c r="AU58" s="253"/>
      <c r="AV58" s="253"/>
      <c r="AW58" s="253"/>
      <c r="AX58" s="253"/>
      <c r="AY58" s="253"/>
      <c r="AZ58" s="253"/>
      <c r="BA58" s="253"/>
      <c r="BB58" s="253"/>
      <c r="BC58" s="253"/>
      <c r="BD58" s="253"/>
      <c r="BE58" s="253"/>
      <c r="BF58" s="253"/>
      <c r="BG58" s="253"/>
      <c r="BH58" s="253"/>
      <c r="BI58" s="253"/>
      <c r="BJ58" s="253"/>
      <c r="BK58" s="253"/>
      <c r="BL58" s="253"/>
      <c r="BM58" s="253"/>
      <c r="BN58" s="253"/>
      <c r="BO58" s="253"/>
      <c r="BP58" s="253"/>
      <c r="BQ58" s="253"/>
      <c r="BR58" s="253"/>
      <c r="BS58" s="253"/>
      <c r="BT58" s="253"/>
      <c r="BU58" s="253"/>
      <c r="BV58" s="253"/>
      <c r="BW58" s="253"/>
      <c r="BX58" s="253"/>
      <c r="BY58" s="253"/>
      <c r="BZ58" s="253"/>
      <c r="CA58" s="253"/>
      <c r="CB58" s="253"/>
      <c r="CC58" s="253"/>
      <c r="CD58" s="253"/>
      <c r="CE58" s="253"/>
      <c r="CF58" s="253"/>
      <c r="CG58" s="253"/>
      <c r="CH58" s="253"/>
      <c r="CI58" s="253"/>
      <c r="CJ58" s="253"/>
      <c r="CK58" s="253"/>
      <c r="CL58" s="253"/>
      <c r="CM58" s="253"/>
      <c r="CN58" s="253"/>
      <c r="CO58" s="253"/>
      <c r="CP58" s="253"/>
      <c r="CQ58" s="253"/>
      <c r="CR58" s="253"/>
      <c r="CS58" s="253"/>
      <c r="CT58" s="253"/>
      <c r="CU58" s="253"/>
      <c r="CV58" s="253"/>
      <c r="CW58" s="253"/>
      <c r="CX58" s="253"/>
      <c r="CY58" s="253"/>
      <c r="CZ58" s="253"/>
      <c r="DA58" s="253"/>
      <c r="DB58" s="253"/>
      <c r="DC58" s="253"/>
      <c r="DD58" s="253"/>
      <c r="DE58" s="253"/>
      <c r="DF58" s="253"/>
      <c r="DG58" s="253"/>
      <c r="DH58" s="253"/>
      <c r="DI58" s="253"/>
      <c r="DJ58" s="253"/>
      <c r="DK58" s="253"/>
      <c r="DL58" s="253"/>
      <c r="DM58" s="253"/>
      <c r="DN58" s="253"/>
      <c r="DO58" s="253"/>
      <c r="DP58" s="253"/>
      <c r="DQ58" s="253"/>
      <c r="DR58" s="253"/>
      <c r="DS58" s="253"/>
      <c r="DT58" s="253"/>
      <c r="DU58" s="253"/>
      <c r="DV58" s="253"/>
      <c r="DW58" s="253"/>
      <c r="DX58" s="253"/>
      <c r="DY58" s="253"/>
      <c r="DZ58" s="253"/>
      <c r="EA58" s="253"/>
      <c r="EB58" s="253"/>
      <c r="EC58" s="253"/>
      <c r="ED58" s="253"/>
      <c r="EE58" s="253"/>
      <c r="EF58" s="253"/>
      <c r="EG58" s="253"/>
      <c r="EH58" s="253"/>
      <c r="EI58" s="253"/>
      <c r="EJ58" s="253"/>
      <c r="EK58" s="253"/>
      <c r="EL58" s="253"/>
      <c r="EM58" s="253"/>
      <c r="EN58" s="253"/>
      <c r="EO58" s="253"/>
      <c r="EP58" s="253"/>
      <c r="EQ58" s="253"/>
      <c r="ER58" s="253"/>
      <c r="ES58" s="253"/>
      <c r="ET58" s="253"/>
      <c r="EU58" s="253"/>
      <c r="EV58" s="253"/>
      <c r="EW58" s="253"/>
      <c r="EX58" s="253"/>
      <c r="EY58" s="253"/>
      <c r="EZ58" s="253"/>
      <c r="FA58" s="253"/>
      <c r="FB58" s="253"/>
      <c r="FC58" s="253"/>
      <c r="FD58" s="253"/>
      <c r="FE58" s="253"/>
      <c r="FF58" s="253"/>
      <c r="FG58" s="253"/>
      <c r="FH58" s="253"/>
      <c r="FI58" s="253"/>
      <c r="FJ58" s="253"/>
      <c r="FK58" s="253"/>
      <c r="FL58" s="253"/>
      <c r="FM58" s="253"/>
      <c r="FN58" s="253"/>
      <c r="FO58" s="253"/>
      <c r="FP58" s="253"/>
      <c r="FQ58" s="256"/>
      <c r="FR58" s="257" t="s">
        <v>1062</v>
      </c>
      <c r="FS58" s="258" t="s">
        <v>389</v>
      </c>
      <c r="FT58" s="258"/>
      <c r="FU58" s="258" t="s">
        <v>413</v>
      </c>
      <c r="FV58" s="259">
        <f t="shared" si="2"/>
        <v>20</v>
      </c>
      <c r="FW58" s="260" t="s">
        <v>414</v>
      </c>
    </row>
    <row r="59" spans="1:179" s="260" customFormat="1">
      <c r="A59" s="251" t="s">
        <v>393</v>
      </c>
      <c r="B59" s="251" t="s">
        <v>385</v>
      </c>
      <c r="C59" s="251" t="s">
        <v>411</v>
      </c>
      <c r="D59" s="251" t="s">
        <v>1</v>
      </c>
      <c r="E59" s="252" t="s">
        <v>425</v>
      </c>
      <c r="F59" s="251" t="s">
        <v>388</v>
      </c>
      <c r="G59" s="251"/>
      <c r="H59" s="253"/>
      <c r="I59" s="253"/>
      <c r="J59" s="253"/>
      <c r="K59" s="253"/>
      <c r="L59" s="253"/>
      <c r="M59" s="253"/>
      <c r="N59" s="253"/>
      <c r="O59" s="253"/>
      <c r="P59" s="253"/>
      <c r="Q59" s="253"/>
      <c r="R59" s="253"/>
      <c r="S59" s="253"/>
      <c r="T59" s="253"/>
      <c r="U59" s="253"/>
      <c r="V59" s="253"/>
      <c r="W59" s="253"/>
      <c r="X59" s="255">
        <f>100-100</f>
        <v>0</v>
      </c>
      <c r="Y59" s="253"/>
      <c r="Z59" s="253"/>
      <c r="AA59" s="255">
        <f>100-100</f>
        <v>0</v>
      </c>
      <c r="AB59" s="253"/>
      <c r="AC59" s="253"/>
      <c r="AD59" s="253"/>
      <c r="AE59" s="255">
        <f>100-100</f>
        <v>0</v>
      </c>
      <c r="AF59" s="253"/>
      <c r="AG59" s="253"/>
      <c r="AH59" s="253"/>
      <c r="AI59" s="253"/>
      <c r="AJ59" s="253"/>
      <c r="AK59" s="253"/>
      <c r="AL59" s="255">
        <f>100-100</f>
        <v>0</v>
      </c>
      <c r="AM59" s="253"/>
      <c r="AN59" s="253"/>
      <c r="AO59" s="253"/>
      <c r="AP59" s="255">
        <f>100-100</f>
        <v>0</v>
      </c>
      <c r="AQ59" s="253"/>
      <c r="AR59" s="254">
        <f>100-100+20</f>
        <v>20</v>
      </c>
      <c r="AS59" s="253"/>
      <c r="AT59" s="253"/>
      <c r="AU59" s="253"/>
      <c r="AV59" s="253"/>
      <c r="AW59" s="255">
        <f>200-200+20-20</f>
        <v>0</v>
      </c>
      <c r="AX59" s="253"/>
      <c r="AY59" s="253"/>
      <c r="AZ59" s="253"/>
      <c r="BA59" s="253"/>
      <c r="BB59" s="253"/>
      <c r="BC59" s="253"/>
      <c r="BD59" s="253"/>
      <c r="BE59" s="253"/>
      <c r="BF59" s="253"/>
      <c r="BG59" s="253"/>
      <c r="BH59" s="253"/>
      <c r="BI59" s="253"/>
      <c r="BJ59" s="253"/>
      <c r="BK59" s="253"/>
      <c r="BL59" s="253"/>
      <c r="BM59" s="253"/>
      <c r="BN59" s="253"/>
      <c r="BO59" s="253"/>
      <c r="BP59" s="253"/>
      <c r="BQ59" s="253"/>
      <c r="BR59" s="253"/>
      <c r="BS59" s="253"/>
      <c r="BT59" s="253"/>
      <c r="BU59" s="253"/>
      <c r="BV59" s="253"/>
      <c r="BW59" s="253"/>
      <c r="BX59" s="253"/>
      <c r="BY59" s="253"/>
      <c r="BZ59" s="253"/>
      <c r="CA59" s="253"/>
      <c r="CB59" s="253"/>
      <c r="CC59" s="253"/>
      <c r="CD59" s="253"/>
      <c r="CE59" s="253"/>
      <c r="CF59" s="253"/>
      <c r="CG59" s="253"/>
      <c r="CH59" s="253"/>
      <c r="CI59" s="253"/>
      <c r="CJ59" s="253"/>
      <c r="CK59" s="253"/>
      <c r="CL59" s="253"/>
      <c r="CM59" s="253"/>
      <c r="CN59" s="253"/>
      <c r="CO59" s="253"/>
      <c r="CP59" s="253"/>
      <c r="CQ59" s="253"/>
      <c r="CR59" s="253"/>
      <c r="CS59" s="253"/>
      <c r="CT59" s="253"/>
      <c r="CU59" s="253"/>
      <c r="CV59" s="253"/>
      <c r="CW59" s="253"/>
      <c r="CX59" s="253"/>
      <c r="CY59" s="253"/>
      <c r="CZ59" s="253"/>
      <c r="DA59" s="253"/>
      <c r="DB59" s="253"/>
      <c r="DC59" s="253"/>
      <c r="DD59" s="253"/>
      <c r="DE59" s="253"/>
      <c r="DF59" s="253"/>
      <c r="DG59" s="253"/>
      <c r="DH59" s="253"/>
      <c r="DI59" s="253"/>
      <c r="DJ59" s="253"/>
      <c r="DK59" s="253"/>
      <c r="DL59" s="253"/>
      <c r="DM59" s="253"/>
      <c r="DN59" s="253"/>
      <c r="DO59" s="253"/>
      <c r="DP59" s="253"/>
      <c r="DQ59" s="253"/>
      <c r="DR59" s="253"/>
      <c r="DS59" s="253"/>
      <c r="DT59" s="253"/>
      <c r="DU59" s="253"/>
      <c r="DV59" s="253"/>
      <c r="DW59" s="253"/>
      <c r="DX59" s="253"/>
      <c r="DY59" s="253"/>
      <c r="DZ59" s="253"/>
      <c r="EA59" s="253"/>
      <c r="EB59" s="253"/>
      <c r="EC59" s="253"/>
      <c r="ED59" s="253"/>
      <c r="EE59" s="253"/>
      <c r="EF59" s="253"/>
      <c r="EG59" s="253"/>
      <c r="EH59" s="253"/>
      <c r="EI59" s="253"/>
      <c r="EJ59" s="253"/>
      <c r="EK59" s="253"/>
      <c r="EL59" s="253"/>
      <c r="EM59" s="253"/>
      <c r="EN59" s="253"/>
      <c r="EO59" s="253"/>
      <c r="EP59" s="253"/>
      <c r="EQ59" s="253"/>
      <c r="ER59" s="253"/>
      <c r="ES59" s="253"/>
      <c r="ET59" s="253"/>
      <c r="EU59" s="253"/>
      <c r="EV59" s="253"/>
      <c r="EW59" s="253"/>
      <c r="EX59" s="253"/>
      <c r="EY59" s="253"/>
      <c r="EZ59" s="253"/>
      <c r="FA59" s="253"/>
      <c r="FB59" s="253"/>
      <c r="FC59" s="253"/>
      <c r="FD59" s="253"/>
      <c r="FE59" s="253"/>
      <c r="FF59" s="253"/>
      <c r="FG59" s="253"/>
      <c r="FH59" s="253"/>
      <c r="FI59" s="253"/>
      <c r="FJ59" s="253"/>
      <c r="FK59" s="253"/>
      <c r="FL59" s="253"/>
      <c r="FM59" s="253"/>
      <c r="FN59" s="253"/>
      <c r="FO59" s="253"/>
      <c r="FP59" s="253"/>
      <c r="FQ59" s="256"/>
      <c r="FR59" s="257" t="s">
        <v>1062</v>
      </c>
      <c r="FS59" s="258" t="s">
        <v>389</v>
      </c>
      <c r="FT59" s="258"/>
      <c r="FU59" s="258" t="s">
        <v>413</v>
      </c>
      <c r="FV59" s="259">
        <f t="shared" si="2"/>
        <v>20</v>
      </c>
      <c r="FW59" s="260" t="s">
        <v>414</v>
      </c>
    </row>
    <row r="60" spans="1:179" s="260" customFormat="1">
      <c r="A60" s="251" t="s">
        <v>385</v>
      </c>
      <c r="B60" s="251" t="s">
        <v>385</v>
      </c>
      <c r="C60" s="251" t="s">
        <v>411</v>
      </c>
      <c r="D60" s="251" t="s">
        <v>291</v>
      </c>
      <c r="E60" s="252" t="s">
        <v>203</v>
      </c>
      <c r="F60" s="251" t="s">
        <v>388</v>
      </c>
      <c r="G60" s="251" t="s">
        <v>1075</v>
      </c>
      <c r="H60" s="253"/>
      <c r="I60" s="255">
        <f>300-300</f>
        <v>0</v>
      </c>
      <c r="J60" s="253"/>
      <c r="K60" s="255">
        <f>60-60</f>
        <v>0</v>
      </c>
      <c r="L60" s="253"/>
      <c r="M60" s="253"/>
      <c r="N60" s="253"/>
      <c r="O60" s="253"/>
      <c r="P60" s="253"/>
      <c r="Q60" s="253"/>
      <c r="R60" s="253"/>
      <c r="S60" s="253"/>
      <c r="T60" s="253"/>
      <c r="U60" s="253"/>
      <c r="V60" s="253"/>
      <c r="W60" s="253"/>
      <c r="X60" s="253"/>
      <c r="Y60" s="253"/>
      <c r="Z60" s="253"/>
      <c r="AA60" s="253"/>
      <c r="AB60" s="253"/>
      <c r="AC60" s="253"/>
      <c r="AD60" s="253"/>
      <c r="AE60" s="253"/>
      <c r="AF60" s="253"/>
      <c r="AG60" s="253"/>
      <c r="AH60" s="255">
        <f>200-200</f>
        <v>0</v>
      </c>
      <c r="AI60" s="253"/>
      <c r="AJ60" s="255">
        <f>200-200</f>
        <v>0</v>
      </c>
      <c r="AK60" s="255">
        <f>200-200</f>
        <v>0</v>
      </c>
      <c r="AL60" s="253"/>
      <c r="AM60" s="253"/>
      <c r="AN60" s="253"/>
      <c r="AO60" s="253"/>
      <c r="AP60" s="253"/>
      <c r="AQ60" s="253"/>
      <c r="AR60" s="253"/>
      <c r="AS60" s="253"/>
      <c r="AT60" s="253"/>
      <c r="AU60" s="253"/>
      <c r="AV60" s="253"/>
      <c r="AW60" s="253"/>
      <c r="AX60" s="253"/>
      <c r="AY60" s="253"/>
      <c r="AZ60" s="253"/>
      <c r="BA60" s="253"/>
      <c r="BB60" s="253"/>
      <c r="BC60" s="253"/>
      <c r="BD60" s="253"/>
      <c r="BE60" s="253"/>
      <c r="BF60" s="253"/>
      <c r="BG60" s="255">
        <f>200-200+40-40</f>
        <v>0</v>
      </c>
      <c r="BH60" s="253"/>
      <c r="BI60" s="253"/>
      <c r="BJ60" s="253"/>
      <c r="BK60" s="253"/>
      <c r="BL60" s="253"/>
      <c r="BM60" s="253"/>
      <c r="BN60" s="253"/>
      <c r="BO60" s="253"/>
      <c r="BP60" s="253"/>
      <c r="BQ60" s="253"/>
      <c r="BR60" s="253"/>
      <c r="BS60" s="253"/>
      <c r="BT60" s="253"/>
      <c r="BU60" s="253"/>
      <c r="BV60" s="253"/>
      <c r="BW60" s="253"/>
      <c r="BX60" s="253"/>
      <c r="BY60" s="253"/>
      <c r="BZ60" s="253"/>
      <c r="CA60" s="253"/>
      <c r="CB60" s="253"/>
      <c r="CC60" s="253"/>
      <c r="CD60" s="253"/>
      <c r="CE60" s="253"/>
      <c r="CF60" s="253"/>
      <c r="CG60" s="253"/>
      <c r="CH60" s="253"/>
      <c r="CI60" s="253"/>
      <c r="CJ60" s="253"/>
      <c r="CK60" s="253"/>
      <c r="CL60" s="253"/>
      <c r="CM60" s="253"/>
      <c r="CN60" s="253"/>
      <c r="CO60" s="253"/>
      <c r="CP60" s="253"/>
      <c r="CQ60" s="253"/>
      <c r="CR60" s="253"/>
      <c r="CS60" s="253"/>
      <c r="CT60" s="253"/>
      <c r="CU60" s="253"/>
      <c r="CV60" s="253"/>
      <c r="CW60" s="253"/>
      <c r="CX60" s="253"/>
      <c r="CY60" s="253"/>
      <c r="CZ60" s="253"/>
      <c r="DA60" s="253"/>
      <c r="DB60" s="253"/>
      <c r="DC60" s="253"/>
      <c r="DD60" s="253"/>
      <c r="DE60" s="253"/>
      <c r="DF60" s="253"/>
      <c r="DG60" s="253"/>
      <c r="DH60" s="253"/>
      <c r="DI60" s="253"/>
      <c r="DJ60" s="253"/>
      <c r="DK60" s="253"/>
      <c r="DL60" s="253"/>
      <c r="DM60" s="253"/>
      <c r="DN60" s="253"/>
      <c r="DO60" s="253"/>
      <c r="DP60" s="253"/>
      <c r="DQ60" s="253"/>
      <c r="DR60" s="253"/>
      <c r="DS60" s="253"/>
      <c r="DT60" s="253"/>
      <c r="DU60" s="253"/>
      <c r="DV60" s="253"/>
      <c r="DW60" s="253"/>
      <c r="DX60" s="253"/>
      <c r="DY60" s="253"/>
      <c r="DZ60" s="253"/>
      <c r="EA60" s="253"/>
      <c r="EB60" s="253"/>
      <c r="EC60" s="253"/>
      <c r="ED60" s="253"/>
      <c r="EE60" s="253"/>
      <c r="EF60" s="253"/>
      <c r="EG60" s="253"/>
      <c r="EH60" s="253"/>
      <c r="EI60" s="253"/>
      <c r="EJ60" s="253"/>
      <c r="EK60" s="253"/>
      <c r="EL60" s="253"/>
      <c r="EM60" s="253"/>
      <c r="EN60" s="253"/>
      <c r="EO60" s="253"/>
      <c r="EP60" s="253"/>
      <c r="EQ60" s="253"/>
      <c r="ER60" s="253"/>
      <c r="ES60" s="253"/>
      <c r="ET60" s="253"/>
      <c r="EU60" s="253"/>
      <c r="EV60" s="253"/>
      <c r="EW60" s="253"/>
      <c r="EX60" s="253"/>
      <c r="EY60" s="253"/>
      <c r="EZ60" s="253"/>
      <c r="FA60" s="253"/>
      <c r="FB60" s="253"/>
      <c r="FC60" s="253"/>
      <c r="FD60" s="253"/>
      <c r="FE60" s="253"/>
      <c r="FF60" s="253"/>
      <c r="FG60" s="253"/>
      <c r="FH60" s="253"/>
      <c r="FI60" s="253"/>
      <c r="FJ60" s="253"/>
      <c r="FK60" s="253"/>
      <c r="FL60" s="253"/>
      <c r="FM60" s="253"/>
      <c r="FN60" s="253"/>
      <c r="FO60" s="253"/>
      <c r="FP60" s="253"/>
      <c r="FQ60" s="256"/>
      <c r="FR60" s="257" t="s">
        <v>1062</v>
      </c>
      <c r="FS60" s="258" t="s">
        <v>389</v>
      </c>
      <c r="FT60" s="258" t="s">
        <v>839</v>
      </c>
      <c r="FU60" s="258" t="s">
        <v>426</v>
      </c>
      <c r="FV60" s="259">
        <f t="shared" si="2"/>
        <v>0</v>
      </c>
      <c r="FW60" s="260" t="s">
        <v>433</v>
      </c>
    </row>
    <row r="61" spans="1:179" s="260" customFormat="1">
      <c r="A61" s="251" t="s">
        <v>385</v>
      </c>
      <c r="B61" s="251" t="s">
        <v>385</v>
      </c>
      <c r="C61" s="251" t="s">
        <v>411</v>
      </c>
      <c r="D61" s="251" t="s">
        <v>1</v>
      </c>
      <c r="E61" s="252" t="s">
        <v>203</v>
      </c>
      <c r="F61" s="251" t="s">
        <v>388</v>
      </c>
      <c r="G61" s="251" t="s">
        <v>1075</v>
      </c>
      <c r="H61" s="253"/>
      <c r="I61" s="253"/>
      <c r="J61" s="253"/>
      <c r="K61" s="253"/>
      <c r="L61" s="253"/>
      <c r="M61" s="253"/>
      <c r="N61" s="253"/>
      <c r="O61" s="253"/>
      <c r="P61" s="255">
        <f>200-200</f>
        <v>0</v>
      </c>
      <c r="Q61" s="253"/>
      <c r="R61" s="255">
        <f>200-200</f>
        <v>0</v>
      </c>
      <c r="S61" s="255">
        <f>300-300</f>
        <v>0</v>
      </c>
      <c r="T61" s="253"/>
      <c r="U61" s="253"/>
      <c r="V61" s="253"/>
      <c r="W61" s="253"/>
      <c r="X61" s="253"/>
      <c r="Y61" s="253"/>
      <c r="Z61" s="253"/>
      <c r="AA61" s="253"/>
      <c r="AB61" s="253"/>
      <c r="AC61" s="253"/>
      <c r="AD61" s="253"/>
      <c r="AE61" s="255">
        <f>200-200</f>
        <v>0</v>
      </c>
      <c r="AF61" s="254">
        <f>200-200+20</f>
        <v>20</v>
      </c>
      <c r="AG61" s="253"/>
      <c r="AH61" s="253"/>
      <c r="AI61" s="253"/>
      <c r="AJ61" s="253"/>
      <c r="AK61" s="253"/>
      <c r="AL61" s="253"/>
      <c r="AM61" s="253"/>
      <c r="AN61" s="255">
        <f>200-200</f>
        <v>0</v>
      </c>
      <c r="AO61" s="253"/>
      <c r="AP61" s="255">
        <f>200-200</f>
        <v>0</v>
      </c>
      <c r="AQ61" s="253"/>
      <c r="AR61" s="253"/>
      <c r="AS61" s="253"/>
      <c r="AT61" s="253"/>
      <c r="AU61" s="253"/>
      <c r="AV61" s="253"/>
      <c r="AW61" s="255">
        <f>300-300+20-20</f>
        <v>0</v>
      </c>
      <c r="AX61" s="253"/>
      <c r="AY61" s="253"/>
      <c r="AZ61" s="253"/>
      <c r="BA61" s="253"/>
      <c r="BB61" s="253"/>
      <c r="BC61" s="255">
        <f>200-200+40</f>
        <v>40</v>
      </c>
      <c r="BD61" s="253"/>
      <c r="BE61" s="253"/>
      <c r="BF61" s="253"/>
      <c r="BG61" s="253"/>
      <c r="BH61" s="253"/>
      <c r="BI61" s="253"/>
      <c r="BJ61" s="253"/>
      <c r="BK61" s="253"/>
      <c r="BL61" s="253"/>
      <c r="BM61" s="253"/>
      <c r="BN61" s="253"/>
      <c r="BO61" s="253"/>
      <c r="BP61" s="253"/>
      <c r="BQ61" s="253"/>
      <c r="BR61" s="253"/>
      <c r="BS61" s="253"/>
      <c r="BT61" s="253"/>
      <c r="BU61" s="253"/>
      <c r="BV61" s="253"/>
      <c r="BW61" s="253"/>
      <c r="BX61" s="253"/>
      <c r="BY61" s="253"/>
      <c r="BZ61" s="253"/>
      <c r="CA61" s="253"/>
      <c r="CB61" s="253"/>
      <c r="CC61" s="253"/>
      <c r="CD61" s="253"/>
      <c r="CE61" s="253"/>
      <c r="CF61" s="253"/>
      <c r="CG61" s="253"/>
      <c r="CH61" s="253"/>
      <c r="CI61" s="253"/>
      <c r="CJ61" s="253"/>
      <c r="CK61" s="253"/>
      <c r="CL61" s="253"/>
      <c r="CM61" s="253"/>
      <c r="CN61" s="253"/>
      <c r="CO61" s="253"/>
      <c r="CP61" s="253"/>
      <c r="CQ61" s="253"/>
      <c r="CR61" s="253"/>
      <c r="CS61" s="253"/>
      <c r="CT61" s="253"/>
      <c r="CU61" s="253"/>
      <c r="CV61" s="253"/>
      <c r="CW61" s="253"/>
      <c r="CX61" s="253"/>
      <c r="CY61" s="253"/>
      <c r="CZ61" s="253"/>
      <c r="DA61" s="253"/>
      <c r="DB61" s="253"/>
      <c r="DC61" s="253"/>
      <c r="DD61" s="253"/>
      <c r="DE61" s="253"/>
      <c r="DF61" s="253"/>
      <c r="DG61" s="253"/>
      <c r="DH61" s="253"/>
      <c r="DI61" s="253"/>
      <c r="DJ61" s="253"/>
      <c r="DK61" s="253"/>
      <c r="DL61" s="253"/>
      <c r="DM61" s="253"/>
      <c r="DN61" s="253"/>
      <c r="DO61" s="253"/>
      <c r="DP61" s="253"/>
      <c r="DQ61" s="253"/>
      <c r="DR61" s="253"/>
      <c r="DS61" s="253"/>
      <c r="DT61" s="253"/>
      <c r="DU61" s="253"/>
      <c r="DV61" s="253"/>
      <c r="DW61" s="253"/>
      <c r="DX61" s="253"/>
      <c r="DY61" s="253"/>
      <c r="DZ61" s="253"/>
      <c r="EA61" s="253"/>
      <c r="EB61" s="253"/>
      <c r="EC61" s="253"/>
      <c r="ED61" s="253"/>
      <c r="EE61" s="253"/>
      <c r="EF61" s="253"/>
      <c r="EG61" s="253"/>
      <c r="EH61" s="253"/>
      <c r="EI61" s="255">
        <f>100-100</f>
        <v>0</v>
      </c>
      <c r="EJ61" s="255">
        <f>100-100</f>
        <v>0</v>
      </c>
      <c r="EK61" s="253"/>
      <c r="EL61" s="253"/>
      <c r="EM61" s="255">
        <f>100-100</f>
        <v>0</v>
      </c>
      <c r="EN61" s="253"/>
      <c r="EO61" s="253"/>
      <c r="EP61" s="255">
        <f>100-100</f>
        <v>0</v>
      </c>
      <c r="EQ61" s="253"/>
      <c r="ER61" s="255">
        <f>200-200</f>
        <v>0</v>
      </c>
      <c r="ES61" s="253"/>
      <c r="ET61" s="253"/>
      <c r="EU61" s="253"/>
      <c r="EV61" s="253"/>
      <c r="EW61" s="253"/>
      <c r="EX61" s="253"/>
      <c r="EY61" s="253"/>
      <c r="EZ61" s="253"/>
      <c r="FA61" s="253"/>
      <c r="FB61" s="253"/>
      <c r="FC61" s="253"/>
      <c r="FD61" s="253"/>
      <c r="FE61" s="253"/>
      <c r="FF61" s="253"/>
      <c r="FG61" s="253"/>
      <c r="FH61" s="253"/>
      <c r="FI61" s="253"/>
      <c r="FJ61" s="253"/>
      <c r="FK61" s="253"/>
      <c r="FL61" s="253"/>
      <c r="FM61" s="253"/>
      <c r="FN61" s="253"/>
      <c r="FO61" s="253"/>
      <c r="FP61" s="253"/>
      <c r="FQ61" s="256"/>
      <c r="FR61" s="257" t="s">
        <v>1062</v>
      </c>
      <c r="FS61" s="258" t="s">
        <v>389</v>
      </c>
      <c r="FT61" s="258" t="s">
        <v>839</v>
      </c>
      <c r="FU61" s="258" t="s">
        <v>426</v>
      </c>
      <c r="FV61" s="259">
        <f t="shared" si="2"/>
        <v>60</v>
      </c>
      <c r="FW61" s="260" t="s">
        <v>433</v>
      </c>
    </row>
    <row r="62" spans="1:179" s="260" customFormat="1">
      <c r="A62" s="251" t="s">
        <v>393</v>
      </c>
      <c r="B62" s="251" t="s">
        <v>385</v>
      </c>
      <c r="C62" s="251" t="s">
        <v>411</v>
      </c>
      <c r="D62" s="251" t="s">
        <v>291</v>
      </c>
      <c r="E62" s="252" t="s">
        <v>427</v>
      </c>
      <c r="F62" s="251" t="s">
        <v>388</v>
      </c>
      <c r="G62" s="251" t="s">
        <v>1076</v>
      </c>
      <c r="H62" s="253"/>
      <c r="I62" s="255">
        <f>200-200</f>
        <v>0</v>
      </c>
      <c r="J62" s="253"/>
      <c r="K62" s="255">
        <f>200-200</f>
        <v>0</v>
      </c>
      <c r="L62" s="253"/>
      <c r="M62" s="253"/>
      <c r="N62" s="253"/>
      <c r="O62" s="253"/>
      <c r="P62" s="253"/>
      <c r="Q62" s="253"/>
      <c r="R62" s="253"/>
      <c r="S62" s="253"/>
      <c r="T62" s="253"/>
      <c r="U62" s="253"/>
      <c r="V62" s="253"/>
      <c r="W62" s="253"/>
      <c r="X62" s="253"/>
      <c r="Y62" s="253"/>
      <c r="Z62" s="253"/>
      <c r="AA62" s="253"/>
      <c r="AB62" s="253"/>
      <c r="AC62" s="253"/>
      <c r="AD62" s="253"/>
      <c r="AE62" s="253"/>
      <c r="AF62" s="253"/>
      <c r="AG62" s="253"/>
      <c r="AH62" s="255">
        <f>400-400</f>
        <v>0</v>
      </c>
      <c r="AI62" s="253"/>
      <c r="AJ62" s="255">
        <f>200-200</f>
        <v>0</v>
      </c>
      <c r="AK62" s="255">
        <f>200-200</f>
        <v>0</v>
      </c>
      <c r="AL62" s="253"/>
      <c r="AM62" s="253"/>
      <c r="AN62" s="253"/>
      <c r="AO62" s="253"/>
      <c r="AP62" s="253"/>
      <c r="AQ62" s="253"/>
      <c r="AR62" s="253"/>
      <c r="AS62" s="255">
        <f>200-200</f>
        <v>0</v>
      </c>
      <c r="AT62" s="255">
        <f>200-200</f>
        <v>0</v>
      </c>
      <c r="AU62" s="253"/>
      <c r="AV62" s="253"/>
      <c r="AW62" s="253"/>
      <c r="AX62" s="253"/>
      <c r="AY62" s="253"/>
      <c r="AZ62" s="253"/>
      <c r="BA62" s="255">
        <f>200-200</f>
        <v>0</v>
      </c>
      <c r="BB62" s="253"/>
      <c r="BC62" s="253"/>
      <c r="BD62" s="253"/>
      <c r="BE62" s="253"/>
      <c r="BF62" s="253"/>
      <c r="BG62" s="255">
        <f>100-100+40-40</f>
        <v>0</v>
      </c>
      <c r="BH62" s="253"/>
      <c r="BI62" s="253"/>
      <c r="BJ62" s="253"/>
      <c r="BK62" s="253"/>
      <c r="BL62" s="253"/>
      <c r="BM62" s="253"/>
      <c r="BN62" s="253"/>
      <c r="BO62" s="253"/>
      <c r="BP62" s="253"/>
      <c r="BQ62" s="253"/>
      <c r="BR62" s="253"/>
      <c r="BS62" s="253"/>
      <c r="BT62" s="253"/>
      <c r="BU62" s="253"/>
      <c r="BV62" s="253"/>
      <c r="BW62" s="253"/>
      <c r="BX62" s="253"/>
      <c r="BY62" s="253"/>
      <c r="BZ62" s="253"/>
      <c r="CA62" s="253"/>
      <c r="CB62" s="253"/>
      <c r="CC62" s="253"/>
      <c r="CD62" s="253"/>
      <c r="CE62" s="253"/>
      <c r="CF62" s="253"/>
      <c r="CG62" s="253"/>
      <c r="CH62" s="253"/>
      <c r="CI62" s="253"/>
      <c r="CJ62" s="253"/>
      <c r="CK62" s="253"/>
      <c r="CL62" s="253"/>
      <c r="CM62" s="253"/>
      <c r="CN62" s="253"/>
      <c r="CO62" s="253"/>
      <c r="CP62" s="253"/>
      <c r="CQ62" s="253"/>
      <c r="CR62" s="253"/>
      <c r="CS62" s="253"/>
      <c r="CT62" s="253"/>
      <c r="CU62" s="253"/>
      <c r="CV62" s="253"/>
      <c r="CW62" s="253"/>
      <c r="CX62" s="253"/>
      <c r="CY62" s="253"/>
      <c r="CZ62" s="253"/>
      <c r="DA62" s="253"/>
      <c r="DB62" s="253"/>
      <c r="DC62" s="253"/>
      <c r="DD62" s="253"/>
      <c r="DE62" s="253"/>
      <c r="DF62" s="253"/>
      <c r="DG62" s="253"/>
      <c r="DH62" s="253"/>
      <c r="DI62" s="253"/>
      <c r="DJ62" s="253"/>
      <c r="DK62" s="253"/>
      <c r="DL62" s="253"/>
      <c r="DM62" s="253"/>
      <c r="DN62" s="253"/>
      <c r="DO62" s="253"/>
      <c r="DP62" s="253"/>
      <c r="DQ62" s="253"/>
      <c r="DR62" s="253"/>
      <c r="DS62" s="253"/>
      <c r="DT62" s="253"/>
      <c r="DU62" s="253"/>
      <c r="DV62" s="253"/>
      <c r="DW62" s="253"/>
      <c r="DX62" s="253"/>
      <c r="DY62" s="255">
        <f>100-100</f>
        <v>0</v>
      </c>
      <c r="DZ62" s="253">
        <v>100</v>
      </c>
      <c r="EA62" s="253"/>
      <c r="EB62" s="253"/>
      <c r="EC62" s="253"/>
      <c r="ED62" s="253"/>
      <c r="EE62" s="253"/>
      <c r="EF62" s="253"/>
      <c r="EG62" s="253"/>
      <c r="EH62" s="253"/>
      <c r="EI62" s="253"/>
      <c r="EJ62" s="253"/>
      <c r="EK62" s="253"/>
      <c r="EL62" s="253"/>
      <c r="EM62" s="253"/>
      <c r="EN62" s="253"/>
      <c r="EO62" s="253"/>
      <c r="EP62" s="253"/>
      <c r="EQ62" s="253"/>
      <c r="ER62" s="253"/>
      <c r="ES62" s="253"/>
      <c r="ET62" s="253"/>
      <c r="EU62" s="253"/>
      <c r="EV62" s="253"/>
      <c r="EW62" s="253"/>
      <c r="EX62" s="253"/>
      <c r="EY62" s="253"/>
      <c r="EZ62" s="253"/>
      <c r="FA62" s="253"/>
      <c r="FB62" s="253"/>
      <c r="FC62" s="253"/>
      <c r="FD62" s="253"/>
      <c r="FE62" s="253"/>
      <c r="FF62" s="253"/>
      <c r="FG62" s="253"/>
      <c r="FH62" s="253"/>
      <c r="FI62" s="253"/>
      <c r="FJ62" s="253"/>
      <c r="FK62" s="253"/>
      <c r="FL62" s="253"/>
      <c r="FM62" s="253"/>
      <c r="FN62" s="253"/>
      <c r="FO62" s="253"/>
      <c r="FP62" s="253"/>
      <c r="FQ62" s="256"/>
      <c r="FR62" s="257" t="s">
        <v>1062</v>
      </c>
      <c r="FS62" s="258" t="s">
        <v>389</v>
      </c>
      <c r="FT62" s="258"/>
      <c r="FU62" s="258" t="s">
        <v>423</v>
      </c>
      <c r="FV62" s="259">
        <f t="shared" si="2"/>
        <v>100</v>
      </c>
      <c r="FW62" s="260" t="s">
        <v>835</v>
      </c>
    </row>
    <row r="63" spans="1:179" s="260" customFormat="1">
      <c r="A63" s="251" t="s">
        <v>393</v>
      </c>
      <c r="B63" s="251" t="s">
        <v>385</v>
      </c>
      <c r="C63" s="251" t="s">
        <v>411</v>
      </c>
      <c r="D63" s="251" t="s">
        <v>1</v>
      </c>
      <c r="E63" s="252" t="s">
        <v>427</v>
      </c>
      <c r="F63" s="251" t="s">
        <v>388</v>
      </c>
      <c r="G63" s="251" t="s">
        <v>1076</v>
      </c>
      <c r="H63" s="253"/>
      <c r="I63" s="253"/>
      <c r="J63" s="253"/>
      <c r="K63" s="253"/>
      <c r="L63" s="254">
        <f>200-200+200</f>
        <v>200</v>
      </c>
      <c r="M63" s="253"/>
      <c r="N63" s="253"/>
      <c r="O63" s="253"/>
      <c r="P63" s="255">
        <f>400-400</f>
        <v>0</v>
      </c>
      <c r="Q63" s="253"/>
      <c r="R63" s="255">
        <f>400-400</f>
        <v>0</v>
      </c>
      <c r="S63" s="255">
        <f>200-200</f>
        <v>0</v>
      </c>
      <c r="T63" s="253"/>
      <c r="U63" s="253"/>
      <c r="V63" s="255">
        <f>100-100</f>
        <v>0</v>
      </c>
      <c r="W63" s="253"/>
      <c r="X63" s="255">
        <f>100-100</f>
        <v>0</v>
      </c>
      <c r="Y63" s="253"/>
      <c r="Z63" s="253"/>
      <c r="AA63" s="253"/>
      <c r="AB63" s="253"/>
      <c r="AC63" s="253"/>
      <c r="AD63" s="255">
        <f>100-100</f>
        <v>0</v>
      </c>
      <c r="AE63" s="255">
        <f>400-400</f>
        <v>0</v>
      </c>
      <c r="AF63" s="254">
        <f>100-100+20</f>
        <v>20</v>
      </c>
      <c r="AG63" s="253"/>
      <c r="AH63" s="253"/>
      <c r="AI63" s="253"/>
      <c r="AJ63" s="253"/>
      <c r="AK63" s="253"/>
      <c r="AL63" s="253"/>
      <c r="AM63" s="253"/>
      <c r="AN63" s="253"/>
      <c r="AO63" s="253"/>
      <c r="AP63" s="255">
        <f>200-200</f>
        <v>0</v>
      </c>
      <c r="AQ63" s="253"/>
      <c r="AR63" s="253"/>
      <c r="AS63" s="253"/>
      <c r="AT63" s="253"/>
      <c r="AU63" s="253"/>
      <c r="AV63" s="253"/>
      <c r="AW63" s="255">
        <f>200-200+60-60</f>
        <v>0</v>
      </c>
      <c r="AX63" s="253"/>
      <c r="AY63" s="253"/>
      <c r="AZ63" s="253"/>
      <c r="BA63" s="253"/>
      <c r="BB63" s="253"/>
      <c r="BC63" s="253"/>
      <c r="BD63" s="253"/>
      <c r="BE63" s="253"/>
      <c r="BF63" s="253"/>
      <c r="BG63" s="253"/>
      <c r="BH63" s="253"/>
      <c r="BI63" s="255">
        <f>100-100</f>
        <v>0</v>
      </c>
      <c r="BJ63" s="253"/>
      <c r="BK63" s="253"/>
      <c r="BL63" s="253"/>
      <c r="BM63" s="253"/>
      <c r="BN63" s="253"/>
      <c r="BO63" s="253"/>
      <c r="BP63" s="253"/>
      <c r="BQ63" s="253"/>
      <c r="BR63" s="253"/>
      <c r="BS63" s="253"/>
      <c r="BT63" s="253"/>
      <c r="BU63" s="253"/>
      <c r="BV63" s="253"/>
      <c r="BW63" s="253"/>
      <c r="BX63" s="253"/>
      <c r="BY63" s="253"/>
      <c r="BZ63" s="253"/>
      <c r="CA63" s="253"/>
      <c r="CB63" s="253"/>
      <c r="CC63" s="253"/>
      <c r="CD63" s="253"/>
      <c r="CE63" s="253"/>
      <c r="CF63" s="253"/>
      <c r="CG63" s="253"/>
      <c r="CH63" s="253"/>
      <c r="CI63" s="253"/>
      <c r="CJ63" s="253"/>
      <c r="CK63" s="253"/>
      <c r="CL63" s="253"/>
      <c r="CM63" s="253"/>
      <c r="CN63" s="253"/>
      <c r="CO63" s="253"/>
      <c r="CP63" s="253"/>
      <c r="CQ63" s="253"/>
      <c r="CR63" s="253"/>
      <c r="CS63" s="253"/>
      <c r="CT63" s="253"/>
      <c r="CU63" s="253"/>
      <c r="CV63" s="253"/>
      <c r="CW63" s="253"/>
      <c r="CX63" s="253"/>
      <c r="CY63" s="253"/>
      <c r="CZ63" s="253"/>
      <c r="DA63" s="253"/>
      <c r="DB63" s="253"/>
      <c r="DC63" s="253"/>
      <c r="DD63" s="253"/>
      <c r="DE63" s="253"/>
      <c r="DF63" s="253"/>
      <c r="DG63" s="253"/>
      <c r="DH63" s="253"/>
      <c r="DI63" s="253"/>
      <c r="DJ63" s="253"/>
      <c r="DK63" s="253"/>
      <c r="DL63" s="253"/>
      <c r="DM63" s="253"/>
      <c r="DN63" s="253"/>
      <c r="DO63" s="253"/>
      <c r="DP63" s="253"/>
      <c r="DQ63" s="253"/>
      <c r="DR63" s="253"/>
      <c r="DS63" s="253"/>
      <c r="DT63" s="253"/>
      <c r="DU63" s="253"/>
      <c r="DV63" s="253"/>
      <c r="DW63" s="253"/>
      <c r="DX63" s="253"/>
      <c r="DY63" s="253"/>
      <c r="DZ63" s="253"/>
      <c r="EA63" s="253"/>
      <c r="EB63" s="253"/>
      <c r="EC63" s="253"/>
      <c r="ED63" s="253"/>
      <c r="EE63" s="253"/>
      <c r="EF63" s="253"/>
      <c r="EG63" s="253"/>
      <c r="EH63" s="253"/>
      <c r="EI63" s="255">
        <f>200-200</f>
        <v>0</v>
      </c>
      <c r="EJ63" s="255">
        <f>20-20</f>
        <v>0</v>
      </c>
      <c r="EK63" s="255">
        <f>200-200</f>
        <v>0</v>
      </c>
      <c r="EL63" s="253"/>
      <c r="EM63" s="255">
        <f>200-200</f>
        <v>0</v>
      </c>
      <c r="EN63" s="253"/>
      <c r="EO63" s="255">
        <f>200-200</f>
        <v>0</v>
      </c>
      <c r="EP63" s="255">
        <f>200-200</f>
        <v>0</v>
      </c>
      <c r="EQ63" s="253"/>
      <c r="ER63" s="255">
        <f>200-200</f>
        <v>0</v>
      </c>
      <c r="ES63" s="253"/>
      <c r="ET63" s="253"/>
      <c r="EU63" s="253"/>
      <c r="EV63" s="253"/>
      <c r="EW63" s="253"/>
      <c r="EX63" s="253"/>
      <c r="EY63" s="253"/>
      <c r="EZ63" s="253"/>
      <c r="FA63" s="253"/>
      <c r="FB63" s="253"/>
      <c r="FC63" s="253"/>
      <c r="FD63" s="253"/>
      <c r="FE63" s="253"/>
      <c r="FF63" s="253"/>
      <c r="FG63" s="253"/>
      <c r="FH63" s="253"/>
      <c r="FI63" s="253"/>
      <c r="FJ63" s="253"/>
      <c r="FK63" s="253"/>
      <c r="FL63" s="253"/>
      <c r="FM63" s="255">
        <f>300-300</f>
        <v>0</v>
      </c>
      <c r="FN63" s="255">
        <f>300-300</f>
        <v>0</v>
      </c>
      <c r="FO63" s="253"/>
      <c r="FP63" s="253"/>
      <c r="FQ63" s="256"/>
      <c r="FR63" s="257" t="s">
        <v>1062</v>
      </c>
      <c r="FS63" s="258" t="s">
        <v>389</v>
      </c>
      <c r="FT63" s="258"/>
      <c r="FU63" s="258" t="s">
        <v>423</v>
      </c>
      <c r="FV63" s="259">
        <f t="shared" si="2"/>
        <v>220</v>
      </c>
      <c r="FW63" s="260" t="s">
        <v>835</v>
      </c>
    </row>
    <row r="64" spans="1:179" s="260" customFormat="1">
      <c r="A64" s="251" t="s">
        <v>393</v>
      </c>
      <c r="B64" s="251" t="s">
        <v>385</v>
      </c>
      <c r="C64" s="251" t="s">
        <v>411</v>
      </c>
      <c r="D64" s="251" t="s">
        <v>293</v>
      </c>
      <c r="E64" s="252" t="s">
        <v>427</v>
      </c>
      <c r="F64" s="251" t="s">
        <v>388</v>
      </c>
      <c r="G64" s="251" t="s">
        <v>842</v>
      </c>
      <c r="H64" s="253"/>
      <c r="I64" s="253"/>
      <c r="J64" s="255">
        <f>200-200</f>
        <v>0</v>
      </c>
      <c r="K64" s="253"/>
      <c r="L64" s="253"/>
      <c r="M64" s="253"/>
      <c r="N64" s="253"/>
      <c r="O64" s="253"/>
      <c r="P64" s="253"/>
      <c r="Q64" s="253"/>
      <c r="R64" s="253"/>
      <c r="S64" s="253"/>
      <c r="T64" s="253"/>
      <c r="U64" s="253"/>
      <c r="V64" s="253"/>
      <c r="W64" s="253"/>
      <c r="X64" s="253"/>
      <c r="Y64" s="253"/>
      <c r="Z64" s="253"/>
      <c r="AA64" s="253"/>
      <c r="AB64" s="253"/>
      <c r="AC64" s="253"/>
      <c r="AD64" s="253"/>
      <c r="AE64" s="253"/>
      <c r="AF64" s="253"/>
      <c r="AG64" s="253"/>
      <c r="AH64" s="253"/>
      <c r="AI64" s="253"/>
      <c r="AJ64" s="253"/>
      <c r="AK64" s="253"/>
      <c r="AL64" s="253"/>
      <c r="AM64" s="253"/>
      <c r="AN64" s="253"/>
      <c r="AO64" s="253"/>
      <c r="AP64" s="253"/>
      <c r="AQ64" s="253"/>
      <c r="AR64" s="253"/>
      <c r="AS64" s="253"/>
      <c r="AT64" s="253"/>
      <c r="AU64" s="253"/>
      <c r="AV64" s="253"/>
      <c r="AW64" s="253"/>
      <c r="AX64" s="253"/>
      <c r="AY64" s="253"/>
      <c r="AZ64" s="253"/>
      <c r="BA64" s="253"/>
      <c r="BB64" s="253"/>
      <c r="BC64" s="253"/>
      <c r="BD64" s="253"/>
      <c r="BE64" s="253"/>
      <c r="BF64" s="253"/>
      <c r="BG64" s="253"/>
      <c r="BH64" s="253"/>
      <c r="BI64" s="253"/>
      <c r="BJ64" s="253"/>
      <c r="BK64" s="253"/>
      <c r="BL64" s="253"/>
      <c r="BM64" s="253"/>
      <c r="BN64" s="253"/>
      <c r="BO64" s="253"/>
      <c r="BP64" s="253"/>
      <c r="BQ64" s="253"/>
      <c r="BR64" s="253"/>
      <c r="BS64" s="253"/>
      <c r="BT64" s="253"/>
      <c r="BU64" s="253"/>
      <c r="BV64" s="253"/>
      <c r="BW64" s="253"/>
      <c r="BX64" s="253"/>
      <c r="BY64" s="253"/>
      <c r="BZ64" s="253"/>
      <c r="CA64" s="253"/>
      <c r="CB64" s="253"/>
      <c r="CC64" s="253"/>
      <c r="CD64" s="253"/>
      <c r="CE64" s="253"/>
      <c r="CF64" s="253"/>
      <c r="CG64" s="253"/>
      <c r="CH64" s="253"/>
      <c r="CI64" s="253"/>
      <c r="CJ64" s="253"/>
      <c r="CK64" s="253"/>
      <c r="CL64" s="253"/>
      <c r="CM64" s="253"/>
      <c r="CN64" s="253"/>
      <c r="CO64" s="253"/>
      <c r="CP64" s="253"/>
      <c r="CQ64" s="253"/>
      <c r="CR64" s="253"/>
      <c r="CS64" s="253"/>
      <c r="CT64" s="253"/>
      <c r="CU64" s="253"/>
      <c r="CV64" s="253"/>
      <c r="CW64" s="253"/>
      <c r="CX64" s="253"/>
      <c r="CY64" s="253"/>
      <c r="CZ64" s="253"/>
      <c r="DA64" s="253"/>
      <c r="DB64" s="253"/>
      <c r="DC64" s="253"/>
      <c r="DD64" s="253"/>
      <c r="DE64" s="253"/>
      <c r="DF64" s="253"/>
      <c r="DG64" s="253"/>
      <c r="DH64" s="253"/>
      <c r="DI64" s="253"/>
      <c r="DJ64" s="253"/>
      <c r="DK64" s="253"/>
      <c r="DL64" s="253"/>
      <c r="DM64" s="253"/>
      <c r="DN64" s="253"/>
      <c r="DO64" s="253"/>
      <c r="DP64" s="253"/>
      <c r="DQ64" s="253"/>
      <c r="DR64" s="253"/>
      <c r="DS64" s="253"/>
      <c r="DT64" s="253"/>
      <c r="DU64" s="253"/>
      <c r="DV64" s="253"/>
      <c r="DW64" s="253"/>
      <c r="DX64" s="253"/>
      <c r="DY64" s="253"/>
      <c r="DZ64" s="253"/>
      <c r="EA64" s="253"/>
      <c r="EB64" s="253"/>
      <c r="EC64" s="253"/>
      <c r="ED64" s="253"/>
      <c r="EE64" s="253"/>
      <c r="EF64" s="253"/>
      <c r="EG64" s="253"/>
      <c r="EH64" s="253"/>
      <c r="EI64" s="253"/>
      <c r="EJ64" s="253"/>
      <c r="EK64" s="253"/>
      <c r="EL64" s="253"/>
      <c r="EM64" s="253"/>
      <c r="EN64" s="253"/>
      <c r="EO64" s="253"/>
      <c r="EP64" s="253"/>
      <c r="EQ64" s="253"/>
      <c r="ER64" s="253"/>
      <c r="ES64" s="253"/>
      <c r="ET64" s="253"/>
      <c r="EU64" s="253"/>
      <c r="EV64" s="253"/>
      <c r="EW64" s="253"/>
      <c r="EX64" s="253"/>
      <c r="EY64" s="253"/>
      <c r="EZ64" s="253"/>
      <c r="FA64" s="253"/>
      <c r="FB64" s="253"/>
      <c r="FC64" s="253"/>
      <c r="FD64" s="253"/>
      <c r="FE64" s="253"/>
      <c r="FF64" s="253"/>
      <c r="FG64" s="253"/>
      <c r="FH64" s="253"/>
      <c r="FI64" s="253"/>
      <c r="FJ64" s="253"/>
      <c r="FK64" s="253"/>
      <c r="FL64" s="253"/>
      <c r="FM64" s="253"/>
      <c r="FN64" s="253"/>
      <c r="FO64" s="253"/>
      <c r="FP64" s="253"/>
      <c r="FQ64" s="256"/>
      <c r="FR64" s="257" t="s">
        <v>1062</v>
      </c>
      <c r="FS64" s="258" t="s">
        <v>389</v>
      </c>
      <c r="FT64" s="258"/>
      <c r="FU64" s="258" t="s">
        <v>423</v>
      </c>
      <c r="FV64" s="259">
        <f t="shared" si="2"/>
        <v>0</v>
      </c>
      <c r="FW64" s="260" t="s">
        <v>835</v>
      </c>
    </row>
    <row r="65" spans="1:179" s="260" customFormat="1">
      <c r="A65" s="251" t="s">
        <v>393</v>
      </c>
      <c r="B65" s="251" t="s">
        <v>385</v>
      </c>
      <c r="C65" s="251" t="s">
        <v>411</v>
      </c>
      <c r="D65" s="251" t="s">
        <v>291</v>
      </c>
      <c r="E65" s="252" t="s">
        <v>428</v>
      </c>
      <c r="F65" s="251" t="s">
        <v>388</v>
      </c>
      <c r="G65" s="251"/>
      <c r="H65" s="253"/>
      <c r="I65" s="253"/>
      <c r="J65" s="253"/>
      <c r="K65" s="253"/>
      <c r="L65" s="253"/>
      <c r="M65" s="253"/>
      <c r="N65" s="253"/>
      <c r="O65" s="253"/>
      <c r="P65" s="253"/>
      <c r="Q65" s="253"/>
      <c r="R65" s="253"/>
      <c r="S65" s="253"/>
      <c r="T65" s="253"/>
      <c r="U65" s="253"/>
      <c r="V65" s="253"/>
      <c r="W65" s="253"/>
      <c r="X65" s="253"/>
      <c r="Y65" s="253"/>
      <c r="Z65" s="253"/>
      <c r="AA65" s="253"/>
      <c r="AB65" s="253"/>
      <c r="AC65" s="253"/>
      <c r="AD65" s="253"/>
      <c r="AE65" s="253"/>
      <c r="AF65" s="253"/>
      <c r="AG65" s="253"/>
      <c r="AH65" s="254">
        <f>20-20+20</f>
        <v>20</v>
      </c>
      <c r="AI65" s="253"/>
      <c r="AJ65" s="255">
        <f>20-20</f>
        <v>0</v>
      </c>
      <c r="AK65" s="255">
        <f>20-20</f>
        <v>0</v>
      </c>
      <c r="AL65" s="253"/>
      <c r="AM65" s="253"/>
      <c r="AN65" s="253"/>
      <c r="AO65" s="253"/>
      <c r="AP65" s="253"/>
      <c r="AQ65" s="253"/>
      <c r="AR65" s="253"/>
      <c r="AS65" s="255">
        <f>100-100</f>
        <v>0</v>
      </c>
      <c r="AT65" s="255">
        <f>100-100</f>
        <v>0</v>
      </c>
      <c r="AU65" s="253"/>
      <c r="AV65" s="253"/>
      <c r="AW65" s="253"/>
      <c r="AX65" s="253"/>
      <c r="AY65" s="253"/>
      <c r="AZ65" s="253"/>
      <c r="BA65" s="253"/>
      <c r="BB65" s="253"/>
      <c r="BC65" s="253"/>
      <c r="BD65" s="253"/>
      <c r="BE65" s="253"/>
      <c r="BF65" s="253"/>
      <c r="BG65" s="253"/>
      <c r="BH65" s="253"/>
      <c r="BI65" s="253"/>
      <c r="BJ65" s="253"/>
      <c r="BK65" s="253"/>
      <c r="BL65" s="253"/>
      <c r="BM65" s="253"/>
      <c r="BN65" s="253"/>
      <c r="BO65" s="253"/>
      <c r="BP65" s="253"/>
      <c r="BQ65" s="253"/>
      <c r="BR65" s="253"/>
      <c r="BS65" s="253"/>
      <c r="BT65" s="253"/>
      <c r="BU65" s="253"/>
      <c r="BV65" s="253"/>
      <c r="BW65" s="253"/>
      <c r="BX65" s="253"/>
      <c r="BY65" s="253"/>
      <c r="BZ65" s="253"/>
      <c r="CA65" s="253"/>
      <c r="CB65" s="253"/>
      <c r="CC65" s="253"/>
      <c r="CD65" s="253"/>
      <c r="CE65" s="253"/>
      <c r="CF65" s="253"/>
      <c r="CG65" s="253"/>
      <c r="CH65" s="253"/>
      <c r="CI65" s="253"/>
      <c r="CJ65" s="253"/>
      <c r="CK65" s="253"/>
      <c r="CL65" s="253"/>
      <c r="CM65" s="253"/>
      <c r="CN65" s="253"/>
      <c r="CO65" s="253"/>
      <c r="CP65" s="253"/>
      <c r="CQ65" s="253"/>
      <c r="CR65" s="253"/>
      <c r="CS65" s="253"/>
      <c r="CT65" s="253"/>
      <c r="CU65" s="253"/>
      <c r="CV65" s="253"/>
      <c r="CW65" s="253"/>
      <c r="CX65" s="253"/>
      <c r="CY65" s="253"/>
      <c r="CZ65" s="253"/>
      <c r="DA65" s="253"/>
      <c r="DB65" s="253"/>
      <c r="DC65" s="253"/>
      <c r="DD65" s="253"/>
      <c r="DE65" s="253"/>
      <c r="DF65" s="253"/>
      <c r="DG65" s="253"/>
      <c r="DH65" s="253"/>
      <c r="DI65" s="253"/>
      <c r="DJ65" s="253"/>
      <c r="DK65" s="253"/>
      <c r="DL65" s="253"/>
      <c r="DM65" s="253"/>
      <c r="DN65" s="253"/>
      <c r="DO65" s="253"/>
      <c r="DP65" s="253"/>
      <c r="DQ65" s="253"/>
      <c r="DR65" s="253"/>
      <c r="DS65" s="253"/>
      <c r="DT65" s="253"/>
      <c r="DU65" s="253"/>
      <c r="DV65" s="253"/>
      <c r="DW65" s="253"/>
      <c r="DX65" s="253"/>
      <c r="DY65" s="253"/>
      <c r="DZ65" s="253"/>
      <c r="EA65" s="253"/>
      <c r="EB65" s="253"/>
      <c r="EC65" s="253"/>
      <c r="ED65" s="253"/>
      <c r="EE65" s="253"/>
      <c r="EF65" s="253"/>
      <c r="EG65" s="253"/>
      <c r="EH65" s="253"/>
      <c r="EI65" s="253"/>
      <c r="EJ65" s="253"/>
      <c r="EK65" s="253"/>
      <c r="EL65" s="253"/>
      <c r="EM65" s="253"/>
      <c r="EN65" s="253"/>
      <c r="EO65" s="253"/>
      <c r="EP65" s="253"/>
      <c r="EQ65" s="253"/>
      <c r="ER65" s="253"/>
      <c r="ES65" s="253"/>
      <c r="ET65" s="253"/>
      <c r="EU65" s="253"/>
      <c r="EV65" s="253"/>
      <c r="EW65" s="253"/>
      <c r="EX65" s="253"/>
      <c r="EY65" s="253"/>
      <c r="EZ65" s="253"/>
      <c r="FA65" s="253"/>
      <c r="FB65" s="253"/>
      <c r="FC65" s="253"/>
      <c r="FD65" s="253"/>
      <c r="FE65" s="253"/>
      <c r="FF65" s="253"/>
      <c r="FG65" s="253"/>
      <c r="FH65" s="253"/>
      <c r="FI65" s="253"/>
      <c r="FJ65" s="253"/>
      <c r="FK65" s="253"/>
      <c r="FL65" s="253"/>
      <c r="FM65" s="253"/>
      <c r="FN65" s="253"/>
      <c r="FO65" s="253"/>
      <c r="FP65" s="253"/>
      <c r="FQ65" s="256"/>
      <c r="FR65" s="257" t="s">
        <v>1062</v>
      </c>
      <c r="FS65" s="258" t="s">
        <v>389</v>
      </c>
      <c r="FT65" s="258"/>
      <c r="FU65" s="258" t="s">
        <v>429</v>
      </c>
      <c r="FV65" s="259">
        <f t="shared" si="2"/>
        <v>20</v>
      </c>
      <c r="FW65" s="260" t="s">
        <v>414</v>
      </c>
    </row>
    <row r="66" spans="1:179" s="260" customFormat="1">
      <c r="A66" s="251" t="s">
        <v>393</v>
      </c>
      <c r="B66" s="251" t="s">
        <v>385</v>
      </c>
      <c r="C66" s="251" t="s">
        <v>411</v>
      </c>
      <c r="D66" s="251" t="s">
        <v>1</v>
      </c>
      <c r="E66" s="252" t="s">
        <v>428</v>
      </c>
      <c r="F66" s="251" t="s">
        <v>388</v>
      </c>
      <c r="G66" s="251"/>
      <c r="H66" s="253"/>
      <c r="I66" s="253"/>
      <c r="J66" s="253"/>
      <c r="K66" s="253"/>
      <c r="L66" s="253"/>
      <c r="M66" s="253"/>
      <c r="N66" s="253"/>
      <c r="O66" s="253"/>
      <c r="P66" s="255">
        <f>100-100</f>
        <v>0</v>
      </c>
      <c r="Q66" s="253"/>
      <c r="R66" s="255">
        <f>100-100</f>
        <v>0</v>
      </c>
      <c r="S66" s="255">
        <f>100-100</f>
        <v>0</v>
      </c>
      <c r="T66" s="253"/>
      <c r="U66" s="253"/>
      <c r="V66" s="255">
        <f>40-40</f>
        <v>0</v>
      </c>
      <c r="W66" s="253"/>
      <c r="X66" s="255">
        <f>40-40</f>
        <v>0</v>
      </c>
      <c r="Y66" s="255">
        <f>40-40</f>
        <v>0</v>
      </c>
      <c r="Z66" s="253"/>
      <c r="AA66" s="253"/>
      <c r="AB66" s="253"/>
      <c r="AC66" s="255">
        <f>40-40</f>
        <v>0</v>
      </c>
      <c r="AD66" s="255">
        <f>20-20</f>
        <v>0</v>
      </c>
      <c r="AE66" s="255">
        <f>40-40</f>
        <v>0</v>
      </c>
      <c r="AF66" s="255">
        <f>40-40</f>
        <v>0</v>
      </c>
      <c r="AG66" s="255">
        <f>40-40</f>
        <v>0</v>
      </c>
      <c r="AH66" s="253"/>
      <c r="AI66" s="253"/>
      <c r="AJ66" s="253"/>
      <c r="AK66" s="253"/>
      <c r="AL66" s="253"/>
      <c r="AM66" s="253"/>
      <c r="AN66" s="255">
        <f>20-20</f>
        <v>0</v>
      </c>
      <c r="AO66" s="253"/>
      <c r="AP66" s="255">
        <f>20-20</f>
        <v>0</v>
      </c>
      <c r="AQ66" s="253"/>
      <c r="AR66" s="253"/>
      <c r="AS66" s="253"/>
      <c r="AT66" s="253"/>
      <c r="AU66" s="253"/>
      <c r="AV66" s="253"/>
      <c r="AW66" s="255">
        <f>100-100+20-20</f>
        <v>0</v>
      </c>
      <c r="AX66" s="253"/>
      <c r="AY66" s="253"/>
      <c r="AZ66" s="253"/>
      <c r="BA66" s="253"/>
      <c r="BB66" s="253"/>
      <c r="BC66" s="253"/>
      <c r="BD66" s="253"/>
      <c r="BE66" s="253"/>
      <c r="BF66" s="253"/>
      <c r="BG66" s="253"/>
      <c r="BH66" s="253"/>
      <c r="BI66" s="253"/>
      <c r="BJ66" s="253"/>
      <c r="BK66" s="253"/>
      <c r="BL66" s="253"/>
      <c r="BM66" s="253"/>
      <c r="BN66" s="253"/>
      <c r="BO66" s="253"/>
      <c r="BP66" s="253"/>
      <c r="BQ66" s="253"/>
      <c r="BR66" s="253"/>
      <c r="BS66" s="253"/>
      <c r="BT66" s="253"/>
      <c r="BU66" s="253"/>
      <c r="BV66" s="253"/>
      <c r="BW66" s="253"/>
      <c r="BX66" s="253"/>
      <c r="BY66" s="253"/>
      <c r="BZ66" s="253"/>
      <c r="CA66" s="253"/>
      <c r="CB66" s="253"/>
      <c r="CC66" s="253"/>
      <c r="CD66" s="253"/>
      <c r="CE66" s="253"/>
      <c r="CF66" s="253"/>
      <c r="CG66" s="253"/>
      <c r="CH66" s="253"/>
      <c r="CI66" s="253"/>
      <c r="CJ66" s="253"/>
      <c r="CK66" s="253"/>
      <c r="CL66" s="253"/>
      <c r="CM66" s="253"/>
      <c r="CN66" s="253"/>
      <c r="CO66" s="253"/>
      <c r="CP66" s="253"/>
      <c r="CQ66" s="253"/>
      <c r="CR66" s="253"/>
      <c r="CS66" s="253"/>
      <c r="CT66" s="253"/>
      <c r="CU66" s="253"/>
      <c r="CV66" s="253"/>
      <c r="CW66" s="253"/>
      <c r="CX66" s="253"/>
      <c r="CY66" s="253"/>
      <c r="CZ66" s="253"/>
      <c r="DA66" s="253"/>
      <c r="DB66" s="253"/>
      <c r="DC66" s="253"/>
      <c r="DD66" s="253"/>
      <c r="DE66" s="253"/>
      <c r="DF66" s="253"/>
      <c r="DG66" s="253"/>
      <c r="DH66" s="253"/>
      <c r="DI66" s="253"/>
      <c r="DJ66" s="253"/>
      <c r="DK66" s="253"/>
      <c r="DL66" s="253"/>
      <c r="DM66" s="253"/>
      <c r="DN66" s="253"/>
      <c r="DO66" s="253"/>
      <c r="DP66" s="253"/>
      <c r="DQ66" s="253"/>
      <c r="DR66" s="253"/>
      <c r="DS66" s="253"/>
      <c r="DT66" s="253"/>
      <c r="DU66" s="253"/>
      <c r="DV66" s="253"/>
      <c r="DW66" s="253"/>
      <c r="DX66" s="253"/>
      <c r="DY66" s="253"/>
      <c r="DZ66" s="253"/>
      <c r="EA66" s="253"/>
      <c r="EB66" s="253"/>
      <c r="EC66" s="253"/>
      <c r="ED66" s="253"/>
      <c r="EE66" s="255">
        <f>30-30</f>
        <v>0</v>
      </c>
      <c r="EF66" s="255">
        <f>30-30</f>
        <v>0</v>
      </c>
      <c r="EG66" s="253"/>
      <c r="EH66" s="253"/>
      <c r="EI66" s="255">
        <f>30-30</f>
        <v>0</v>
      </c>
      <c r="EJ66" s="255">
        <f>30-30</f>
        <v>0</v>
      </c>
      <c r="EK66" s="253"/>
      <c r="EL66" s="253"/>
      <c r="EM66" s="255">
        <f>50-50</f>
        <v>0</v>
      </c>
      <c r="EN66" s="253"/>
      <c r="EO66" s="253"/>
      <c r="EP66" s="255">
        <f>100-100</f>
        <v>0</v>
      </c>
      <c r="EQ66" s="255">
        <f>200-200</f>
        <v>0</v>
      </c>
      <c r="ER66" s="255">
        <f>200-200</f>
        <v>0</v>
      </c>
      <c r="ES66" s="253"/>
      <c r="ET66" s="253"/>
      <c r="EU66" s="253"/>
      <c r="EV66" s="253"/>
      <c r="EW66" s="253"/>
      <c r="EX66" s="253"/>
      <c r="EY66" s="253"/>
      <c r="EZ66" s="253"/>
      <c r="FA66" s="253"/>
      <c r="FB66" s="253"/>
      <c r="FC66" s="253"/>
      <c r="FD66" s="253"/>
      <c r="FE66" s="253"/>
      <c r="FF66" s="253"/>
      <c r="FG66" s="253"/>
      <c r="FH66" s="253"/>
      <c r="FI66" s="253"/>
      <c r="FJ66" s="253"/>
      <c r="FK66" s="253"/>
      <c r="FL66" s="253"/>
      <c r="FM66" s="255">
        <f>100-100</f>
        <v>0</v>
      </c>
      <c r="FN66" s="255">
        <f>100-100</f>
        <v>0</v>
      </c>
      <c r="FO66" s="253"/>
      <c r="FP66" s="253"/>
      <c r="FQ66" s="256"/>
      <c r="FR66" s="257" t="s">
        <v>1062</v>
      </c>
      <c r="FS66" s="258" t="s">
        <v>389</v>
      </c>
      <c r="FT66" s="258"/>
      <c r="FU66" s="258" t="s">
        <v>429</v>
      </c>
      <c r="FV66" s="259">
        <f t="shared" si="2"/>
        <v>0</v>
      </c>
      <c r="FW66" s="260" t="s">
        <v>414</v>
      </c>
    </row>
    <row r="67" spans="1:179" s="260" customFormat="1">
      <c r="A67" s="251" t="s">
        <v>393</v>
      </c>
      <c r="B67" s="251" t="s">
        <v>385</v>
      </c>
      <c r="C67" s="251" t="s">
        <v>411</v>
      </c>
      <c r="D67" s="251" t="s">
        <v>291</v>
      </c>
      <c r="E67" s="252" t="s">
        <v>430</v>
      </c>
      <c r="F67" s="251" t="s">
        <v>388</v>
      </c>
      <c r="G67" s="251" t="s">
        <v>1077</v>
      </c>
      <c r="H67" s="253"/>
      <c r="I67" s="255">
        <f>40-40</f>
        <v>0</v>
      </c>
      <c r="J67" s="253"/>
      <c r="K67" s="255">
        <f>30-30</f>
        <v>0</v>
      </c>
      <c r="L67" s="253"/>
      <c r="M67" s="253"/>
      <c r="N67" s="253"/>
      <c r="O67" s="253"/>
      <c r="P67" s="253"/>
      <c r="Q67" s="253"/>
      <c r="R67" s="253"/>
      <c r="S67" s="253"/>
      <c r="T67" s="253"/>
      <c r="U67" s="253"/>
      <c r="V67" s="253"/>
      <c r="W67" s="253"/>
      <c r="X67" s="253"/>
      <c r="Y67" s="253"/>
      <c r="Z67" s="253"/>
      <c r="AA67" s="253"/>
      <c r="AB67" s="253"/>
      <c r="AC67" s="253"/>
      <c r="AD67" s="253"/>
      <c r="AE67" s="253"/>
      <c r="AF67" s="253"/>
      <c r="AG67" s="253"/>
      <c r="AH67" s="255">
        <f>10-10</f>
        <v>0</v>
      </c>
      <c r="AI67" s="253"/>
      <c r="AJ67" s="255">
        <f>20-20</f>
        <v>0</v>
      </c>
      <c r="AK67" s="255">
        <f>30-30</f>
        <v>0</v>
      </c>
      <c r="AL67" s="253"/>
      <c r="AM67" s="253"/>
      <c r="AN67" s="253"/>
      <c r="AO67" s="253"/>
      <c r="AP67" s="253"/>
      <c r="AQ67" s="253"/>
      <c r="AR67" s="253"/>
      <c r="AS67" s="253"/>
      <c r="AT67" s="255">
        <f>40-40</f>
        <v>0</v>
      </c>
      <c r="AU67" s="253"/>
      <c r="AV67" s="253"/>
      <c r="AW67" s="253"/>
      <c r="AX67" s="253"/>
      <c r="AY67" s="253"/>
      <c r="AZ67" s="253"/>
      <c r="BA67" s="253"/>
      <c r="BB67" s="253"/>
      <c r="BC67" s="253"/>
      <c r="BD67" s="253"/>
      <c r="BE67" s="253"/>
      <c r="BF67" s="253"/>
      <c r="BG67" s="255">
        <f>70-70+40-40</f>
        <v>0</v>
      </c>
      <c r="BH67" s="253"/>
      <c r="BI67" s="253"/>
      <c r="BJ67" s="253"/>
      <c r="BK67" s="253"/>
      <c r="BL67" s="253"/>
      <c r="BM67" s="253"/>
      <c r="BN67" s="253"/>
      <c r="BO67" s="253"/>
      <c r="BP67" s="253"/>
      <c r="BQ67" s="253"/>
      <c r="BR67" s="253"/>
      <c r="BS67" s="253"/>
      <c r="BT67" s="253"/>
      <c r="BU67" s="253"/>
      <c r="BV67" s="253"/>
      <c r="BW67" s="253"/>
      <c r="BX67" s="253"/>
      <c r="BY67" s="253"/>
      <c r="BZ67" s="253"/>
      <c r="CA67" s="253"/>
      <c r="CB67" s="253"/>
      <c r="CC67" s="253"/>
      <c r="CD67" s="253"/>
      <c r="CE67" s="253"/>
      <c r="CF67" s="253"/>
      <c r="CG67" s="253"/>
      <c r="CH67" s="253"/>
      <c r="CI67" s="253"/>
      <c r="CJ67" s="253"/>
      <c r="CK67" s="253"/>
      <c r="CL67" s="253"/>
      <c r="CM67" s="253"/>
      <c r="CN67" s="253"/>
      <c r="CO67" s="253"/>
      <c r="CP67" s="253"/>
      <c r="CQ67" s="253"/>
      <c r="CR67" s="253"/>
      <c r="CS67" s="253"/>
      <c r="CT67" s="253"/>
      <c r="CU67" s="253"/>
      <c r="CV67" s="253"/>
      <c r="CW67" s="253"/>
      <c r="CX67" s="253"/>
      <c r="CY67" s="253"/>
      <c r="CZ67" s="253"/>
      <c r="DA67" s="253"/>
      <c r="DB67" s="253"/>
      <c r="DC67" s="253"/>
      <c r="DD67" s="253"/>
      <c r="DE67" s="253"/>
      <c r="DF67" s="253"/>
      <c r="DG67" s="253"/>
      <c r="DH67" s="253"/>
      <c r="DI67" s="253"/>
      <c r="DJ67" s="253"/>
      <c r="DK67" s="253"/>
      <c r="DL67" s="253"/>
      <c r="DM67" s="253"/>
      <c r="DN67" s="253"/>
      <c r="DO67" s="253"/>
      <c r="DP67" s="253"/>
      <c r="DQ67" s="253"/>
      <c r="DR67" s="253"/>
      <c r="DS67" s="253"/>
      <c r="DT67" s="253"/>
      <c r="DU67" s="253"/>
      <c r="DV67" s="253"/>
      <c r="DW67" s="253"/>
      <c r="DX67" s="253"/>
      <c r="DY67" s="253"/>
      <c r="DZ67" s="253"/>
      <c r="EA67" s="253"/>
      <c r="EB67" s="253"/>
      <c r="EC67" s="253"/>
      <c r="ED67" s="253"/>
      <c r="EE67" s="253"/>
      <c r="EF67" s="253"/>
      <c r="EG67" s="253"/>
      <c r="EH67" s="253"/>
      <c r="EI67" s="253"/>
      <c r="EJ67" s="253"/>
      <c r="EK67" s="253"/>
      <c r="EL67" s="253"/>
      <c r="EM67" s="253"/>
      <c r="EN67" s="253"/>
      <c r="EO67" s="253"/>
      <c r="EP67" s="253"/>
      <c r="EQ67" s="253"/>
      <c r="ER67" s="253"/>
      <c r="ES67" s="253"/>
      <c r="ET67" s="253"/>
      <c r="EU67" s="253"/>
      <c r="EV67" s="253"/>
      <c r="EW67" s="253"/>
      <c r="EX67" s="253"/>
      <c r="EY67" s="253"/>
      <c r="EZ67" s="253"/>
      <c r="FA67" s="253"/>
      <c r="FB67" s="253"/>
      <c r="FC67" s="253"/>
      <c r="FD67" s="253"/>
      <c r="FE67" s="253"/>
      <c r="FF67" s="253"/>
      <c r="FG67" s="253"/>
      <c r="FH67" s="253"/>
      <c r="FI67" s="253"/>
      <c r="FJ67" s="253"/>
      <c r="FK67" s="253"/>
      <c r="FL67" s="253"/>
      <c r="FM67" s="253"/>
      <c r="FN67" s="253"/>
      <c r="FO67" s="253"/>
      <c r="FP67" s="253"/>
      <c r="FQ67" s="256"/>
      <c r="FR67" s="257" t="s">
        <v>1062</v>
      </c>
      <c r="FS67" s="258" t="s">
        <v>389</v>
      </c>
      <c r="FT67" s="258" t="s">
        <v>431</v>
      </c>
      <c r="FU67" s="258" t="s">
        <v>432</v>
      </c>
      <c r="FV67" s="259">
        <f t="shared" si="2"/>
        <v>0</v>
      </c>
      <c r="FW67" s="260" t="s">
        <v>433</v>
      </c>
    </row>
    <row r="68" spans="1:179" s="260" customFormat="1">
      <c r="A68" s="251" t="s">
        <v>393</v>
      </c>
      <c r="B68" s="251" t="s">
        <v>385</v>
      </c>
      <c r="C68" s="251" t="s">
        <v>411</v>
      </c>
      <c r="D68" s="251" t="s">
        <v>1</v>
      </c>
      <c r="E68" s="252" t="s">
        <v>430</v>
      </c>
      <c r="F68" s="251" t="s">
        <v>388</v>
      </c>
      <c r="G68" s="251" t="s">
        <v>1077</v>
      </c>
      <c r="H68" s="253"/>
      <c r="I68" s="253"/>
      <c r="J68" s="253"/>
      <c r="K68" s="253"/>
      <c r="L68" s="253"/>
      <c r="M68" s="253"/>
      <c r="N68" s="253"/>
      <c r="O68" s="253"/>
      <c r="P68" s="253"/>
      <c r="Q68" s="253"/>
      <c r="R68" s="253"/>
      <c r="S68" s="253"/>
      <c r="T68" s="253"/>
      <c r="U68" s="253"/>
      <c r="V68" s="255">
        <f>30-30</f>
        <v>0</v>
      </c>
      <c r="W68" s="253"/>
      <c r="X68" s="255">
        <f>60-60</f>
        <v>0</v>
      </c>
      <c r="Y68" s="253"/>
      <c r="Z68" s="253"/>
      <c r="AA68" s="253"/>
      <c r="AB68" s="253"/>
      <c r="AC68" s="253"/>
      <c r="AD68" s="255">
        <f>10-10</f>
        <v>0</v>
      </c>
      <c r="AE68" s="255">
        <f>20-20</f>
        <v>0</v>
      </c>
      <c r="AF68" s="253"/>
      <c r="AG68" s="253"/>
      <c r="AH68" s="253"/>
      <c r="AI68" s="253"/>
      <c r="AJ68" s="253"/>
      <c r="AK68" s="253"/>
      <c r="AL68" s="253"/>
      <c r="AM68" s="253"/>
      <c r="AN68" s="253"/>
      <c r="AO68" s="253"/>
      <c r="AP68" s="253"/>
      <c r="AQ68" s="253"/>
      <c r="AR68" s="254">
        <f>140-140+20</f>
        <v>20</v>
      </c>
      <c r="AS68" s="253"/>
      <c r="AT68" s="253"/>
      <c r="AU68" s="253"/>
      <c r="AV68" s="253"/>
      <c r="AW68" s="255">
        <f>290-290+20-20</f>
        <v>0</v>
      </c>
      <c r="AX68" s="253"/>
      <c r="AY68" s="253"/>
      <c r="AZ68" s="253"/>
      <c r="BA68" s="253"/>
      <c r="BB68" s="253"/>
      <c r="BC68" s="253"/>
      <c r="BD68" s="253"/>
      <c r="BE68" s="253"/>
      <c r="BF68" s="253"/>
      <c r="BG68" s="253"/>
      <c r="BH68" s="253"/>
      <c r="BI68" s="255">
        <f>30-30</f>
        <v>0</v>
      </c>
      <c r="BJ68" s="253"/>
      <c r="BK68" s="253"/>
      <c r="BL68" s="253"/>
      <c r="BM68" s="253"/>
      <c r="BN68" s="253"/>
      <c r="BO68" s="253"/>
      <c r="BP68" s="253"/>
      <c r="BQ68" s="253"/>
      <c r="BR68" s="253"/>
      <c r="BS68" s="253"/>
      <c r="BT68" s="253"/>
      <c r="BU68" s="253"/>
      <c r="BV68" s="253"/>
      <c r="BW68" s="253"/>
      <c r="BX68" s="253"/>
      <c r="BY68" s="253"/>
      <c r="BZ68" s="253"/>
      <c r="CA68" s="253"/>
      <c r="CB68" s="253"/>
      <c r="CC68" s="253"/>
      <c r="CD68" s="253"/>
      <c r="CE68" s="253"/>
      <c r="CF68" s="253"/>
      <c r="CG68" s="253"/>
      <c r="CH68" s="253"/>
      <c r="CI68" s="253"/>
      <c r="CJ68" s="253"/>
      <c r="CK68" s="253"/>
      <c r="CL68" s="253"/>
      <c r="CM68" s="253"/>
      <c r="CN68" s="253"/>
      <c r="CO68" s="253"/>
      <c r="CP68" s="253"/>
      <c r="CQ68" s="253"/>
      <c r="CR68" s="253"/>
      <c r="CS68" s="253"/>
      <c r="CT68" s="253"/>
      <c r="CU68" s="253"/>
      <c r="CV68" s="253"/>
      <c r="CW68" s="253"/>
      <c r="CX68" s="253"/>
      <c r="CY68" s="253"/>
      <c r="CZ68" s="253"/>
      <c r="DA68" s="253"/>
      <c r="DB68" s="253"/>
      <c r="DC68" s="253"/>
      <c r="DD68" s="253"/>
      <c r="DE68" s="253"/>
      <c r="DF68" s="253"/>
      <c r="DG68" s="253"/>
      <c r="DH68" s="253"/>
      <c r="DI68" s="253"/>
      <c r="DJ68" s="253"/>
      <c r="DK68" s="253"/>
      <c r="DL68" s="253"/>
      <c r="DM68" s="253"/>
      <c r="DN68" s="253"/>
      <c r="DO68" s="253"/>
      <c r="DP68" s="253"/>
      <c r="DQ68" s="253"/>
      <c r="DR68" s="253"/>
      <c r="DS68" s="253"/>
      <c r="DT68" s="253"/>
      <c r="DU68" s="253"/>
      <c r="DV68" s="253"/>
      <c r="DW68" s="253"/>
      <c r="DX68" s="253"/>
      <c r="DY68" s="253"/>
      <c r="DZ68" s="253"/>
      <c r="EA68" s="255">
        <f>90-90</f>
        <v>0</v>
      </c>
      <c r="EB68" s="253"/>
      <c r="EC68" s="253"/>
      <c r="ED68" s="253"/>
      <c r="EE68" s="253"/>
      <c r="EF68" s="253"/>
      <c r="EG68" s="255">
        <f>70-70</f>
        <v>0</v>
      </c>
      <c r="EH68" s="255">
        <f>20-20</f>
        <v>0</v>
      </c>
      <c r="EI68" s="255">
        <f>30-30</f>
        <v>0</v>
      </c>
      <c r="EJ68" s="255">
        <f>10-10</f>
        <v>0</v>
      </c>
      <c r="EK68" s="255">
        <f>10-10</f>
        <v>0</v>
      </c>
      <c r="EL68" s="253"/>
      <c r="EM68" s="255">
        <f>20-20</f>
        <v>0</v>
      </c>
      <c r="EN68" s="253"/>
      <c r="EO68" s="255">
        <f>70-70</f>
        <v>0</v>
      </c>
      <c r="EP68" s="255">
        <f>50-50</f>
        <v>0</v>
      </c>
      <c r="EQ68" s="253"/>
      <c r="ER68" s="255">
        <f>135-135</f>
        <v>0</v>
      </c>
      <c r="ES68" s="253"/>
      <c r="ET68" s="253"/>
      <c r="EU68" s="253"/>
      <c r="EV68" s="253"/>
      <c r="EW68" s="253"/>
      <c r="EX68" s="253"/>
      <c r="EY68" s="253"/>
      <c r="EZ68" s="253"/>
      <c r="FA68" s="253"/>
      <c r="FB68" s="253"/>
      <c r="FC68" s="253"/>
      <c r="FD68" s="253"/>
      <c r="FE68" s="253"/>
      <c r="FF68" s="253"/>
      <c r="FG68" s="253"/>
      <c r="FH68" s="253"/>
      <c r="FI68" s="253"/>
      <c r="FJ68" s="253"/>
      <c r="FK68" s="253"/>
      <c r="FL68" s="253"/>
      <c r="FM68" s="253"/>
      <c r="FN68" s="253"/>
      <c r="FO68" s="253"/>
      <c r="FP68" s="253"/>
      <c r="FQ68" s="256"/>
      <c r="FR68" s="257" t="s">
        <v>1062</v>
      </c>
      <c r="FS68" s="258" t="s">
        <v>389</v>
      </c>
      <c r="FT68" s="258" t="s">
        <v>431</v>
      </c>
      <c r="FU68" s="258" t="s">
        <v>432</v>
      </c>
      <c r="FV68" s="259">
        <f t="shared" si="2"/>
        <v>20</v>
      </c>
      <c r="FW68" s="260" t="s">
        <v>433</v>
      </c>
    </row>
    <row r="69" spans="1:179" s="260" customFormat="1">
      <c r="A69" s="251" t="s">
        <v>393</v>
      </c>
      <c r="B69" s="251" t="s">
        <v>385</v>
      </c>
      <c r="C69" s="251" t="s">
        <v>411</v>
      </c>
      <c r="D69" s="251" t="s">
        <v>293</v>
      </c>
      <c r="E69" s="252" t="s">
        <v>430</v>
      </c>
      <c r="F69" s="251" t="s">
        <v>388</v>
      </c>
      <c r="G69" s="251" t="s">
        <v>1078</v>
      </c>
      <c r="H69" s="253"/>
      <c r="I69" s="253"/>
      <c r="J69" s="255">
        <f>20-20</f>
        <v>0</v>
      </c>
      <c r="K69" s="253"/>
      <c r="L69" s="253"/>
      <c r="M69" s="253"/>
      <c r="N69" s="253"/>
      <c r="O69" s="253"/>
      <c r="P69" s="253"/>
      <c r="Q69" s="253"/>
      <c r="R69" s="253"/>
      <c r="S69" s="253"/>
      <c r="T69" s="253"/>
      <c r="U69" s="253"/>
      <c r="V69" s="253"/>
      <c r="W69" s="253"/>
      <c r="X69" s="253"/>
      <c r="Y69" s="253"/>
      <c r="Z69" s="253"/>
      <c r="AA69" s="253"/>
      <c r="AB69" s="253"/>
      <c r="AC69" s="253"/>
      <c r="AD69" s="253"/>
      <c r="AE69" s="253"/>
      <c r="AF69" s="253"/>
      <c r="AG69" s="253"/>
      <c r="AH69" s="253"/>
      <c r="AI69" s="253"/>
      <c r="AJ69" s="253"/>
      <c r="AK69" s="253"/>
      <c r="AL69" s="253"/>
      <c r="AM69" s="253"/>
      <c r="AN69" s="253"/>
      <c r="AO69" s="253"/>
      <c r="AP69" s="253"/>
      <c r="AQ69" s="253"/>
      <c r="AR69" s="253"/>
      <c r="AS69" s="253"/>
      <c r="AT69" s="253"/>
      <c r="AU69" s="253"/>
      <c r="AV69" s="253"/>
      <c r="AW69" s="253"/>
      <c r="AX69" s="253"/>
      <c r="AY69" s="253"/>
      <c r="AZ69" s="253"/>
      <c r="BA69" s="253"/>
      <c r="BB69" s="253"/>
      <c r="BC69" s="253"/>
      <c r="BD69" s="253"/>
      <c r="BE69" s="253"/>
      <c r="BF69" s="253"/>
      <c r="BG69" s="253"/>
      <c r="BH69" s="253"/>
      <c r="BI69" s="253"/>
      <c r="BJ69" s="253"/>
      <c r="BK69" s="253"/>
      <c r="BL69" s="253"/>
      <c r="BM69" s="253"/>
      <c r="BN69" s="253"/>
      <c r="BO69" s="253"/>
      <c r="BP69" s="253"/>
      <c r="BQ69" s="253"/>
      <c r="BR69" s="253"/>
      <c r="BS69" s="253"/>
      <c r="BT69" s="253"/>
      <c r="BU69" s="253"/>
      <c r="BV69" s="253"/>
      <c r="BW69" s="253"/>
      <c r="BX69" s="253"/>
      <c r="BY69" s="253"/>
      <c r="BZ69" s="253"/>
      <c r="CA69" s="253"/>
      <c r="CB69" s="253"/>
      <c r="CC69" s="253"/>
      <c r="CD69" s="253"/>
      <c r="CE69" s="253"/>
      <c r="CF69" s="253"/>
      <c r="CG69" s="253"/>
      <c r="CH69" s="253"/>
      <c r="CI69" s="253"/>
      <c r="CJ69" s="253"/>
      <c r="CK69" s="253"/>
      <c r="CL69" s="253"/>
      <c r="CM69" s="253"/>
      <c r="CN69" s="253"/>
      <c r="CO69" s="253"/>
      <c r="CP69" s="253"/>
      <c r="CQ69" s="253"/>
      <c r="CR69" s="253"/>
      <c r="CS69" s="253"/>
      <c r="CT69" s="253"/>
      <c r="CU69" s="253"/>
      <c r="CV69" s="253"/>
      <c r="CW69" s="253"/>
      <c r="CX69" s="253"/>
      <c r="CY69" s="253"/>
      <c r="CZ69" s="253"/>
      <c r="DA69" s="253"/>
      <c r="DB69" s="253"/>
      <c r="DC69" s="253"/>
      <c r="DD69" s="253"/>
      <c r="DE69" s="253"/>
      <c r="DF69" s="253"/>
      <c r="DG69" s="253"/>
      <c r="DH69" s="253"/>
      <c r="DI69" s="253"/>
      <c r="DJ69" s="253"/>
      <c r="DK69" s="253"/>
      <c r="DL69" s="253"/>
      <c r="DM69" s="253"/>
      <c r="DN69" s="253"/>
      <c r="DO69" s="253"/>
      <c r="DP69" s="253"/>
      <c r="DQ69" s="253"/>
      <c r="DR69" s="253"/>
      <c r="DS69" s="253"/>
      <c r="DT69" s="253"/>
      <c r="DU69" s="253"/>
      <c r="DV69" s="253"/>
      <c r="DW69" s="253"/>
      <c r="DX69" s="253"/>
      <c r="DY69" s="253"/>
      <c r="DZ69" s="253"/>
      <c r="EA69" s="253"/>
      <c r="EB69" s="253"/>
      <c r="EC69" s="253"/>
      <c r="ED69" s="253"/>
      <c r="EE69" s="253"/>
      <c r="EF69" s="253"/>
      <c r="EG69" s="253"/>
      <c r="EH69" s="253"/>
      <c r="EI69" s="253"/>
      <c r="EJ69" s="253"/>
      <c r="EK69" s="253"/>
      <c r="EL69" s="253"/>
      <c r="EM69" s="253"/>
      <c r="EN69" s="253"/>
      <c r="EO69" s="253"/>
      <c r="EP69" s="253"/>
      <c r="EQ69" s="253"/>
      <c r="ER69" s="253"/>
      <c r="ES69" s="253"/>
      <c r="ET69" s="253"/>
      <c r="EU69" s="253"/>
      <c r="EV69" s="253"/>
      <c r="EW69" s="253"/>
      <c r="EX69" s="253"/>
      <c r="EY69" s="253"/>
      <c r="EZ69" s="253"/>
      <c r="FA69" s="253"/>
      <c r="FB69" s="253"/>
      <c r="FC69" s="253"/>
      <c r="FD69" s="253"/>
      <c r="FE69" s="253"/>
      <c r="FF69" s="253"/>
      <c r="FG69" s="253"/>
      <c r="FH69" s="253"/>
      <c r="FI69" s="253"/>
      <c r="FJ69" s="253"/>
      <c r="FK69" s="253"/>
      <c r="FL69" s="253"/>
      <c r="FM69" s="253"/>
      <c r="FN69" s="253"/>
      <c r="FO69" s="253"/>
      <c r="FP69" s="253"/>
      <c r="FQ69" s="256"/>
      <c r="FR69" s="257" t="s">
        <v>1062</v>
      </c>
      <c r="FS69" s="258" t="s">
        <v>389</v>
      </c>
      <c r="FT69" s="258" t="s">
        <v>431</v>
      </c>
      <c r="FU69" s="258" t="s">
        <v>432</v>
      </c>
      <c r="FV69" s="259">
        <f t="shared" si="2"/>
        <v>0</v>
      </c>
      <c r="FW69" s="260" t="s">
        <v>433</v>
      </c>
    </row>
    <row r="70" spans="1:179" s="260" customFormat="1">
      <c r="A70" s="251" t="s">
        <v>393</v>
      </c>
      <c r="B70" s="251" t="s">
        <v>392</v>
      </c>
      <c r="C70" s="251" t="s">
        <v>411</v>
      </c>
      <c r="D70" s="251" t="s">
        <v>291</v>
      </c>
      <c r="E70" s="252" t="s">
        <v>430</v>
      </c>
      <c r="F70" s="251" t="s">
        <v>388</v>
      </c>
      <c r="G70" s="251" t="s">
        <v>1079</v>
      </c>
      <c r="H70" s="253"/>
      <c r="I70" s="255">
        <f>20-20</f>
        <v>0</v>
      </c>
      <c r="J70" s="253"/>
      <c r="K70" s="255">
        <f>50-50</f>
        <v>0</v>
      </c>
      <c r="L70" s="253"/>
      <c r="M70" s="253"/>
      <c r="N70" s="253"/>
      <c r="O70" s="253"/>
      <c r="P70" s="253"/>
      <c r="Q70" s="253"/>
      <c r="R70" s="253"/>
      <c r="S70" s="253"/>
      <c r="T70" s="253"/>
      <c r="U70" s="253"/>
      <c r="V70" s="253"/>
      <c r="W70" s="253"/>
      <c r="X70" s="253"/>
      <c r="Y70" s="253"/>
      <c r="Z70" s="253"/>
      <c r="AA70" s="253"/>
      <c r="AB70" s="253"/>
      <c r="AC70" s="253"/>
      <c r="AD70" s="253"/>
      <c r="AE70" s="253"/>
      <c r="AF70" s="253"/>
      <c r="AG70" s="253"/>
      <c r="AH70" s="254">
        <f>60-60+20</f>
        <v>20</v>
      </c>
      <c r="AI70" s="253"/>
      <c r="AJ70" s="255">
        <f>40-40</f>
        <v>0</v>
      </c>
      <c r="AK70" s="255">
        <f>40-40</f>
        <v>0</v>
      </c>
      <c r="AL70" s="253"/>
      <c r="AM70" s="253"/>
      <c r="AN70" s="253"/>
      <c r="AO70" s="253"/>
      <c r="AP70" s="253"/>
      <c r="AQ70" s="253"/>
      <c r="AR70" s="253"/>
      <c r="AS70" s="253"/>
      <c r="AT70" s="255">
        <f>90-90</f>
        <v>0</v>
      </c>
      <c r="AU70" s="253"/>
      <c r="AV70" s="253"/>
      <c r="AW70" s="253"/>
      <c r="AX70" s="253"/>
      <c r="AY70" s="253"/>
      <c r="AZ70" s="253"/>
      <c r="BA70" s="253"/>
      <c r="BB70" s="253"/>
      <c r="BC70" s="253"/>
      <c r="BD70" s="253"/>
      <c r="BE70" s="253"/>
      <c r="BF70" s="253"/>
      <c r="BG70" s="255">
        <f>40-40</f>
        <v>0</v>
      </c>
      <c r="BH70" s="253"/>
      <c r="BI70" s="253"/>
      <c r="BJ70" s="253"/>
      <c r="BK70" s="253"/>
      <c r="BL70" s="253"/>
      <c r="BM70" s="253"/>
      <c r="BN70" s="253"/>
      <c r="BO70" s="253"/>
      <c r="BP70" s="253"/>
      <c r="BQ70" s="253"/>
      <c r="BR70" s="253"/>
      <c r="BS70" s="253"/>
      <c r="BT70" s="253"/>
      <c r="BU70" s="253"/>
      <c r="BV70" s="253"/>
      <c r="BW70" s="253"/>
      <c r="BX70" s="253"/>
      <c r="BY70" s="253"/>
      <c r="BZ70" s="253"/>
      <c r="CA70" s="253"/>
      <c r="CB70" s="253"/>
      <c r="CC70" s="253"/>
      <c r="CD70" s="253"/>
      <c r="CE70" s="253"/>
      <c r="CF70" s="253"/>
      <c r="CG70" s="253"/>
      <c r="CH70" s="253"/>
      <c r="CI70" s="253"/>
      <c r="CJ70" s="253"/>
      <c r="CK70" s="253"/>
      <c r="CL70" s="253"/>
      <c r="CM70" s="253"/>
      <c r="CN70" s="253"/>
      <c r="CO70" s="253"/>
      <c r="CP70" s="253"/>
      <c r="CQ70" s="253"/>
      <c r="CR70" s="253"/>
      <c r="CS70" s="253"/>
      <c r="CT70" s="253"/>
      <c r="CU70" s="253"/>
      <c r="CV70" s="253"/>
      <c r="CW70" s="253"/>
      <c r="CX70" s="253"/>
      <c r="CY70" s="253"/>
      <c r="CZ70" s="253"/>
      <c r="DA70" s="253"/>
      <c r="DB70" s="253"/>
      <c r="DC70" s="253"/>
      <c r="DD70" s="253"/>
      <c r="DE70" s="253"/>
      <c r="DF70" s="253"/>
      <c r="DG70" s="253"/>
      <c r="DH70" s="253"/>
      <c r="DI70" s="253"/>
      <c r="DJ70" s="253"/>
      <c r="DK70" s="253"/>
      <c r="DL70" s="253"/>
      <c r="DM70" s="253"/>
      <c r="DN70" s="253"/>
      <c r="DO70" s="253"/>
      <c r="DP70" s="253"/>
      <c r="DQ70" s="253"/>
      <c r="DR70" s="253"/>
      <c r="DS70" s="253"/>
      <c r="DT70" s="253"/>
      <c r="DU70" s="253"/>
      <c r="DV70" s="253"/>
      <c r="DW70" s="253"/>
      <c r="DX70" s="253"/>
      <c r="DY70" s="253"/>
      <c r="DZ70" s="253"/>
      <c r="EA70" s="253"/>
      <c r="EB70" s="253"/>
      <c r="EC70" s="253"/>
      <c r="ED70" s="253"/>
      <c r="EE70" s="253"/>
      <c r="EF70" s="253"/>
      <c r="EG70" s="253"/>
      <c r="EH70" s="253"/>
      <c r="EI70" s="253"/>
      <c r="EJ70" s="253"/>
      <c r="EK70" s="253"/>
      <c r="EL70" s="253"/>
      <c r="EM70" s="253"/>
      <c r="EN70" s="253"/>
      <c r="EO70" s="253"/>
      <c r="EP70" s="253"/>
      <c r="EQ70" s="253"/>
      <c r="ER70" s="253"/>
      <c r="ES70" s="253"/>
      <c r="ET70" s="253"/>
      <c r="EU70" s="253"/>
      <c r="EV70" s="253"/>
      <c r="EW70" s="253"/>
      <c r="EX70" s="253"/>
      <c r="EY70" s="253"/>
      <c r="EZ70" s="253"/>
      <c r="FA70" s="253"/>
      <c r="FB70" s="253"/>
      <c r="FC70" s="253"/>
      <c r="FD70" s="253"/>
      <c r="FE70" s="253"/>
      <c r="FF70" s="253"/>
      <c r="FG70" s="253"/>
      <c r="FH70" s="253"/>
      <c r="FI70" s="253"/>
      <c r="FJ70" s="253"/>
      <c r="FK70" s="253"/>
      <c r="FL70" s="253"/>
      <c r="FM70" s="253"/>
      <c r="FN70" s="253"/>
      <c r="FO70" s="253"/>
      <c r="FP70" s="253"/>
      <c r="FQ70" s="256"/>
      <c r="FR70" s="257" t="s">
        <v>1062</v>
      </c>
      <c r="FS70" s="258" t="s">
        <v>389</v>
      </c>
      <c r="FT70" s="258" t="s">
        <v>431</v>
      </c>
      <c r="FU70" s="258" t="s">
        <v>432</v>
      </c>
      <c r="FV70" s="259">
        <f t="shared" si="2"/>
        <v>20</v>
      </c>
      <c r="FW70" s="260" t="s">
        <v>433</v>
      </c>
    </row>
    <row r="71" spans="1:179" s="260" customFormat="1">
      <c r="A71" s="251" t="s">
        <v>393</v>
      </c>
      <c r="B71" s="251" t="s">
        <v>392</v>
      </c>
      <c r="C71" s="251" t="s">
        <v>411</v>
      </c>
      <c r="D71" s="251" t="s">
        <v>1</v>
      </c>
      <c r="E71" s="252" t="s">
        <v>430</v>
      </c>
      <c r="F71" s="251" t="s">
        <v>388</v>
      </c>
      <c r="G71" s="251" t="s">
        <v>1079</v>
      </c>
      <c r="H71" s="253"/>
      <c r="I71" s="253"/>
      <c r="J71" s="253"/>
      <c r="K71" s="253"/>
      <c r="L71" s="253"/>
      <c r="M71" s="253"/>
      <c r="N71" s="253"/>
      <c r="O71" s="253"/>
      <c r="P71" s="254">
        <f>40-40+20</f>
        <v>20</v>
      </c>
      <c r="Q71" s="253"/>
      <c r="R71" s="253"/>
      <c r="S71" s="253"/>
      <c r="T71" s="253"/>
      <c r="U71" s="253"/>
      <c r="V71" s="255">
        <f>80-80</f>
        <v>0</v>
      </c>
      <c r="W71" s="253"/>
      <c r="X71" s="255">
        <f>100-100</f>
        <v>0</v>
      </c>
      <c r="Y71" s="253"/>
      <c r="Z71" s="253"/>
      <c r="AA71" s="253"/>
      <c r="AB71" s="253"/>
      <c r="AC71" s="253"/>
      <c r="AD71" s="255">
        <f>10-10</f>
        <v>0</v>
      </c>
      <c r="AE71" s="255">
        <f>130-130</f>
        <v>0</v>
      </c>
      <c r="AF71" s="255">
        <f>50-50</f>
        <v>0</v>
      </c>
      <c r="AG71" s="253"/>
      <c r="AH71" s="253"/>
      <c r="AI71" s="253"/>
      <c r="AJ71" s="253"/>
      <c r="AK71" s="253"/>
      <c r="AL71" s="253"/>
      <c r="AM71" s="253"/>
      <c r="AN71" s="253"/>
      <c r="AO71" s="253"/>
      <c r="AP71" s="253"/>
      <c r="AQ71" s="253"/>
      <c r="AR71" s="255">
        <f>170-170</f>
        <v>0</v>
      </c>
      <c r="AS71" s="253"/>
      <c r="AT71" s="253"/>
      <c r="AU71" s="253"/>
      <c r="AV71" s="253"/>
      <c r="AW71" s="255">
        <f>350-350</f>
        <v>0</v>
      </c>
      <c r="AX71" s="253"/>
      <c r="AY71" s="253"/>
      <c r="AZ71" s="253"/>
      <c r="BA71" s="253"/>
      <c r="BB71" s="253"/>
      <c r="BC71" s="253"/>
      <c r="BD71" s="253"/>
      <c r="BE71" s="253"/>
      <c r="BF71" s="253"/>
      <c r="BG71" s="253"/>
      <c r="BH71" s="253"/>
      <c r="BI71" s="255">
        <f>40-40</f>
        <v>0</v>
      </c>
      <c r="BJ71" s="253"/>
      <c r="BK71" s="253"/>
      <c r="BL71" s="253"/>
      <c r="BM71" s="253"/>
      <c r="BN71" s="253"/>
      <c r="BO71" s="253"/>
      <c r="BP71" s="253"/>
      <c r="BQ71" s="253"/>
      <c r="BR71" s="253"/>
      <c r="BS71" s="253"/>
      <c r="BT71" s="253"/>
      <c r="BU71" s="253"/>
      <c r="BV71" s="253"/>
      <c r="BW71" s="253"/>
      <c r="BX71" s="253"/>
      <c r="BY71" s="253"/>
      <c r="BZ71" s="253"/>
      <c r="CA71" s="253"/>
      <c r="CB71" s="253"/>
      <c r="CC71" s="253"/>
      <c r="CD71" s="253"/>
      <c r="CE71" s="253"/>
      <c r="CF71" s="253"/>
      <c r="CG71" s="253"/>
      <c r="CH71" s="253"/>
      <c r="CI71" s="253"/>
      <c r="CJ71" s="253"/>
      <c r="CK71" s="253"/>
      <c r="CL71" s="253"/>
      <c r="CM71" s="253"/>
      <c r="CN71" s="253"/>
      <c r="CO71" s="253"/>
      <c r="CP71" s="253"/>
      <c r="CQ71" s="253"/>
      <c r="CR71" s="253"/>
      <c r="CS71" s="253"/>
      <c r="CT71" s="253"/>
      <c r="CU71" s="253"/>
      <c r="CV71" s="253"/>
      <c r="CW71" s="253"/>
      <c r="CX71" s="253"/>
      <c r="CY71" s="253"/>
      <c r="CZ71" s="253"/>
      <c r="DA71" s="253"/>
      <c r="DB71" s="253"/>
      <c r="DC71" s="253"/>
      <c r="DD71" s="253"/>
      <c r="DE71" s="253"/>
      <c r="DF71" s="253"/>
      <c r="DG71" s="253"/>
      <c r="DH71" s="253"/>
      <c r="DI71" s="253"/>
      <c r="DJ71" s="253"/>
      <c r="DK71" s="253"/>
      <c r="DL71" s="253"/>
      <c r="DM71" s="253"/>
      <c r="DN71" s="253"/>
      <c r="DO71" s="253"/>
      <c r="DP71" s="253"/>
      <c r="DQ71" s="253"/>
      <c r="DR71" s="253"/>
      <c r="DS71" s="253"/>
      <c r="DT71" s="253"/>
      <c r="DU71" s="253"/>
      <c r="DV71" s="253"/>
      <c r="DW71" s="253"/>
      <c r="DX71" s="253"/>
      <c r="DY71" s="253"/>
      <c r="DZ71" s="253"/>
      <c r="EA71" s="255">
        <f>240-240</f>
        <v>0</v>
      </c>
      <c r="EB71" s="253"/>
      <c r="EC71" s="253"/>
      <c r="ED71" s="253"/>
      <c r="EE71" s="253"/>
      <c r="EF71" s="253"/>
      <c r="EG71" s="253"/>
      <c r="EH71" s="253"/>
      <c r="EI71" s="255">
        <f>40-40</f>
        <v>0</v>
      </c>
      <c r="EJ71" s="255">
        <f>10-10</f>
        <v>0</v>
      </c>
      <c r="EK71" s="255">
        <f>4-4</f>
        <v>0</v>
      </c>
      <c r="EL71" s="253"/>
      <c r="EM71" s="255">
        <f>20-20</f>
        <v>0</v>
      </c>
      <c r="EN71" s="253"/>
      <c r="EO71" s="255">
        <f>40-40</f>
        <v>0</v>
      </c>
      <c r="EP71" s="255">
        <f>30-30</f>
        <v>0</v>
      </c>
      <c r="EQ71" s="253"/>
      <c r="ER71" s="255">
        <f>95-95</f>
        <v>0</v>
      </c>
      <c r="ES71" s="253"/>
      <c r="ET71" s="253"/>
      <c r="EU71" s="253"/>
      <c r="EV71" s="253"/>
      <c r="EW71" s="253"/>
      <c r="EX71" s="253"/>
      <c r="EY71" s="253"/>
      <c r="EZ71" s="253"/>
      <c r="FA71" s="253"/>
      <c r="FB71" s="253"/>
      <c r="FC71" s="253"/>
      <c r="FD71" s="253"/>
      <c r="FE71" s="253"/>
      <c r="FF71" s="253"/>
      <c r="FG71" s="253"/>
      <c r="FH71" s="253"/>
      <c r="FI71" s="253"/>
      <c r="FJ71" s="253"/>
      <c r="FK71" s="253"/>
      <c r="FL71" s="253"/>
      <c r="FM71" s="253"/>
      <c r="FN71" s="253"/>
      <c r="FO71" s="253"/>
      <c r="FP71" s="253"/>
      <c r="FQ71" s="256"/>
      <c r="FR71" s="257" t="s">
        <v>1062</v>
      </c>
      <c r="FS71" s="258" t="s">
        <v>389</v>
      </c>
      <c r="FT71" s="258" t="s">
        <v>431</v>
      </c>
      <c r="FU71" s="258" t="s">
        <v>432</v>
      </c>
      <c r="FV71" s="259">
        <f t="shared" si="2"/>
        <v>20</v>
      </c>
      <c r="FW71" s="260" t="s">
        <v>433</v>
      </c>
    </row>
    <row r="72" spans="1:179" s="260" customFormat="1">
      <c r="A72" s="251" t="s">
        <v>393</v>
      </c>
      <c r="B72" s="251" t="s">
        <v>392</v>
      </c>
      <c r="C72" s="251" t="s">
        <v>411</v>
      </c>
      <c r="D72" s="251" t="s">
        <v>293</v>
      </c>
      <c r="E72" s="252" t="s">
        <v>430</v>
      </c>
      <c r="F72" s="251" t="s">
        <v>388</v>
      </c>
      <c r="G72" s="251" t="s">
        <v>1080</v>
      </c>
      <c r="H72" s="253"/>
      <c r="I72" s="253"/>
      <c r="J72" s="255">
        <f>60-60</f>
        <v>0</v>
      </c>
      <c r="K72" s="253"/>
      <c r="L72" s="253"/>
      <c r="M72" s="253"/>
      <c r="N72" s="253"/>
      <c r="O72" s="253"/>
      <c r="P72" s="253"/>
      <c r="Q72" s="253"/>
      <c r="R72" s="253"/>
      <c r="S72" s="253"/>
      <c r="T72" s="253"/>
      <c r="U72" s="253"/>
      <c r="V72" s="253"/>
      <c r="W72" s="253"/>
      <c r="X72" s="253"/>
      <c r="Y72" s="253"/>
      <c r="Z72" s="253"/>
      <c r="AA72" s="253"/>
      <c r="AB72" s="253"/>
      <c r="AC72" s="253"/>
      <c r="AD72" s="253"/>
      <c r="AE72" s="253"/>
      <c r="AF72" s="253"/>
      <c r="AG72" s="253"/>
      <c r="AH72" s="253"/>
      <c r="AI72" s="253"/>
      <c r="AJ72" s="253"/>
      <c r="AK72" s="253"/>
      <c r="AL72" s="253"/>
      <c r="AM72" s="253"/>
      <c r="AN72" s="253"/>
      <c r="AO72" s="253"/>
      <c r="AP72" s="253"/>
      <c r="AQ72" s="253"/>
      <c r="AR72" s="253"/>
      <c r="AS72" s="253"/>
      <c r="AT72" s="253"/>
      <c r="AU72" s="253"/>
      <c r="AV72" s="253"/>
      <c r="AW72" s="253"/>
      <c r="AX72" s="253"/>
      <c r="AY72" s="253"/>
      <c r="AZ72" s="253"/>
      <c r="BA72" s="253"/>
      <c r="BB72" s="253"/>
      <c r="BC72" s="253"/>
      <c r="BD72" s="253"/>
      <c r="BE72" s="253"/>
      <c r="BF72" s="253"/>
      <c r="BG72" s="253"/>
      <c r="BH72" s="253"/>
      <c r="BI72" s="253"/>
      <c r="BJ72" s="253"/>
      <c r="BK72" s="253"/>
      <c r="BL72" s="253"/>
      <c r="BM72" s="253"/>
      <c r="BN72" s="253"/>
      <c r="BO72" s="253"/>
      <c r="BP72" s="253"/>
      <c r="BQ72" s="253"/>
      <c r="BR72" s="253"/>
      <c r="BS72" s="253"/>
      <c r="BT72" s="253"/>
      <c r="BU72" s="253"/>
      <c r="BV72" s="253"/>
      <c r="BW72" s="253"/>
      <c r="BX72" s="253"/>
      <c r="BY72" s="253"/>
      <c r="BZ72" s="253"/>
      <c r="CA72" s="253"/>
      <c r="CB72" s="253"/>
      <c r="CC72" s="253"/>
      <c r="CD72" s="253"/>
      <c r="CE72" s="253"/>
      <c r="CF72" s="253"/>
      <c r="CG72" s="253"/>
      <c r="CH72" s="253"/>
      <c r="CI72" s="253"/>
      <c r="CJ72" s="253"/>
      <c r="CK72" s="253"/>
      <c r="CL72" s="253"/>
      <c r="CM72" s="253"/>
      <c r="CN72" s="253"/>
      <c r="CO72" s="253"/>
      <c r="CP72" s="253"/>
      <c r="CQ72" s="253"/>
      <c r="CR72" s="253"/>
      <c r="CS72" s="253"/>
      <c r="CT72" s="253"/>
      <c r="CU72" s="253"/>
      <c r="CV72" s="253"/>
      <c r="CW72" s="253"/>
      <c r="CX72" s="253"/>
      <c r="CY72" s="253"/>
      <c r="CZ72" s="253"/>
      <c r="DA72" s="253"/>
      <c r="DB72" s="253"/>
      <c r="DC72" s="253"/>
      <c r="DD72" s="253"/>
      <c r="DE72" s="253"/>
      <c r="DF72" s="253"/>
      <c r="DG72" s="253"/>
      <c r="DH72" s="253"/>
      <c r="DI72" s="253"/>
      <c r="DJ72" s="253"/>
      <c r="DK72" s="253"/>
      <c r="DL72" s="253"/>
      <c r="DM72" s="253"/>
      <c r="DN72" s="253"/>
      <c r="DO72" s="253"/>
      <c r="DP72" s="253"/>
      <c r="DQ72" s="253"/>
      <c r="DR72" s="253"/>
      <c r="DS72" s="253"/>
      <c r="DT72" s="253"/>
      <c r="DU72" s="253"/>
      <c r="DV72" s="253"/>
      <c r="DW72" s="253"/>
      <c r="DX72" s="253"/>
      <c r="DY72" s="253"/>
      <c r="DZ72" s="253"/>
      <c r="EA72" s="253"/>
      <c r="EB72" s="253"/>
      <c r="EC72" s="253"/>
      <c r="ED72" s="253"/>
      <c r="EE72" s="253"/>
      <c r="EF72" s="253"/>
      <c r="EG72" s="253"/>
      <c r="EH72" s="253"/>
      <c r="EI72" s="253"/>
      <c r="EJ72" s="253"/>
      <c r="EK72" s="253"/>
      <c r="EL72" s="253"/>
      <c r="EM72" s="253"/>
      <c r="EN72" s="253"/>
      <c r="EO72" s="253"/>
      <c r="EP72" s="253"/>
      <c r="EQ72" s="253"/>
      <c r="ER72" s="253"/>
      <c r="ES72" s="253"/>
      <c r="ET72" s="253"/>
      <c r="EU72" s="253"/>
      <c r="EV72" s="253"/>
      <c r="EW72" s="253"/>
      <c r="EX72" s="253"/>
      <c r="EY72" s="253"/>
      <c r="EZ72" s="253"/>
      <c r="FA72" s="253"/>
      <c r="FB72" s="253"/>
      <c r="FC72" s="253"/>
      <c r="FD72" s="253"/>
      <c r="FE72" s="253"/>
      <c r="FF72" s="253"/>
      <c r="FG72" s="253"/>
      <c r="FH72" s="253"/>
      <c r="FI72" s="253"/>
      <c r="FJ72" s="253"/>
      <c r="FK72" s="253"/>
      <c r="FL72" s="253"/>
      <c r="FM72" s="253"/>
      <c r="FN72" s="253"/>
      <c r="FO72" s="253"/>
      <c r="FP72" s="253"/>
      <c r="FQ72" s="256"/>
      <c r="FR72" s="257" t="s">
        <v>1062</v>
      </c>
      <c r="FS72" s="258" t="s">
        <v>389</v>
      </c>
      <c r="FT72" s="258" t="s">
        <v>431</v>
      </c>
      <c r="FU72" s="258" t="s">
        <v>432</v>
      </c>
      <c r="FV72" s="259">
        <f t="shared" si="2"/>
        <v>0</v>
      </c>
      <c r="FW72" s="260" t="s">
        <v>433</v>
      </c>
    </row>
    <row r="73" spans="1:179" s="260" customFormat="1">
      <c r="A73" s="251" t="s">
        <v>385</v>
      </c>
      <c r="B73" s="251" t="s">
        <v>385</v>
      </c>
      <c r="C73" s="251" t="s">
        <v>411</v>
      </c>
      <c r="D73" s="251" t="s">
        <v>291</v>
      </c>
      <c r="E73" s="263" t="s">
        <v>434</v>
      </c>
      <c r="F73" s="251" t="s">
        <v>388</v>
      </c>
      <c r="G73" s="251" t="s">
        <v>1081</v>
      </c>
      <c r="H73" s="253"/>
      <c r="I73" s="253"/>
      <c r="J73" s="253"/>
      <c r="K73" s="253"/>
      <c r="L73" s="253"/>
      <c r="M73" s="253"/>
      <c r="N73" s="253"/>
      <c r="O73" s="253"/>
      <c r="P73" s="253"/>
      <c r="Q73" s="253"/>
      <c r="R73" s="253"/>
      <c r="S73" s="253"/>
      <c r="T73" s="253"/>
      <c r="U73" s="253"/>
      <c r="V73" s="253"/>
      <c r="W73" s="253"/>
      <c r="X73" s="253"/>
      <c r="Y73" s="253"/>
      <c r="Z73" s="253"/>
      <c r="AA73" s="253"/>
      <c r="AB73" s="253"/>
      <c r="AC73" s="253"/>
      <c r="AD73" s="253"/>
      <c r="AE73" s="253"/>
      <c r="AF73" s="253"/>
      <c r="AG73" s="253"/>
      <c r="AH73" s="254">
        <f>200-200+20</f>
        <v>20</v>
      </c>
      <c r="AI73" s="253"/>
      <c r="AJ73" s="253"/>
      <c r="AK73" s="255">
        <f>200-200</f>
        <v>0</v>
      </c>
      <c r="AL73" s="253"/>
      <c r="AM73" s="253"/>
      <c r="AN73" s="253"/>
      <c r="AO73" s="253"/>
      <c r="AP73" s="253"/>
      <c r="AQ73" s="253"/>
      <c r="AR73" s="253"/>
      <c r="AS73" s="253"/>
      <c r="AT73" s="253"/>
      <c r="AU73" s="253"/>
      <c r="AV73" s="253"/>
      <c r="AW73" s="253"/>
      <c r="AX73" s="253"/>
      <c r="AY73" s="253"/>
      <c r="AZ73" s="253"/>
      <c r="BA73" s="253"/>
      <c r="BB73" s="253"/>
      <c r="BC73" s="253"/>
      <c r="BD73" s="253"/>
      <c r="BE73" s="253"/>
      <c r="BF73" s="253"/>
      <c r="BG73" s="255">
        <f>200-200+20-20</f>
        <v>0</v>
      </c>
      <c r="BH73" s="253"/>
      <c r="BI73" s="253"/>
      <c r="BJ73" s="253"/>
      <c r="BK73" s="253"/>
      <c r="BL73" s="253"/>
      <c r="BM73" s="253"/>
      <c r="BN73" s="253"/>
      <c r="BO73" s="253"/>
      <c r="BP73" s="253"/>
      <c r="BQ73" s="253"/>
      <c r="BR73" s="253"/>
      <c r="BS73" s="253"/>
      <c r="BT73" s="253"/>
      <c r="BU73" s="253"/>
      <c r="BV73" s="253"/>
      <c r="BW73" s="253"/>
      <c r="BX73" s="253"/>
      <c r="BY73" s="253"/>
      <c r="BZ73" s="253"/>
      <c r="CA73" s="253"/>
      <c r="CB73" s="253"/>
      <c r="CC73" s="253"/>
      <c r="CD73" s="253"/>
      <c r="CE73" s="253"/>
      <c r="CF73" s="253"/>
      <c r="CG73" s="253"/>
      <c r="CH73" s="253"/>
      <c r="CI73" s="253"/>
      <c r="CJ73" s="253"/>
      <c r="CK73" s="253"/>
      <c r="CL73" s="253"/>
      <c r="CM73" s="253"/>
      <c r="CN73" s="253"/>
      <c r="CO73" s="253"/>
      <c r="CP73" s="253"/>
      <c r="CQ73" s="253"/>
      <c r="CR73" s="253"/>
      <c r="CS73" s="253"/>
      <c r="CT73" s="253"/>
      <c r="CU73" s="253"/>
      <c r="CV73" s="253"/>
      <c r="CW73" s="253"/>
      <c r="CX73" s="253"/>
      <c r="CY73" s="253"/>
      <c r="CZ73" s="253"/>
      <c r="DA73" s="253"/>
      <c r="DB73" s="253"/>
      <c r="DC73" s="253"/>
      <c r="DD73" s="253"/>
      <c r="DE73" s="253"/>
      <c r="DF73" s="253"/>
      <c r="DG73" s="253"/>
      <c r="DH73" s="253"/>
      <c r="DI73" s="253"/>
      <c r="DJ73" s="253"/>
      <c r="DK73" s="253"/>
      <c r="DL73" s="253"/>
      <c r="DM73" s="253"/>
      <c r="DN73" s="253"/>
      <c r="DO73" s="253"/>
      <c r="DP73" s="253"/>
      <c r="DQ73" s="253"/>
      <c r="DR73" s="253"/>
      <c r="DS73" s="253"/>
      <c r="DT73" s="253"/>
      <c r="DU73" s="253"/>
      <c r="DV73" s="253"/>
      <c r="DW73" s="253"/>
      <c r="DX73" s="253"/>
      <c r="DY73" s="253"/>
      <c r="DZ73" s="253"/>
      <c r="EA73" s="253"/>
      <c r="EB73" s="253"/>
      <c r="EC73" s="253"/>
      <c r="ED73" s="253"/>
      <c r="EE73" s="253"/>
      <c r="EF73" s="253"/>
      <c r="EG73" s="253"/>
      <c r="EH73" s="253"/>
      <c r="EI73" s="253"/>
      <c r="EJ73" s="253"/>
      <c r="EK73" s="253"/>
      <c r="EL73" s="253"/>
      <c r="EM73" s="253"/>
      <c r="EN73" s="253"/>
      <c r="EO73" s="253"/>
      <c r="EP73" s="253"/>
      <c r="EQ73" s="253"/>
      <c r="ER73" s="253"/>
      <c r="ES73" s="253"/>
      <c r="ET73" s="253"/>
      <c r="EU73" s="253"/>
      <c r="EV73" s="253"/>
      <c r="EW73" s="253"/>
      <c r="EX73" s="253"/>
      <c r="EY73" s="253"/>
      <c r="EZ73" s="253"/>
      <c r="FA73" s="253"/>
      <c r="FB73" s="253"/>
      <c r="FC73" s="253"/>
      <c r="FD73" s="253"/>
      <c r="FE73" s="253"/>
      <c r="FF73" s="253"/>
      <c r="FG73" s="253"/>
      <c r="FH73" s="253"/>
      <c r="FI73" s="253"/>
      <c r="FJ73" s="253"/>
      <c r="FK73" s="253"/>
      <c r="FL73" s="253"/>
      <c r="FM73" s="253"/>
      <c r="FN73" s="253"/>
      <c r="FO73" s="253"/>
      <c r="FP73" s="253"/>
      <c r="FQ73" s="256"/>
      <c r="FR73" s="257" t="s">
        <v>1062</v>
      </c>
      <c r="FS73" s="258" t="s">
        <v>389</v>
      </c>
      <c r="FT73" s="258" t="s">
        <v>1082</v>
      </c>
      <c r="FU73" s="258" t="s">
        <v>420</v>
      </c>
      <c r="FV73" s="259">
        <f t="shared" ref="FV73:FV97" si="3">SUM(H73:FP73)</f>
        <v>20</v>
      </c>
      <c r="FW73" s="260" t="s">
        <v>421</v>
      </c>
    </row>
    <row r="74" spans="1:179" s="260" customFormat="1">
      <c r="A74" s="251" t="s">
        <v>385</v>
      </c>
      <c r="B74" s="251" t="s">
        <v>385</v>
      </c>
      <c r="C74" s="251" t="s">
        <v>411</v>
      </c>
      <c r="D74" s="251" t="s">
        <v>1</v>
      </c>
      <c r="E74" s="263" t="s">
        <v>434</v>
      </c>
      <c r="F74" s="251" t="s">
        <v>388</v>
      </c>
      <c r="G74" s="251" t="s">
        <v>1081</v>
      </c>
      <c r="H74" s="253"/>
      <c r="I74" s="253"/>
      <c r="J74" s="253"/>
      <c r="K74" s="253"/>
      <c r="L74" s="253"/>
      <c r="M74" s="253"/>
      <c r="N74" s="253"/>
      <c r="O74" s="253"/>
      <c r="P74" s="253"/>
      <c r="Q74" s="253"/>
      <c r="R74" s="253"/>
      <c r="S74" s="253"/>
      <c r="T74" s="253"/>
      <c r="U74" s="253"/>
      <c r="V74" s="253"/>
      <c r="W74" s="253"/>
      <c r="X74" s="253"/>
      <c r="Y74" s="253"/>
      <c r="Z74" s="253"/>
      <c r="AA74" s="253"/>
      <c r="AB74" s="253"/>
      <c r="AC74" s="253"/>
      <c r="AD74" s="253"/>
      <c r="AE74" s="253"/>
      <c r="AF74" s="253"/>
      <c r="AG74" s="253"/>
      <c r="AH74" s="253"/>
      <c r="AI74" s="253"/>
      <c r="AJ74" s="253"/>
      <c r="AK74" s="253"/>
      <c r="AL74" s="253"/>
      <c r="AM74" s="253"/>
      <c r="AN74" s="253"/>
      <c r="AO74" s="253"/>
      <c r="AP74" s="253"/>
      <c r="AQ74" s="253"/>
      <c r="AR74" s="253"/>
      <c r="AS74" s="253"/>
      <c r="AT74" s="253"/>
      <c r="AU74" s="253"/>
      <c r="AV74" s="253"/>
      <c r="AW74" s="255">
        <f>200-200+40-40</f>
        <v>0</v>
      </c>
      <c r="AX74" s="253"/>
      <c r="AY74" s="253"/>
      <c r="AZ74" s="253"/>
      <c r="BA74" s="253"/>
      <c r="BB74" s="253"/>
      <c r="BC74" s="255">
        <f>200-200+20</f>
        <v>20</v>
      </c>
      <c r="BD74" s="253"/>
      <c r="BE74" s="253"/>
      <c r="BF74" s="253"/>
      <c r="BG74" s="253"/>
      <c r="BH74" s="253"/>
      <c r="BI74" s="253"/>
      <c r="BJ74" s="253"/>
      <c r="BK74" s="253"/>
      <c r="BL74" s="253"/>
      <c r="BM74" s="253"/>
      <c r="BN74" s="253"/>
      <c r="BO74" s="253"/>
      <c r="BP74" s="253"/>
      <c r="BQ74" s="253"/>
      <c r="BR74" s="253"/>
      <c r="BS74" s="253"/>
      <c r="BT74" s="253"/>
      <c r="BU74" s="253"/>
      <c r="BV74" s="253"/>
      <c r="BW74" s="253"/>
      <c r="BX74" s="253"/>
      <c r="BY74" s="253"/>
      <c r="BZ74" s="253"/>
      <c r="CA74" s="253"/>
      <c r="CB74" s="253"/>
      <c r="CC74" s="253"/>
      <c r="CD74" s="253"/>
      <c r="CE74" s="253"/>
      <c r="CF74" s="253"/>
      <c r="CG74" s="253"/>
      <c r="CH74" s="253"/>
      <c r="CI74" s="253"/>
      <c r="CJ74" s="253"/>
      <c r="CK74" s="253"/>
      <c r="CL74" s="253"/>
      <c r="CM74" s="253"/>
      <c r="CN74" s="253"/>
      <c r="CO74" s="253"/>
      <c r="CP74" s="253"/>
      <c r="CQ74" s="253"/>
      <c r="CR74" s="253"/>
      <c r="CS74" s="253"/>
      <c r="CT74" s="253"/>
      <c r="CU74" s="253"/>
      <c r="CV74" s="253"/>
      <c r="CW74" s="253"/>
      <c r="CX74" s="253"/>
      <c r="CY74" s="253"/>
      <c r="CZ74" s="253"/>
      <c r="DA74" s="253"/>
      <c r="DB74" s="253"/>
      <c r="DC74" s="253"/>
      <c r="DD74" s="253"/>
      <c r="DE74" s="253"/>
      <c r="DF74" s="253"/>
      <c r="DG74" s="253"/>
      <c r="DH74" s="253"/>
      <c r="DI74" s="253"/>
      <c r="DJ74" s="253"/>
      <c r="DK74" s="253"/>
      <c r="DL74" s="253"/>
      <c r="DM74" s="253"/>
      <c r="DN74" s="253"/>
      <c r="DO74" s="253"/>
      <c r="DP74" s="253"/>
      <c r="DQ74" s="253"/>
      <c r="DR74" s="253"/>
      <c r="DS74" s="253"/>
      <c r="DT74" s="253"/>
      <c r="DU74" s="253"/>
      <c r="DV74" s="253"/>
      <c r="DW74" s="253"/>
      <c r="DX74" s="253"/>
      <c r="DY74" s="253"/>
      <c r="DZ74" s="253"/>
      <c r="EA74" s="253"/>
      <c r="EB74" s="253"/>
      <c r="EC74" s="253"/>
      <c r="ED74" s="253"/>
      <c r="EE74" s="253"/>
      <c r="EF74" s="253"/>
      <c r="EG74" s="253"/>
      <c r="EH74" s="253"/>
      <c r="EI74" s="253"/>
      <c r="EJ74" s="253"/>
      <c r="EK74" s="253"/>
      <c r="EL74" s="253"/>
      <c r="EM74" s="253"/>
      <c r="EN74" s="253"/>
      <c r="EO74" s="253"/>
      <c r="EP74" s="253"/>
      <c r="EQ74" s="253"/>
      <c r="ER74" s="253"/>
      <c r="ES74" s="253"/>
      <c r="ET74" s="253"/>
      <c r="EU74" s="253"/>
      <c r="EV74" s="253"/>
      <c r="EW74" s="253"/>
      <c r="EX74" s="253"/>
      <c r="EY74" s="253"/>
      <c r="EZ74" s="253"/>
      <c r="FA74" s="253"/>
      <c r="FB74" s="253"/>
      <c r="FC74" s="253"/>
      <c r="FD74" s="253"/>
      <c r="FE74" s="253"/>
      <c r="FF74" s="253"/>
      <c r="FG74" s="253"/>
      <c r="FH74" s="253"/>
      <c r="FI74" s="253"/>
      <c r="FJ74" s="253"/>
      <c r="FK74" s="253"/>
      <c r="FL74" s="253"/>
      <c r="FM74" s="253"/>
      <c r="FN74" s="253"/>
      <c r="FO74" s="253"/>
      <c r="FP74" s="253"/>
      <c r="FQ74" s="256"/>
      <c r="FR74" s="257" t="s">
        <v>1062</v>
      </c>
      <c r="FS74" s="258" t="s">
        <v>389</v>
      </c>
      <c r="FT74" s="258" t="s">
        <v>1082</v>
      </c>
      <c r="FU74" s="258" t="s">
        <v>420</v>
      </c>
      <c r="FV74" s="259">
        <f t="shared" si="3"/>
        <v>20</v>
      </c>
      <c r="FW74" s="260" t="s">
        <v>421</v>
      </c>
    </row>
    <row r="75" spans="1:179" s="260" customFormat="1">
      <c r="A75" s="251" t="s">
        <v>385</v>
      </c>
      <c r="B75" s="251" t="s">
        <v>385</v>
      </c>
      <c r="C75" s="251" t="s">
        <v>411</v>
      </c>
      <c r="D75" s="251" t="s">
        <v>291</v>
      </c>
      <c r="E75" s="252" t="s">
        <v>434</v>
      </c>
      <c r="F75" s="251" t="s">
        <v>388</v>
      </c>
      <c r="G75" s="251" t="s">
        <v>1083</v>
      </c>
      <c r="H75" s="253"/>
      <c r="I75" s="253"/>
      <c r="J75" s="253"/>
      <c r="K75" s="253"/>
      <c r="L75" s="253"/>
      <c r="M75" s="253"/>
      <c r="N75" s="253"/>
      <c r="O75" s="253"/>
      <c r="P75" s="253"/>
      <c r="Q75" s="253"/>
      <c r="R75" s="253"/>
      <c r="S75" s="253"/>
      <c r="T75" s="253"/>
      <c r="U75" s="253"/>
      <c r="V75" s="253"/>
      <c r="W75" s="253"/>
      <c r="X75" s="253"/>
      <c r="Y75" s="253"/>
      <c r="Z75" s="253"/>
      <c r="AA75" s="253"/>
      <c r="AB75" s="253"/>
      <c r="AC75" s="253"/>
      <c r="AD75" s="253"/>
      <c r="AE75" s="253"/>
      <c r="AF75" s="253"/>
      <c r="AG75" s="253"/>
      <c r="AH75" s="255">
        <f>300-300</f>
        <v>0</v>
      </c>
      <c r="AI75" s="253"/>
      <c r="AJ75" s="253"/>
      <c r="AK75" s="255">
        <f>300-300</f>
        <v>0</v>
      </c>
      <c r="AL75" s="253"/>
      <c r="AM75" s="253"/>
      <c r="AN75" s="253"/>
      <c r="AO75" s="253"/>
      <c r="AP75" s="253"/>
      <c r="AQ75" s="253"/>
      <c r="AR75" s="253"/>
      <c r="AS75" s="253"/>
      <c r="AT75" s="253"/>
      <c r="AU75" s="253"/>
      <c r="AV75" s="253"/>
      <c r="AW75" s="253"/>
      <c r="AX75" s="253"/>
      <c r="AY75" s="253"/>
      <c r="AZ75" s="253"/>
      <c r="BA75" s="253"/>
      <c r="BB75" s="253"/>
      <c r="BC75" s="253"/>
      <c r="BD75" s="253"/>
      <c r="BE75" s="253"/>
      <c r="BF75" s="253"/>
      <c r="BG75" s="255">
        <f>300-300+20-20</f>
        <v>0</v>
      </c>
      <c r="BH75" s="253"/>
      <c r="BI75" s="253"/>
      <c r="BJ75" s="253"/>
      <c r="BK75" s="253"/>
      <c r="BL75" s="253"/>
      <c r="BM75" s="253"/>
      <c r="BN75" s="253"/>
      <c r="BO75" s="253"/>
      <c r="BP75" s="253"/>
      <c r="BQ75" s="253"/>
      <c r="BR75" s="253"/>
      <c r="BS75" s="253"/>
      <c r="BT75" s="253"/>
      <c r="BU75" s="253"/>
      <c r="BV75" s="253"/>
      <c r="BW75" s="253"/>
      <c r="BX75" s="253"/>
      <c r="BY75" s="253"/>
      <c r="BZ75" s="253"/>
      <c r="CA75" s="253"/>
      <c r="CB75" s="253"/>
      <c r="CC75" s="253"/>
      <c r="CD75" s="253"/>
      <c r="CE75" s="253"/>
      <c r="CF75" s="253"/>
      <c r="CG75" s="253"/>
      <c r="CH75" s="253"/>
      <c r="CI75" s="253"/>
      <c r="CJ75" s="253"/>
      <c r="CK75" s="253"/>
      <c r="CL75" s="253"/>
      <c r="CM75" s="253"/>
      <c r="CN75" s="253"/>
      <c r="CO75" s="253"/>
      <c r="CP75" s="253"/>
      <c r="CQ75" s="253"/>
      <c r="CR75" s="253"/>
      <c r="CS75" s="253"/>
      <c r="CT75" s="253"/>
      <c r="CU75" s="253"/>
      <c r="CV75" s="253"/>
      <c r="CW75" s="253"/>
      <c r="CX75" s="253"/>
      <c r="CY75" s="253"/>
      <c r="CZ75" s="253"/>
      <c r="DA75" s="253"/>
      <c r="DB75" s="253"/>
      <c r="DC75" s="253"/>
      <c r="DD75" s="253"/>
      <c r="DE75" s="253"/>
      <c r="DF75" s="253"/>
      <c r="DG75" s="253"/>
      <c r="DH75" s="253"/>
      <c r="DI75" s="253"/>
      <c r="DJ75" s="253"/>
      <c r="DK75" s="253"/>
      <c r="DL75" s="253"/>
      <c r="DM75" s="253"/>
      <c r="DN75" s="253"/>
      <c r="DO75" s="253"/>
      <c r="DP75" s="253"/>
      <c r="DQ75" s="253"/>
      <c r="DR75" s="253"/>
      <c r="DS75" s="253"/>
      <c r="DT75" s="253"/>
      <c r="DU75" s="253"/>
      <c r="DV75" s="253"/>
      <c r="DW75" s="253"/>
      <c r="DX75" s="253"/>
      <c r="DY75" s="253"/>
      <c r="DZ75" s="253"/>
      <c r="EA75" s="253"/>
      <c r="EB75" s="253"/>
      <c r="EC75" s="253"/>
      <c r="ED75" s="253"/>
      <c r="EE75" s="253"/>
      <c r="EF75" s="253"/>
      <c r="EG75" s="253"/>
      <c r="EH75" s="253"/>
      <c r="EI75" s="253"/>
      <c r="EJ75" s="253"/>
      <c r="EK75" s="253"/>
      <c r="EL75" s="253"/>
      <c r="EM75" s="253"/>
      <c r="EN75" s="253"/>
      <c r="EO75" s="253"/>
      <c r="EP75" s="253"/>
      <c r="EQ75" s="253"/>
      <c r="ER75" s="253"/>
      <c r="ES75" s="253"/>
      <c r="ET75" s="253"/>
      <c r="EU75" s="253"/>
      <c r="EV75" s="253"/>
      <c r="EW75" s="253"/>
      <c r="EX75" s="253"/>
      <c r="EY75" s="253"/>
      <c r="EZ75" s="253"/>
      <c r="FA75" s="253"/>
      <c r="FB75" s="253"/>
      <c r="FC75" s="253"/>
      <c r="FD75" s="253"/>
      <c r="FE75" s="253"/>
      <c r="FF75" s="253"/>
      <c r="FG75" s="253"/>
      <c r="FH75" s="253"/>
      <c r="FI75" s="253"/>
      <c r="FJ75" s="253"/>
      <c r="FK75" s="253"/>
      <c r="FL75" s="253"/>
      <c r="FM75" s="253"/>
      <c r="FN75" s="253"/>
      <c r="FO75" s="253"/>
      <c r="FP75" s="253"/>
      <c r="FQ75" s="256"/>
      <c r="FR75" s="257" t="s">
        <v>1062</v>
      </c>
      <c r="FS75" s="258" t="s">
        <v>389</v>
      </c>
      <c r="FT75" s="258" t="s">
        <v>435</v>
      </c>
      <c r="FU75" s="258" t="s">
        <v>420</v>
      </c>
      <c r="FV75" s="259">
        <f t="shared" si="3"/>
        <v>0</v>
      </c>
      <c r="FW75" s="260" t="s">
        <v>421</v>
      </c>
    </row>
    <row r="76" spans="1:179" s="260" customFormat="1">
      <c r="A76" s="251" t="s">
        <v>385</v>
      </c>
      <c r="B76" s="251" t="s">
        <v>385</v>
      </c>
      <c r="C76" s="251" t="s">
        <v>411</v>
      </c>
      <c r="D76" s="251" t="s">
        <v>1</v>
      </c>
      <c r="E76" s="252" t="s">
        <v>434</v>
      </c>
      <c r="F76" s="251" t="s">
        <v>388</v>
      </c>
      <c r="G76" s="251" t="s">
        <v>1083</v>
      </c>
      <c r="H76" s="253"/>
      <c r="I76" s="253"/>
      <c r="J76" s="253"/>
      <c r="K76" s="253"/>
      <c r="L76" s="253"/>
      <c r="M76" s="253"/>
      <c r="N76" s="253"/>
      <c r="O76" s="253"/>
      <c r="P76" s="253"/>
      <c r="Q76" s="253"/>
      <c r="R76" s="253"/>
      <c r="S76" s="253"/>
      <c r="T76" s="253"/>
      <c r="U76" s="253"/>
      <c r="V76" s="253"/>
      <c r="W76" s="253"/>
      <c r="X76" s="253"/>
      <c r="Y76" s="253"/>
      <c r="Z76" s="253"/>
      <c r="AA76" s="255">
        <f>200-200</f>
        <v>0</v>
      </c>
      <c r="AB76" s="253"/>
      <c r="AC76" s="253"/>
      <c r="AD76" s="253"/>
      <c r="AE76" s="255">
        <f>200-200</f>
        <v>0</v>
      </c>
      <c r="AF76" s="255">
        <f>200-200</f>
        <v>0</v>
      </c>
      <c r="AG76" s="255">
        <f>200-200</f>
        <v>0</v>
      </c>
      <c r="AH76" s="253"/>
      <c r="AI76" s="253"/>
      <c r="AJ76" s="253"/>
      <c r="AK76" s="253"/>
      <c r="AL76" s="253"/>
      <c r="AM76" s="253"/>
      <c r="AN76" s="253"/>
      <c r="AO76" s="253"/>
      <c r="AP76" s="253"/>
      <c r="AQ76" s="253"/>
      <c r="AR76" s="253"/>
      <c r="AS76" s="253"/>
      <c r="AT76" s="253"/>
      <c r="AU76" s="253"/>
      <c r="AV76" s="253"/>
      <c r="AW76" s="255">
        <f>300-300</f>
        <v>0</v>
      </c>
      <c r="AX76" s="253"/>
      <c r="AY76" s="253"/>
      <c r="AZ76" s="253"/>
      <c r="BA76" s="253"/>
      <c r="BB76" s="253"/>
      <c r="BC76" s="255">
        <f>300-300</f>
        <v>0</v>
      </c>
      <c r="BD76" s="253"/>
      <c r="BE76" s="253"/>
      <c r="BF76" s="253"/>
      <c r="BG76" s="253"/>
      <c r="BH76" s="253"/>
      <c r="BI76" s="253"/>
      <c r="BJ76" s="253"/>
      <c r="BK76" s="253"/>
      <c r="BL76" s="253"/>
      <c r="BM76" s="253"/>
      <c r="BN76" s="253"/>
      <c r="BO76" s="253"/>
      <c r="BP76" s="253"/>
      <c r="BQ76" s="253"/>
      <c r="BR76" s="253"/>
      <c r="BS76" s="253"/>
      <c r="BT76" s="253"/>
      <c r="BU76" s="253"/>
      <c r="BV76" s="253"/>
      <c r="BW76" s="253"/>
      <c r="BX76" s="253"/>
      <c r="BY76" s="253"/>
      <c r="BZ76" s="253"/>
      <c r="CA76" s="253"/>
      <c r="CB76" s="253"/>
      <c r="CC76" s="253"/>
      <c r="CD76" s="253"/>
      <c r="CE76" s="253"/>
      <c r="CF76" s="253"/>
      <c r="CG76" s="253"/>
      <c r="CH76" s="253"/>
      <c r="CI76" s="253"/>
      <c r="CJ76" s="253"/>
      <c r="CK76" s="253"/>
      <c r="CL76" s="253"/>
      <c r="CM76" s="253"/>
      <c r="CN76" s="253"/>
      <c r="CO76" s="253"/>
      <c r="CP76" s="253"/>
      <c r="CQ76" s="253"/>
      <c r="CR76" s="253"/>
      <c r="CS76" s="253"/>
      <c r="CT76" s="253"/>
      <c r="CU76" s="253"/>
      <c r="CV76" s="253"/>
      <c r="CW76" s="253"/>
      <c r="CX76" s="253"/>
      <c r="CY76" s="253"/>
      <c r="CZ76" s="253"/>
      <c r="DA76" s="253"/>
      <c r="DB76" s="253"/>
      <c r="DC76" s="253"/>
      <c r="DD76" s="253"/>
      <c r="DE76" s="253"/>
      <c r="DF76" s="253"/>
      <c r="DG76" s="253"/>
      <c r="DH76" s="253"/>
      <c r="DI76" s="253"/>
      <c r="DJ76" s="253"/>
      <c r="DK76" s="253"/>
      <c r="DL76" s="253"/>
      <c r="DM76" s="253"/>
      <c r="DN76" s="253"/>
      <c r="DO76" s="253"/>
      <c r="DP76" s="253"/>
      <c r="DQ76" s="253"/>
      <c r="DR76" s="253"/>
      <c r="DS76" s="253"/>
      <c r="DT76" s="253"/>
      <c r="DU76" s="253"/>
      <c r="DV76" s="253"/>
      <c r="DW76" s="253"/>
      <c r="DX76" s="253"/>
      <c r="DY76" s="253"/>
      <c r="DZ76" s="253"/>
      <c r="EA76" s="253"/>
      <c r="EB76" s="253"/>
      <c r="EC76" s="253"/>
      <c r="ED76" s="253"/>
      <c r="EE76" s="253"/>
      <c r="EF76" s="253"/>
      <c r="EG76" s="253"/>
      <c r="EH76" s="253"/>
      <c r="EI76" s="253"/>
      <c r="EJ76" s="253"/>
      <c r="EK76" s="253"/>
      <c r="EL76" s="253"/>
      <c r="EM76" s="253"/>
      <c r="EN76" s="253"/>
      <c r="EO76" s="253"/>
      <c r="EP76" s="253"/>
      <c r="EQ76" s="253"/>
      <c r="ER76" s="253"/>
      <c r="ES76" s="253"/>
      <c r="ET76" s="253"/>
      <c r="EU76" s="253"/>
      <c r="EV76" s="253"/>
      <c r="EW76" s="253"/>
      <c r="EX76" s="253"/>
      <c r="EY76" s="253"/>
      <c r="EZ76" s="253"/>
      <c r="FA76" s="253"/>
      <c r="FB76" s="253"/>
      <c r="FC76" s="253"/>
      <c r="FD76" s="253"/>
      <c r="FE76" s="253"/>
      <c r="FF76" s="253"/>
      <c r="FG76" s="253"/>
      <c r="FH76" s="253"/>
      <c r="FI76" s="253"/>
      <c r="FJ76" s="253"/>
      <c r="FK76" s="253"/>
      <c r="FL76" s="253"/>
      <c r="FM76" s="253"/>
      <c r="FN76" s="253"/>
      <c r="FO76" s="253"/>
      <c r="FP76" s="253"/>
      <c r="FQ76" s="256"/>
      <c r="FR76" s="257" t="s">
        <v>1062</v>
      </c>
      <c r="FS76" s="258" t="s">
        <v>389</v>
      </c>
      <c r="FT76" s="258" t="s">
        <v>435</v>
      </c>
      <c r="FU76" s="258" t="s">
        <v>420</v>
      </c>
      <c r="FV76" s="259">
        <f t="shared" si="3"/>
        <v>0</v>
      </c>
      <c r="FW76" s="260" t="s">
        <v>421</v>
      </c>
    </row>
    <row r="77" spans="1:179" s="260" customFormat="1">
      <c r="A77" s="251" t="s">
        <v>393</v>
      </c>
      <c r="B77" s="251" t="s">
        <v>385</v>
      </c>
      <c r="C77" s="251" t="s">
        <v>411</v>
      </c>
      <c r="D77" s="251" t="s">
        <v>291</v>
      </c>
      <c r="E77" s="252" t="s">
        <v>437</v>
      </c>
      <c r="F77" s="251" t="s">
        <v>388</v>
      </c>
      <c r="G77" s="251" t="s">
        <v>1084</v>
      </c>
      <c r="H77" s="253"/>
      <c r="I77" s="255">
        <f>300-300</f>
        <v>0</v>
      </c>
      <c r="J77" s="253"/>
      <c r="K77" s="253"/>
      <c r="L77" s="253"/>
      <c r="M77" s="253"/>
      <c r="N77" s="253"/>
      <c r="O77" s="253"/>
      <c r="P77" s="253"/>
      <c r="Q77" s="253"/>
      <c r="R77" s="253"/>
      <c r="S77" s="253"/>
      <c r="T77" s="253"/>
      <c r="U77" s="253"/>
      <c r="V77" s="253"/>
      <c r="W77" s="253"/>
      <c r="X77" s="253"/>
      <c r="Y77" s="253"/>
      <c r="Z77" s="253"/>
      <c r="AA77" s="253"/>
      <c r="AB77" s="253"/>
      <c r="AC77" s="253"/>
      <c r="AD77" s="253"/>
      <c r="AE77" s="253"/>
      <c r="AF77" s="253"/>
      <c r="AG77" s="253"/>
      <c r="AH77" s="254">
        <f>200-200+20</f>
        <v>20</v>
      </c>
      <c r="AI77" s="253"/>
      <c r="AJ77" s="255">
        <f>500-500</f>
        <v>0</v>
      </c>
      <c r="AK77" s="255">
        <f>300-300</f>
        <v>0</v>
      </c>
      <c r="AL77" s="253"/>
      <c r="AM77" s="253"/>
      <c r="AN77" s="253"/>
      <c r="AO77" s="253"/>
      <c r="AP77" s="253"/>
      <c r="AQ77" s="253"/>
      <c r="AR77" s="253"/>
      <c r="AS77" s="253"/>
      <c r="AT77" s="253"/>
      <c r="AU77" s="253"/>
      <c r="AV77" s="253"/>
      <c r="AW77" s="253"/>
      <c r="AX77" s="253"/>
      <c r="AY77" s="253"/>
      <c r="AZ77" s="253"/>
      <c r="BA77" s="253"/>
      <c r="BB77" s="253"/>
      <c r="BC77" s="253"/>
      <c r="BD77" s="253"/>
      <c r="BE77" s="253"/>
      <c r="BF77" s="253"/>
      <c r="BG77" s="255">
        <f>40-40</f>
        <v>0</v>
      </c>
      <c r="BH77" s="253"/>
      <c r="BI77" s="253"/>
      <c r="BJ77" s="253"/>
      <c r="BK77" s="253"/>
      <c r="BL77" s="253"/>
      <c r="BM77" s="253"/>
      <c r="BN77" s="253"/>
      <c r="BO77" s="253"/>
      <c r="BP77" s="253"/>
      <c r="BQ77" s="253"/>
      <c r="BR77" s="253"/>
      <c r="BS77" s="253"/>
      <c r="BT77" s="253"/>
      <c r="BU77" s="253"/>
      <c r="BV77" s="253"/>
      <c r="BW77" s="253"/>
      <c r="BX77" s="253"/>
      <c r="BY77" s="253"/>
      <c r="BZ77" s="253"/>
      <c r="CA77" s="253"/>
      <c r="CB77" s="253"/>
      <c r="CC77" s="253"/>
      <c r="CD77" s="253"/>
      <c r="CE77" s="253"/>
      <c r="CF77" s="253"/>
      <c r="CG77" s="253"/>
      <c r="CH77" s="253"/>
      <c r="CI77" s="253"/>
      <c r="CJ77" s="253"/>
      <c r="CK77" s="253"/>
      <c r="CL77" s="253"/>
      <c r="CM77" s="253"/>
      <c r="CN77" s="253"/>
      <c r="CO77" s="253"/>
      <c r="CP77" s="253"/>
      <c r="CQ77" s="253"/>
      <c r="CR77" s="253"/>
      <c r="CS77" s="253"/>
      <c r="CT77" s="253"/>
      <c r="CU77" s="253"/>
      <c r="CV77" s="253"/>
      <c r="CW77" s="253"/>
      <c r="CX77" s="253"/>
      <c r="CY77" s="253"/>
      <c r="CZ77" s="253"/>
      <c r="DA77" s="253"/>
      <c r="DB77" s="253"/>
      <c r="DC77" s="253"/>
      <c r="DD77" s="253"/>
      <c r="DE77" s="253"/>
      <c r="DF77" s="253"/>
      <c r="DG77" s="253"/>
      <c r="DH77" s="253"/>
      <c r="DI77" s="253"/>
      <c r="DJ77" s="253"/>
      <c r="DK77" s="253"/>
      <c r="DL77" s="253"/>
      <c r="DM77" s="253"/>
      <c r="DN77" s="253"/>
      <c r="DO77" s="253"/>
      <c r="DP77" s="253"/>
      <c r="DQ77" s="253"/>
      <c r="DR77" s="253"/>
      <c r="DS77" s="253"/>
      <c r="DT77" s="253"/>
      <c r="DU77" s="253"/>
      <c r="DV77" s="253"/>
      <c r="DW77" s="253"/>
      <c r="DX77" s="253"/>
      <c r="DY77" s="253"/>
      <c r="DZ77" s="253"/>
      <c r="EA77" s="253"/>
      <c r="EB77" s="253"/>
      <c r="EC77" s="253"/>
      <c r="ED77" s="253"/>
      <c r="EE77" s="253"/>
      <c r="EF77" s="253"/>
      <c r="EG77" s="253"/>
      <c r="EH77" s="253"/>
      <c r="EI77" s="253"/>
      <c r="EJ77" s="253"/>
      <c r="EK77" s="253"/>
      <c r="EL77" s="253"/>
      <c r="EM77" s="253"/>
      <c r="EN77" s="253"/>
      <c r="EO77" s="253"/>
      <c r="EP77" s="253"/>
      <c r="EQ77" s="253"/>
      <c r="ER77" s="253"/>
      <c r="ES77" s="253"/>
      <c r="ET77" s="253"/>
      <c r="EU77" s="253"/>
      <c r="EV77" s="253"/>
      <c r="EW77" s="253"/>
      <c r="EX77" s="253"/>
      <c r="EY77" s="253"/>
      <c r="EZ77" s="253"/>
      <c r="FA77" s="253"/>
      <c r="FB77" s="253"/>
      <c r="FC77" s="253"/>
      <c r="FD77" s="253"/>
      <c r="FE77" s="253"/>
      <c r="FF77" s="253"/>
      <c r="FG77" s="253"/>
      <c r="FH77" s="253"/>
      <c r="FI77" s="253"/>
      <c r="FJ77" s="253"/>
      <c r="FK77" s="253"/>
      <c r="FL77" s="253"/>
      <c r="FM77" s="253"/>
      <c r="FN77" s="253"/>
      <c r="FO77" s="253"/>
      <c r="FP77" s="253"/>
      <c r="FQ77" s="256"/>
      <c r="FR77" s="257" t="s">
        <v>1062</v>
      </c>
      <c r="FS77" s="258" t="s">
        <v>389</v>
      </c>
      <c r="FT77" s="258" t="s">
        <v>438</v>
      </c>
      <c r="FU77" s="258" t="s">
        <v>439</v>
      </c>
      <c r="FV77" s="259">
        <f t="shared" si="3"/>
        <v>20</v>
      </c>
      <c r="FW77" s="260" t="s">
        <v>421</v>
      </c>
    </row>
    <row r="78" spans="1:179" s="260" customFormat="1">
      <c r="A78" s="251" t="s">
        <v>393</v>
      </c>
      <c r="B78" s="251" t="s">
        <v>385</v>
      </c>
      <c r="C78" s="251" t="s">
        <v>411</v>
      </c>
      <c r="D78" s="251" t="s">
        <v>1</v>
      </c>
      <c r="E78" s="252" t="s">
        <v>437</v>
      </c>
      <c r="F78" s="251" t="s">
        <v>388</v>
      </c>
      <c r="G78" s="251" t="s">
        <v>1084</v>
      </c>
      <c r="H78" s="253"/>
      <c r="I78" s="253"/>
      <c r="J78" s="253"/>
      <c r="K78" s="253"/>
      <c r="L78" s="253"/>
      <c r="M78" s="253"/>
      <c r="N78" s="253"/>
      <c r="O78" s="253"/>
      <c r="P78" s="255">
        <f>300-300</f>
        <v>0</v>
      </c>
      <c r="Q78" s="253"/>
      <c r="R78" s="253"/>
      <c r="S78" s="253"/>
      <c r="T78" s="253"/>
      <c r="U78" s="253"/>
      <c r="V78" s="253"/>
      <c r="W78" s="253"/>
      <c r="X78" s="255">
        <f>200-200</f>
        <v>0</v>
      </c>
      <c r="Y78" s="253"/>
      <c r="Z78" s="253"/>
      <c r="AA78" s="255">
        <f>200-200</f>
        <v>0</v>
      </c>
      <c r="AB78" s="253"/>
      <c r="AC78" s="255">
        <f>200-200</f>
        <v>0</v>
      </c>
      <c r="AD78" s="253"/>
      <c r="AE78" s="255">
        <f>800-800</f>
        <v>0</v>
      </c>
      <c r="AF78" s="253"/>
      <c r="AG78" s="253"/>
      <c r="AH78" s="253"/>
      <c r="AI78" s="255">
        <f>300-300</f>
        <v>0</v>
      </c>
      <c r="AJ78" s="253"/>
      <c r="AK78" s="253"/>
      <c r="AL78" s="253"/>
      <c r="AM78" s="253"/>
      <c r="AN78" s="253"/>
      <c r="AO78" s="253"/>
      <c r="AP78" s="253"/>
      <c r="AQ78" s="253"/>
      <c r="AR78" s="254">
        <f>200-200+10</f>
        <v>10</v>
      </c>
      <c r="AS78" s="253"/>
      <c r="AT78" s="253"/>
      <c r="AU78" s="253"/>
      <c r="AV78" s="253"/>
      <c r="AW78" s="255">
        <f>400-400+20-20</f>
        <v>0</v>
      </c>
      <c r="AX78" s="253"/>
      <c r="AY78" s="253"/>
      <c r="AZ78" s="253"/>
      <c r="BA78" s="253"/>
      <c r="BB78" s="253"/>
      <c r="BC78" s="253"/>
      <c r="BD78" s="253"/>
      <c r="BE78" s="253"/>
      <c r="BF78" s="253"/>
      <c r="BG78" s="253"/>
      <c r="BH78" s="253"/>
      <c r="BI78" s="253"/>
      <c r="BJ78" s="253"/>
      <c r="BK78" s="253"/>
      <c r="BL78" s="253"/>
      <c r="BM78" s="253"/>
      <c r="BN78" s="253"/>
      <c r="BO78" s="253"/>
      <c r="BP78" s="253"/>
      <c r="BQ78" s="253"/>
      <c r="BR78" s="253"/>
      <c r="BS78" s="253"/>
      <c r="BT78" s="253"/>
      <c r="BU78" s="253"/>
      <c r="BV78" s="253"/>
      <c r="BW78" s="253"/>
      <c r="BX78" s="253"/>
      <c r="BY78" s="253"/>
      <c r="BZ78" s="253"/>
      <c r="CA78" s="253"/>
      <c r="CB78" s="253"/>
      <c r="CC78" s="253"/>
      <c r="CD78" s="253"/>
      <c r="CE78" s="253"/>
      <c r="CF78" s="253"/>
      <c r="CG78" s="253"/>
      <c r="CH78" s="253"/>
      <c r="CI78" s="253"/>
      <c r="CJ78" s="253"/>
      <c r="CK78" s="253"/>
      <c r="CL78" s="253"/>
      <c r="CM78" s="253"/>
      <c r="CN78" s="253"/>
      <c r="CO78" s="253"/>
      <c r="CP78" s="253"/>
      <c r="CQ78" s="253"/>
      <c r="CR78" s="253"/>
      <c r="CS78" s="253"/>
      <c r="CT78" s="253"/>
      <c r="CU78" s="253"/>
      <c r="CV78" s="253"/>
      <c r="CW78" s="253"/>
      <c r="CX78" s="253"/>
      <c r="CY78" s="253"/>
      <c r="CZ78" s="253"/>
      <c r="DA78" s="253"/>
      <c r="DB78" s="253"/>
      <c r="DC78" s="253"/>
      <c r="DD78" s="253"/>
      <c r="DE78" s="253"/>
      <c r="DF78" s="253"/>
      <c r="DG78" s="253"/>
      <c r="DH78" s="253"/>
      <c r="DI78" s="253"/>
      <c r="DJ78" s="253"/>
      <c r="DK78" s="253"/>
      <c r="DL78" s="253"/>
      <c r="DM78" s="253"/>
      <c r="DN78" s="253"/>
      <c r="DO78" s="253"/>
      <c r="DP78" s="253"/>
      <c r="DQ78" s="253"/>
      <c r="DR78" s="253"/>
      <c r="DS78" s="253"/>
      <c r="DT78" s="253"/>
      <c r="DU78" s="253"/>
      <c r="DV78" s="253"/>
      <c r="DW78" s="253"/>
      <c r="DX78" s="253"/>
      <c r="DY78" s="253"/>
      <c r="DZ78" s="253"/>
      <c r="EA78" s="255">
        <f>300-300</f>
        <v>0</v>
      </c>
      <c r="EB78" s="253"/>
      <c r="EC78" s="253"/>
      <c r="ED78" s="253"/>
      <c r="EE78" s="253"/>
      <c r="EF78" s="253"/>
      <c r="EG78" s="253"/>
      <c r="EH78" s="253"/>
      <c r="EI78" s="253"/>
      <c r="EJ78" s="253"/>
      <c r="EK78" s="253"/>
      <c r="EL78" s="253"/>
      <c r="EM78" s="253"/>
      <c r="EN78" s="253"/>
      <c r="EO78" s="253"/>
      <c r="EP78" s="253"/>
      <c r="EQ78" s="253"/>
      <c r="ER78" s="253"/>
      <c r="ES78" s="253"/>
      <c r="ET78" s="253"/>
      <c r="EU78" s="253"/>
      <c r="EV78" s="253"/>
      <c r="EW78" s="253"/>
      <c r="EX78" s="253"/>
      <c r="EY78" s="253"/>
      <c r="EZ78" s="253"/>
      <c r="FA78" s="253"/>
      <c r="FB78" s="253"/>
      <c r="FC78" s="253"/>
      <c r="FD78" s="253"/>
      <c r="FE78" s="253"/>
      <c r="FF78" s="253"/>
      <c r="FG78" s="253"/>
      <c r="FH78" s="253"/>
      <c r="FI78" s="253"/>
      <c r="FJ78" s="253"/>
      <c r="FK78" s="253"/>
      <c r="FL78" s="253"/>
      <c r="FM78" s="253"/>
      <c r="FN78" s="253"/>
      <c r="FO78" s="253"/>
      <c r="FP78" s="253"/>
      <c r="FQ78" s="256"/>
      <c r="FR78" s="257" t="s">
        <v>1062</v>
      </c>
      <c r="FS78" s="258" t="s">
        <v>389</v>
      </c>
      <c r="FT78" s="258" t="s">
        <v>438</v>
      </c>
      <c r="FU78" s="258" t="s">
        <v>439</v>
      </c>
      <c r="FV78" s="259">
        <f t="shared" si="3"/>
        <v>10</v>
      </c>
      <c r="FW78" s="260" t="s">
        <v>421</v>
      </c>
    </row>
    <row r="79" spans="1:179" s="260" customFormat="1">
      <c r="A79" s="251" t="s">
        <v>393</v>
      </c>
      <c r="B79" s="251" t="s">
        <v>385</v>
      </c>
      <c r="C79" s="251" t="s">
        <v>411</v>
      </c>
      <c r="D79" s="251" t="s">
        <v>291</v>
      </c>
      <c r="E79" s="252" t="s">
        <v>440</v>
      </c>
      <c r="F79" s="251" t="s">
        <v>388</v>
      </c>
      <c r="G79" s="251"/>
      <c r="H79" s="253"/>
      <c r="I79" s="255">
        <f>200-200</f>
        <v>0</v>
      </c>
      <c r="J79" s="253"/>
      <c r="K79" s="253"/>
      <c r="L79" s="253"/>
      <c r="M79" s="253"/>
      <c r="N79" s="253"/>
      <c r="O79" s="253"/>
      <c r="P79" s="253"/>
      <c r="Q79" s="253"/>
      <c r="R79" s="253"/>
      <c r="S79" s="253"/>
      <c r="T79" s="253"/>
      <c r="U79" s="253"/>
      <c r="V79" s="253"/>
      <c r="W79" s="253"/>
      <c r="X79" s="253"/>
      <c r="Y79" s="253"/>
      <c r="Z79" s="253"/>
      <c r="AA79" s="253"/>
      <c r="AB79" s="253"/>
      <c r="AC79" s="253"/>
      <c r="AD79" s="253"/>
      <c r="AE79" s="253"/>
      <c r="AF79" s="253"/>
      <c r="AG79" s="253"/>
      <c r="AH79" s="255">
        <f>400-400</f>
        <v>0</v>
      </c>
      <c r="AI79" s="253"/>
      <c r="AJ79" s="253"/>
      <c r="AK79" s="255">
        <f>400-400</f>
        <v>0</v>
      </c>
      <c r="AL79" s="253"/>
      <c r="AM79" s="253"/>
      <c r="AN79" s="253"/>
      <c r="AO79" s="253"/>
      <c r="AP79" s="253"/>
      <c r="AQ79" s="253"/>
      <c r="AR79" s="253"/>
      <c r="AS79" s="253"/>
      <c r="AT79" s="253"/>
      <c r="AU79" s="253"/>
      <c r="AV79" s="253"/>
      <c r="AW79" s="253"/>
      <c r="AX79" s="253"/>
      <c r="AY79" s="253"/>
      <c r="AZ79" s="253"/>
      <c r="BA79" s="253"/>
      <c r="BB79" s="253"/>
      <c r="BC79" s="253"/>
      <c r="BD79" s="253"/>
      <c r="BE79" s="253"/>
      <c r="BF79" s="253"/>
      <c r="BG79" s="255">
        <f>500-500+40-40</f>
        <v>0</v>
      </c>
      <c r="BH79" s="253"/>
      <c r="BI79" s="253"/>
      <c r="BJ79" s="253"/>
      <c r="BK79" s="253"/>
      <c r="BL79" s="253"/>
      <c r="BM79" s="253"/>
      <c r="BN79" s="253"/>
      <c r="BO79" s="253"/>
      <c r="BP79" s="253"/>
      <c r="BQ79" s="253"/>
      <c r="BR79" s="253"/>
      <c r="BS79" s="253"/>
      <c r="BT79" s="253"/>
      <c r="BU79" s="253"/>
      <c r="BV79" s="253"/>
      <c r="BW79" s="253"/>
      <c r="BX79" s="253"/>
      <c r="BY79" s="253"/>
      <c r="BZ79" s="253"/>
      <c r="CA79" s="253"/>
      <c r="CB79" s="253"/>
      <c r="CC79" s="253"/>
      <c r="CD79" s="253"/>
      <c r="CE79" s="253"/>
      <c r="CF79" s="253"/>
      <c r="CG79" s="253"/>
      <c r="CH79" s="253"/>
      <c r="CI79" s="253"/>
      <c r="CJ79" s="253"/>
      <c r="CK79" s="253"/>
      <c r="CL79" s="253"/>
      <c r="CM79" s="253"/>
      <c r="CN79" s="253"/>
      <c r="CO79" s="253"/>
      <c r="CP79" s="253"/>
      <c r="CQ79" s="253"/>
      <c r="CR79" s="253"/>
      <c r="CS79" s="253"/>
      <c r="CT79" s="253"/>
      <c r="CU79" s="253"/>
      <c r="CV79" s="253"/>
      <c r="CW79" s="253"/>
      <c r="CX79" s="253"/>
      <c r="CY79" s="253"/>
      <c r="CZ79" s="253"/>
      <c r="DA79" s="253"/>
      <c r="DB79" s="253"/>
      <c r="DC79" s="253"/>
      <c r="DD79" s="253"/>
      <c r="DE79" s="253"/>
      <c r="DF79" s="253"/>
      <c r="DG79" s="253"/>
      <c r="DH79" s="253"/>
      <c r="DI79" s="253"/>
      <c r="DJ79" s="253"/>
      <c r="DK79" s="253"/>
      <c r="DL79" s="253"/>
      <c r="DM79" s="253"/>
      <c r="DN79" s="253"/>
      <c r="DO79" s="253"/>
      <c r="DP79" s="253"/>
      <c r="DQ79" s="253"/>
      <c r="DR79" s="253"/>
      <c r="DS79" s="253"/>
      <c r="DT79" s="253"/>
      <c r="DU79" s="253"/>
      <c r="DV79" s="253"/>
      <c r="DW79" s="253"/>
      <c r="DX79" s="253"/>
      <c r="DY79" s="253"/>
      <c r="DZ79" s="253"/>
      <c r="EA79" s="253"/>
      <c r="EB79" s="255">
        <f>200-200</f>
        <v>0</v>
      </c>
      <c r="EC79" s="254">
        <f>200-200+100</f>
        <v>100</v>
      </c>
      <c r="ED79" s="253"/>
      <c r="EE79" s="253"/>
      <c r="EF79" s="253"/>
      <c r="EG79" s="253"/>
      <c r="EH79" s="253"/>
      <c r="EI79" s="253"/>
      <c r="EJ79" s="253"/>
      <c r="EK79" s="253"/>
      <c r="EL79" s="253"/>
      <c r="EM79" s="253"/>
      <c r="EN79" s="253"/>
      <c r="EO79" s="253"/>
      <c r="EP79" s="253"/>
      <c r="EQ79" s="253"/>
      <c r="ER79" s="253"/>
      <c r="ES79" s="253"/>
      <c r="ET79" s="253"/>
      <c r="EU79" s="253"/>
      <c r="EV79" s="253"/>
      <c r="EW79" s="253"/>
      <c r="EX79" s="253"/>
      <c r="EY79" s="253"/>
      <c r="EZ79" s="253"/>
      <c r="FA79" s="253"/>
      <c r="FB79" s="253"/>
      <c r="FC79" s="253"/>
      <c r="FD79" s="253"/>
      <c r="FE79" s="253"/>
      <c r="FF79" s="253"/>
      <c r="FG79" s="253"/>
      <c r="FH79" s="253"/>
      <c r="FI79" s="253"/>
      <c r="FJ79" s="253"/>
      <c r="FK79" s="253"/>
      <c r="FL79" s="253"/>
      <c r="FM79" s="253"/>
      <c r="FN79" s="253"/>
      <c r="FO79" s="253"/>
      <c r="FP79" s="253"/>
      <c r="FQ79" s="256"/>
      <c r="FR79" s="257" t="s">
        <v>1062</v>
      </c>
      <c r="FS79" s="258" t="s">
        <v>389</v>
      </c>
      <c r="FT79" s="258"/>
      <c r="FU79" s="258" t="s">
        <v>423</v>
      </c>
      <c r="FV79" s="259">
        <f t="shared" si="3"/>
        <v>100</v>
      </c>
      <c r="FW79" s="260" t="s">
        <v>424</v>
      </c>
    </row>
    <row r="80" spans="1:179" s="260" customFormat="1">
      <c r="A80" s="251" t="s">
        <v>393</v>
      </c>
      <c r="B80" s="251" t="s">
        <v>385</v>
      </c>
      <c r="C80" s="251" t="s">
        <v>411</v>
      </c>
      <c r="D80" s="251" t="s">
        <v>1</v>
      </c>
      <c r="E80" s="252" t="s">
        <v>440</v>
      </c>
      <c r="F80" s="251" t="s">
        <v>388</v>
      </c>
      <c r="G80" s="251"/>
      <c r="H80" s="253"/>
      <c r="I80" s="253"/>
      <c r="J80" s="253"/>
      <c r="K80" s="253"/>
      <c r="L80" s="253"/>
      <c r="M80" s="253"/>
      <c r="N80" s="253"/>
      <c r="O80" s="253"/>
      <c r="P80" s="255">
        <f>400-400</f>
        <v>0</v>
      </c>
      <c r="Q80" s="253"/>
      <c r="R80" s="255">
        <f>400-400</f>
        <v>0</v>
      </c>
      <c r="S80" s="253"/>
      <c r="T80" s="253"/>
      <c r="U80" s="253"/>
      <c r="V80" s="253"/>
      <c r="W80" s="253"/>
      <c r="X80" s="253"/>
      <c r="Y80" s="253"/>
      <c r="Z80" s="253"/>
      <c r="AA80" s="253"/>
      <c r="AB80" s="253"/>
      <c r="AC80" s="253"/>
      <c r="AD80" s="253"/>
      <c r="AE80" s="255">
        <f>400-400</f>
        <v>0</v>
      </c>
      <c r="AF80" s="255">
        <f>400-400</f>
        <v>0</v>
      </c>
      <c r="AG80" s="253"/>
      <c r="AH80" s="253"/>
      <c r="AI80" s="255">
        <f>400-400</f>
        <v>0</v>
      </c>
      <c r="AJ80" s="253"/>
      <c r="AK80" s="253"/>
      <c r="AL80" s="253"/>
      <c r="AM80" s="253"/>
      <c r="AN80" s="253"/>
      <c r="AO80" s="253"/>
      <c r="AP80" s="255">
        <f>500-500</f>
        <v>0</v>
      </c>
      <c r="AQ80" s="253"/>
      <c r="AR80" s="253"/>
      <c r="AS80" s="253"/>
      <c r="AT80" s="253"/>
      <c r="AU80" s="253"/>
      <c r="AV80" s="253"/>
      <c r="AW80" s="255">
        <f>500-500+60-60</f>
        <v>0</v>
      </c>
      <c r="AX80" s="253"/>
      <c r="AY80" s="253"/>
      <c r="AZ80" s="253"/>
      <c r="BA80" s="253"/>
      <c r="BB80" s="253"/>
      <c r="BC80" s="255">
        <f>500-500</f>
        <v>0</v>
      </c>
      <c r="BD80" s="253"/>
      <c r="BE80" s="253"/>
      <c r="BF80" s="253"/>
      <c r="BG80" s="253"/>
      <c r="BH80" s="253"/>
      <c r="BI80" s="253"/>
      <c r="BJ80" s="253"/>
      <c r="BK80" s="253"/>
      <c r="BL80" s="253"/>
      <c r="BM80" s="253"/>
      <c r="BN80" s="255">
        <f>400-400</f>
        <v>0</v>
      </c>
      <c r="BO80" s="253"/>
      <c r="BP80" s="255">
        <f>400-400</f>
        <v>0</v>
      </c>
      <c r="BQ80" s="255">
        <f>400-400</f>
        <v>0</v>
      </c>
      <c r="BR80" s="255">
        <f>400-400</f>
        <v>0</v>
      </c>
      <c r="BS80" s="253"/>
      <c r="BT80" s="255">
        <f>400-400</f>
        <v>0</v>
      </c>
      <c r="BU80" s="253"/>
      <c r="BV80" s="255">
        <f>400-400</f>
        <v>0</v>
      </c>
      <c r="BW80" s="253"/>
      <c r="BX80" s="253"/>
      <c r="BY80" s="253"/>
      <c r="BZ80" s="253"/>
      <c r="CA80" s="253"/>
      <c r="CB80" s="255">
        <f>400-400</f>
        <v>0</v>
      </c>
      <c r="CC80" s="253"/>
      <c r="CD80" s="255">
        <f>400-400</f>
        <v>0</v>
      </c>
      <c r="CE80" s="255">
        <f>400-400</f>
        <v>0</v>
      </c>
      <c r="CF80" s="255">
        <f>400-400</f>
        <v>0</v>
      </c>
      <c r="CG80" s="253"/>
      <c r="CH80" s="253"/>
      <c r="CI80" s="253"/>
      <c r="CJ80" s="253"/>
      <c r="CK80" s="253"/>
      <c r="CL80" s="255">
        <f>400-400</f>
        <v>0</v>
      </c>
      <c r="CM80" s="253"/>
      <c r="CN80" s="255">
        <f>400-400</f>
        <v>0</v>
      </c>
      <c r="CO80" s="253"/>
      <c r="CP80" s="253"/>
      <c r="CQ80" s="253"/>
      <c r="CR80" s="253"/>
      <c r="CS80" s="253"/>
      <c r="CT80" s="253"/>
      <c r="CU80" s="253"/>
      <c r="CV80" s="255">
        <f>400-400</f>
        <v>0</v>
      </c>
      <c r="CW80" s="255">
        <f>400-400</f>
        <v>0</v>
      </c>
      <c r="CX80" s="253"/>
      <c r="CY80" s="253"/>
      <c r="CZ80" s="253"/>
      <c r="DA80" s="253"/>
      <c r="DB80" s="253"/>
      <c r="DC80" s="253"/>
      <c r="DD80" s="255">
        <f>100-100</f>
        <v>0</v>
      </c>
      <c r="DE80" s="253"/>
      <c r="DF80" s="255">
        <f>100-100</f>
        <v>0</v>
      </c>
      <c r="DG80" s="253"/>
      <c r="DH80" s="253"/>
      <c r="DI80" s="253"/>
      <c r="DJ80" s="253"/>
      <c r="DK80" s="255">
        <f>100-100</f>
        <v>0</v>
      </c>
      <c r="DL80" s="253"/>
      <c r="DM80" s="255">
        <f>100-100</f>
        <v>0</v>
      </c>
      <c r="DN80" s="253"/>
      <c r="DO80" s="253"/>
      <c r="DP80" s="253"/>
      <c r="DQ80" s="253"/>
      <c r="DR80" s="253"/>
      <c r="DS80" s="253"/>
      <c r="DT80" s="253"/>
      <c r="DU80" s="253"/>
      <c r="DV80" s="253"/>
      <c r="DW80" s="253"/>
      <c r="DX80" s="253"/>
      <c r="DY80" s="253"/>
      <c r="DZ80" s="253"/>
      <c r="EA80" s="255">
        <f>200-200</f>
        <v>0</v>
      </c>
      <c r="EB80" s="253"/>
      <c r="EC80" s="253"/>
      <c r="ED80" s="253"/>
      <c r="EE80" s="253"/>
      <c r="EF80" s="253"/>
      <c r="EG80" s="253"/>
      <c r="EH80" s="253"/>
      <c r="EI80" s="253"/>
      <c r="EJ80" s="253"/>
      <c r="EK80" s="253"/>
      <c r="EL80" s="253"/>
      <c r="EM80" s="253"/>
      <c r="EN80" s="253"/>
      <c r="EO80" s="253"/>
      <c r="EP80" s="253"/>
      <c r="EQ80" s="253"/>
      <c r="ER80" s="253"/>
      <c r="ES80" s="253"/>
      <c r="ET80" s="253"/>
      <c r="EU80" s="253"/>
      <c r="EV80" s="253"/>
      <c r="EW80" s="253"/>
      <c r="EX80" s="253"/>
      <c r="EY80" s="255">
        <f>300-300</f>
        <v>0</v>
      </c>
      <c r="EZ80" s="255">
        <f>300-300</f>
        <v>0</v>
      </c>
      <c r="FA80" s="253"/>
      <c r="FB80" s="253"/>
      <c r="FC80" s="255">
        <f>200-200</f>
        <v>0</v>
      </c>
      <c r="FD80" s="253"/>
      <c r="FE80" s="253"/>
      <c r="FF80" s="253"/>
      <c r="FG80" s="253"/>
      <c r="FH80" s="255">
        <f>100-100</f>
        <v>0</v>
      </c>
      <c r="FI80" s="253"/>
      <c r="FJ80" s="253"/>
      <c r="FK80" s="253"/>
      <c r="FL80" s="253"/>
      <c r="FM80" s="253"/>
      <c r="FN80" s="255">
        <f>500-500</f>
        <v>0</v>
      </c>
      <c r="FO80" s="253"/>
      <c r="FP80" s="253"/>
      <c r="FQ80" s="256"/>
      <c r="FR80" s="257" t="s">
        <v>1062</v>
      </c>
      <c r="FS80" s="258" t="s">
        <v>389</v>
      </c>
      <c r="FT80" s="258"/>
      <c r="FU80" s="258" t="s">
        <v>423</v>
      </c>
      <c r="FV80" s="259">
        <f t="shared" si="3"/>
        <v>0</v>
      </c>
      <c r="FW80" s="260" t="s">
        <v>424</v>
      </c>
    </row>
    <row r="81" spans="1:179" s="260" customFormat="1">
      <c r="A81" s="251" t="s">
        <v>393</v>
      </c>
      <c r="B81" s="251" t="s">
        <v>385</v>
      </c>
      <c r="C81" s="251" t="s">
        <v>411</v>
      </c>
      <c r="D81" s="251" t="s">
        <v>293</v>
      </c>
      <c r="E81" s="252" t="s">
        <v>440</v>
      </c>
      <c r="F81" s="251" t="s">
        <v>388</v>
      </c>
      <c r="G81" s="251"/>
      <c r="H81" s="253"/>
      <c r="I81" s="253"/>
      <c r="J81" s="253"/>
      <c r="K81" s="253"/>
      <c r="L81" s="253"/>
      <c r="M81" s="253"/>
      <c r="N81" s="253"/>
      <c r="O81" s="253"/>
      <c r="P81" s="253"/>
      <c r="Q81" s="253"/>
      <c r="R81" s="253"/>
      <c r="S81" s="253"/>
      <c r="T81" s="253"/>
      <c r="U81" s="253"/>
      <c r="V81" s="253"/>
      <c r="W81" s="253"/>
      <c r="X81" s="253"/>
      <c r="Y81" s="253"/>
      <c r="Z81" s="253"/>
      <c r="AA81" s="253"/>
      <c r="AB81" s="253"/>
      <c r="AC81" s="253"/>
      <c r="AD81" s="253"/>
      <c r="AE81" s="253"/>
      <c r="AF81" s="253"/>
      <c r="AG81" s="253"/>
      <c r="AH81" s="253"/>
      <c r="AI81" s="253"/>
      <c r="AJ81" s="253"/>
      <c r="AK81" s="253"/>
      <c r="AL81" s="253"/>
      <c r="AM81" s="253"/>
      <c r="AN81" s="253"/>
      <c r="AO81" s="253"/>
      <c r="AP81" s="253"/>
      <c r="AQ81" s="253"/>
      <c r="AR81" s="253"/>
      <c r="AS81" s="253"/>
      <c r="AT81" s="253"/>
      <c r="AU81" s="253"/>
      <c r="AV81" s="253"/>
      <c r="AW81" s="253"/>
      <c r="AX81" s="253"/>
      <c r="AY81" s="253"/>
      <c r="AZ81" s="253"/>
      <c r="BA81" s="253"/>
      <c r="BB81" s="253"/>
      <c r="BC81" s="253"/>
      <c r="BD81" s="253"/>
      <c r="BE81" s="253"/>
      <c r="BF81" s="253"/>
      <c r="BG81" s="253"/>
      <c r="BH81" s="253"/>
      <c r="BI81" s="253"/>
      <c r="BJ81" s="253"/>
      <c r="BK81" s="253"/>
      <c r="BL81" s="253"/>
      <c r="BM81" s="253"/>
      <c r="BN81" s="253"/>
      <c r="BO81" s="253"/>
      <c r="BP81" s="253"/>
      <c r="BQ81" s="253"/>
      <c r="BR81" s="253"/>
      <c r="BS81" s="253"/>
      <c r="BT81" s="253"/>
      <c r="BU81" s="253"/>
      <c r="BV81" s="253"/>
      <c r="BW81" s="253"/>
      <c r="BX81" s="253"/>
      <c r="BY81" s="253"/>
      <c r="BZ81" s="253"/>
      <c r="CA81" s="253"/>
      <c r="CB81" s="253"/>
      <c r="CC81" s="253"/>
      <c r="CD81" s="253"/>
      <c r="CE81" s="253"/>
      <c r="CF81" s="253"/>
      <c r="CG81" s="253"/>
      <c r="CH81" s="253"/>
      <c r="CI81" s="253"/>
      <c r="CJ81" s="253"/>
      <c r="CK81" s="253"/>
      <c r="CL81" s="253"/>
      <c r="CM81" s="253"/>
      <c r="CN81" s="253"/>
      <c r="CO81" s="253"/>
      <c r="CP81" s="253"/>
      <c r="CQ81" s="253"/>
      <c r="CR81" s="253"/>
      <c r="CS81" s="253"/>
      <c r="CT81" s="253"/>
      <c r="CU81" s="253"/>
      <c r="CV81" s="253"/>
      <c r="CW81" s="253"/>
      <c r="CX81" s="253"/>
      <c r="CY81" s="253"/>
      <c r="CZ81" s="255">
        <f>100-100</f>
        <v>0</v>
      </c>
      <c r="DA81" s="253"/>
      <c r="DB81" s="253"/>
      <c r="DC81" s="253"/>
      <c r="DD81" s="253"/>
      <c r="DE81" s="253"/>
      <c r="DF81" s="253"/>
      <c r="DG81" s="253"/>
      <c r="DH81" s="253"/>
      <c r="DI81" s="253"/>
      <c r="DJ81" s="253"/>
      <c r="DK81" s="253"/>
      <c r="DL81" s="253"/>
      <c r="DM81" s="253"/>
      <c r="DN81" s="253"/>
      <c r="DO81" s="253"/>
      <c r="DP81" s="253"/>
      <c r="DQ81" s="253"/>
      <c r="DR81" s="253"/>
      <c r="DS81" s="253"/>
      <c r="DT81" s="253"/>
      <c r="DU81" s="253"/>
      <c r="DV81" s="253"/>
      <c r="DW81" s="253"/>
      <c r="DX81" s="253"/>
      <c r="DY81" s="253"/>
      <c r="DZ81" s="253"/>
      <c r="EA81" s="253"/>
      <c r="EB81" s="253"/>
      <c r="EC81" s="253"/>
      <c r="ED81" s="253"/>
      <c r="EE81" s="253"/>
      <c r="EF81" s="253"/>
      <c r="EG81" s="253"/>
      <c r="EH81" s="253"/>
      <c r="EI81" s="253"/>
      <c r="EJ81" s="253"/>
      <c r="EK81" s="253"/>
      <c r="EL81" s="253"/>
      <c r="EM81" s="253"/>
      <c r="EN81" s="253"/>
      <c r="EO81" s="253"/>
      <c r="EP81" s="253"/>
      <c r="EQ81" s="253"/>
      <c r="ER81" s="253"/>
      <c r="ES81" s="253"/>
      <c r="ET81" s="253"/>
      <c r="EU81" s="253"/>
      <c r="EV81" s="253"/>
      <c r="EW81" s="253"/>
      <c r="EX81" s="255">
        <f>300-300</f>
        <v>0</v>
      </c>
      <c r="EY81" s="253"/>
      <c r="EZ81" s="253"/>
      <c r="FA81" s="253"/>
      <c r="FB81" s="253"/>
      <c r="FC81" s="253"/>
      <c r="FD81" s="253"/>
      <c r="FE81" s="253"/>
      <c r="FF81" s="253"/>
      <c r="FG81" s="253"/>
      <c r="FH81" s="253"/>
      <c r="FI81" s="253"/>
      <c r="FJ81" s="253"/>
      <c r="FK81" s="253"/>
      <c r="FL81" s="253"/>
      <c r="FM81" s="253"/>
      <c r="FN81" s="253"/>
      <c r="FO81" s="253"/>
      <c r="FP81" s="253"/>
      <c r="FQ81" s="256"/>
      <c r="FR81" s="257" t="s">
        <v>1062</v>
      </c>
      <c r="FS81" s="258" t="s">
        <v>389</v>
      </c>
      <c r="FT81" s="258"/>
      <c r="FU81" s="258" t="s">
        <v>423</v>
      </c>
      <c r="FV81" s="259">
        <f t="shared" si="3"/>
        <v>0</v>
      </c>
      <c r="FW81" s="260" t="s">
        <v>424</v>
      </c>
    </row>
    <row r="82" spans="1:179" s="260" customFormat="1">
      <c r="A82" s="251" t="s">
        <v>393</v>
      </c>
      <c r="B82" s="251" t="s">
        <v>385</v>
      </c>
      <c r="C82" s="251" t="s">
        <v>411</v>
      </c>
      <c r="D82" s="251" t="s">
        <v>291</v>
      </c>
      <c r="E82" s="252" t="s">
        <v>441</v>
      </c>
      <c r="F82" s="251" t="s">
        <v>388</v>
      </c>
      <c r="G82" s="251"/>
      <c r="H82" s="253"/>
      <c r="I82" s="253"/>
      <c r="J82" s="253"/>
      <c r="K82" s="253"/>
      <c r="L82" s="253"/>
      <c r="M82" s="253"/>
      <c r="N82" s="253"/>
      <c r="O82" s="253"/>
      <c r="P82" s="253"/>
      <c r="Q82" s="253"/>
      <c r="R82" s="253"/>
      <c r="S82" s="253"/>
      <c r="T82" s="255">
        <f>100-100</f>
        <v>0</v>
      </c>
      <c r="U82" s="253"/>
      <c r="V82" s="253"/>
      <c r="W82" s="255">
        <f>20-20</f>
        <v>0</v>
      </c>
      <c r="X82" s="253"/>
      <c r="Y82" s="253"/>
      <c r="Z82" s="253"/>
      <c r="AA82" s="253"/>
      <c r="AB82" s="253"/>
      <c r="AC82" s="253"/>
      <c r="AD82" s="253"/>
      <c r="AE82" s="253"/>
      <c r="AF82" s="253"/>
      <c r="AG82" s="253"/>
      <c r="AH82" s="255">
        <f>200-200</f>
        <v>0</v>
      </c>
      <c r="AI82" s="253"/>
      <c r="AJ82" s="255">
        <f>300-300</f>
        <v>0</v>
      </c>
      <c r="AK82" s="255">
        <f>300-300</f>
        <v>0</v>
      </c>
      <c r="AL82" s="253"/>
      <c r="AM82" s="253"/>
      <c r="AN82" s="253"/>
      <c r="AO82" s="253"/>
      <c r="AP82" s="253"/>
      <c r="AQ82" s="253"/>
      <c r="AR82" s="253"/>
      <c r="AS82" s="253"/>
      <c r="AT82" s="253"/>
      <c r="AU82" s="253"/>
      <c r="AV82" s="253"/>
      <c r="AW82" s="253"/>
      <c r="AX82" s="253"/>
      <c r="AY82" s="253"/>
      <c r="AZ82" s="253"/>
      <c r="BA82" s="253"/>
      <c r="BB82" s="253"/>
      <c r="BC82" s="253"/>
      <c r="BD82" s="253"/>
      <c r="BE82" s="253"/>
      <c r="BF82" s="253"/>
      <c r="BG82" s="255">
        <f>300-300+40-40</f>
        <v>0</v>
      </c>
      <c r="BH82" s="253"/>
      <c r="BI82" s="253"/>
      <c r="BJ82" s="253"/>
      <c r="BK82" s="253"/>
      <c r="BL82" s="253"/>
      <c r="BM82" s="253"/>
      <c r="BN82" s="253"/>
      <c r="BO82" s="253"/>
      <c r="BP82" s="253"/>
      <c r="BQ82" s="253"/>
      <c r="BR82" s="253"/>
      <c r="BS82" s="253"/>
      <c r="BT82" s="253"/>
      <c r="BU82" s="253"/>
      <c r="BV82" s="253"/>
      <c r="BW82" s="253"/>
      <c r="BX82" s="253"/>
      <c r="BY82" s="253"/>
      <c r="BZ82" s="253"/>
      <c r="CA82" s="253"/>
      <c r="CB82" s="253"/>
      <c r="CC82" s="253"/>
      <c r="CD82" s="253"/>
      <c r="CE82" s="253"/>
      <c r="CF82" s="253"/>
      <c r="CG82" s="253"/>
      <c r="CH82" s="253"/>
      <c r="CI82" s="253"/>
      <c r="CJ82" s="253"/>
      <c r="CK82" s="253"/>
      <c r="CL82" s="253"/>
      <c r="CM82" s="253"/>
      <c r="CN82" s="253"/>
      <c r="CO82" s="253"/>
      <c r="CP82" s="253"/>
      <c r="CQ82" s="253"/>
      <c r="CR82" s="253"/>
      <c r="CS82" s="253"/>
      <c r="CT82" s="253"/>
      <c r="CU82" s="253"/>
      <c r="CV82" s="253"/>
      <c r="CW82" s="253"/>
      <c r="CX82" s="253"/>
      <c r="CY82" s="253"/>
      <c r="CZ82" s="253"/>
      <c r="DA82" s="253"/>
      <c r="DB82" s="253"/>
      <c r="DC82" s="253"/>
      <c r="DD82" s="253"/>
      <c r="DE82" s="253"/>
      <c r="DF82" s="253"/>
      <c r="DG82" s="253"/>
      <c r="DH82" s="253"/>
      <c r="DI82" s="253"/>
      <c r="DJ82" s="253"/>
      <c r="DK82" s="253"/>
      <c r="DL82" s="253"/>
      <c r="DM82" s="253"/>
      <c r="DN82" s="253"/>
      <c r="DO82" s="253"/>
      <c r="DP82" s="253"/>
      <c r="DQ82" s="253"/>
      <c r="DR82" s="253"/>
      <c r="DS82" s="253"/>
      <c r="DT82" s="253"/>
      <c r="DU82" s="253"/>
      <c r="DV82" s="253"/>
      <c r="DW82" s="253"/>
      <c r="DX82" s="253"/>
      <c r="DY82" s="253"/>
      <c r="DZ82" s="253"/>
      <c r="EA82" s="253"/>
      <c r="EB82" s="253"/>
      <c r="EC82" s="253"/>
      <c r="ED82" s="253"/>
      <c r="EE82" s="253"/>
      <c r="EF82" s="253"/>
      <c r="EG82" s="253"/>
      <c r="EH82" s="253"/>
      <c r="EI82" s="253"/>
      <c r="EJ82" s="253"/>
      <c r="EK82" s="253"/>
      <c r="EL82" s="253"/>
      <c r="EM82" s="253"/>
      <c r="EN82" s="253"/>
      <c r="EO82" s="253"/>
      <c r="EP82" s="253"/>
      <c r="EQ82" s="253"/>
      <c r="ER82" s="253"/>
      <c r="ES82" s="253"/>
      <c r="ET82" s="253"/>
      <c r="EU82" s="253"/>
      <c r="EV82" s="253"/>
      <c r="EW82" s="253"/>
      <c r="EX82" s="253"/>
      <c r="EY82" s="253"/>
      <c r="EZ82" s="253"/>
      <c r="FA82" s="253"/>
      <c r="FB82" s="253"/>
      <c r="FC82" s="253"/>
      <c r="FD82" s="253"/>
      <c r="FE82" s="253"/>
      <c r="FF82" s="253"/>
      <c r="FG82" s="253"/>
      <c r="FH82" s="253"/>
      <c r="FI82" s="253"/>
      <c r="FJ82" s="253"/>
      <c r="FK82" s="253"/>
      <c r="FL82" s="253"/>
      <c r="FM82" s="253"/>
      <c r="FN82" s="253"/>
      <c r="FO82" s="253"/>
      <c r="FP82" s="253"/>
      <c r="FQ82" s="256"/>
      <c r="FR82" s="257" t="s">
        <v>1062</v>
      </c>
      <c r="FS82" s="258" t="s">
        <v>389</v>
      </c>
      <c r="FT82" s="258"/>
      <c r="FU82" s="258" t="s">
        <v>423</v>
      </c>
      <c r="FV82" s="259">
        <f t="shared" si="3"/>
        <v>0</v>
      </c>
      <c r="FW82" s="260" t="s">
        <v>424</v>
      </c>
    </row>
    <row r="83" spans="1:179" s="260" customFormat="1">
      <c r="A83" s="251" t="s">
        <v>393</v>
      </c>
      <c r="B83" s="251" t="s">
        <v>385</v>
      </c>
      <c r="C83" s="251" t="s">
        <v>411</v>
      </c>
      <c r="D83" s="251" t="s">
        <v>1</v>
      </c>
      <c r="E83" s="252" t="s">
        <v>441</v>
      </c>
      <c r="F83" s="251" t="s">
        <v>388</v>
      </c>
      <c r="G83" s="251"/>
      <c r="H83" s="253"/>
      <c r="I83" s="253"/>
      <c r="J83" s="253"/>
      <c r="K83" s="253"/>
      <c r="L83" s="253"/>
      <c r="M83" s="253"/>
      <c r="N83" s="253"/>
      <c r="O83" s="253"/>
      <c r="P83" s="255">
        <f>50-50</f>
        <v>0</v>
      </c>
      <c r="Q83" s="253"/>
      <c r="R83" s="255">
        <f>50-50</f>
        <v>0</v>
      </c>
      <c r="S83" s="255">
        <f>50-50</f>
        <v>0</v>
      </c>
      <c r="T83" s="253"/>
      <c r="U83" s="253"/>
      <c r="V83" s="255">
        <f>20-20</f>
        <v>0</v>
      </c>
      <c r="W83" s="253"/>
      <c r="X83" s="255">
        <f>100-100</f>
        <v>0</v>
      </c>
      <c r="Y83" s="255">
        <f>100-100</f>
        <v>0</v>
      </c>
      <c r="Z83" s="253"/>
      <c r="AA83" s="255">
        <f>100-100</f>
        <v>0</v>
      </c>
      <c r="AB83" s="253"/>
      <c r="AC83" s="255">
        <f>100-100</f>
        <v>0</v>
      </c>
      <c r="AD83" s="255">
        <f>200-200</f>
        <v>0</v>
      </c>
      <c r="AE83" s="255">
        <f>200-200</f>
        <v>0</v>
      </c>
      <c r="AF83" s="254">
        <f>100-100+20</f>
        <v>20</v>
      </c>
      <c r="AG83" s="255">
        <f>100-100</f>
        <v>0</v>
      </c>
      <c r="AH83" s="253"/>
      <c r="AI83" s="255">
        <f>100-100</f>
        <v>0</v>
      </c>
      <c r="AJ83" s="253"/>
      <c r="AK83" s="253"/>
      <c r="AL83" s="255">
        <f>100-100</f>
        <v>0</v>
      </c>
      <c r="AM83" s="253"/>
      <c r="AN83" s="253"/>
      <c r="AO83" s="253"/>
      <c r="AP83" s="255">
        <f>100-100</f>
        <v>0</v>
      </c>
      <c r="AQ83" s="253"/>
      <c r="AR83" s="254">
        <f>100-100+20</f>
        <v>20</v>
      </c>
      <c r="AS83" s="253"/>
      <c r="AT83" s="253"/>
      <c r="AU83" s="253"/>
      <c r="AV83" s="253"/>
      <c r="AW83" s="255">
        <f>500-500+60-60</f>
        <v>0</v>
      </c>
      <c r="AX83" s="253"/>
      <c r="AY83" s="253"/>
      <c r="AZ83" s="253"/>
      <c r="BA83" s="253"/>
      <c r="BB83" s="253"/>
      <c r="BC83" s="255">
        <f>200-200</f>
        <v>0</v>
      </c>
      <c r="BD83" s="253"/>
      <c r="BE83" s="253"/>
      <c r="BF83" s="253"/>
      <c r="BG83" s="253"/>
      <c r="BH83" s="253"/>
      <c r="BI83" s="253"/>
      <c r="BJ83" s="253"/>
      <c r="BK83" s="253"/>
      <c r="BL83" s="253"/>
      <c r="BM83" s="253"/>
      <c r="BN83" s="253"/>
      <c r="BO83" s="255">
        <f>300-300</f>
        <v>0</v>
      </c>
      <c r="BP83" s="255">
        <f>300-300</f>
        <v>0</v>
      </c>
      <c r="BQ83" s="255">
        <f>300-300</f>
        <v>0</v>
      </c>
      <c r="BR83" s="255">
        <f>300-300</f>
        <v>0</v>
      </c>
      <c r="BS83" s="253"/>
      <c r="BT83" s="255">
        <f>300-300</f>
        <v>0</v>
      </c>
      <c r="BU83" s="255">
        <f>300-300</f>
        <v>0</v>
      </c>
      <c r="BV83" s="255">
        <f>300-300</f>
        <v>0</v>
      </c>
      <c r="BW83" s="253"/>
      <c r="BX83" s="255">
        <f>300-300</f>
        <v>0</v>
      </c>
      <c r="BY83" s="255">
        <f>300-300</f>
        <v>0</v>
      </c>
      <c r="BZ83" s="253"/>
      <c r="CA83" s="255">
        <f>300-300</f>
        <v>0</v>
      </c>
      <c r="CB83" s="255">
        <f>200-200</f>
        <v>0</v>
      </c>
      <c r="CC83" s="255">
        <f>200-200</f>
        <v>0</v>
      </c>
      <c r="CD83" s="255">
        <f>200-200</f>
        <v>0</v>
      </c>
      <c r="CE83" s="255">
        <f>300-300</f>
        <v>0</v>
      </c>
      <c r="CF83" s="255">
        <f>200-200</f>
        <v>0</v>
      </c>
      <c r="CG83" s="255">
        <f>100-100</f>
        <v>0</v>
      </c>
      <c r="CH83" s="253"/>
      <c r="CI83" s="253"/>
      <c r="CJ83" s="253"/>
      <c r="CK83" s="255">
        <f>50-50</f>
        <v>0</v>
      </c>
      <c r="CL83" s="255">
        <f>100-100</f>
        <v>0</v>
      </c>
      <c r="CM83" s="255">
        <f>100-100</f>
        <v>0</v>
      </c>
      <c r="CN83" s="255">
        <f>200-200</f>
        <v>0</v>
      </c>
      <c r="CO83" s="253"/>
      <c r="CP83" s="253"/>
      <c r="CQ83" s="253"/>
      <c r="CR83" s="253"/>
      <c r="CS83" s="253"/>
      <c r="CT83" s="253"/>
      <c r="CU83" s="253"/>
      <c r="CV83" s="253"/>
      <c r="CW83" s="255">
        <f>100-100</f>
        <v>0</v>
      </c>
      <c r="CX83" s="253"/>
      <c r="CY83" s="253"/>
      <c r="CZ83" s="253"/>
      <c r="DA83" s="253"/>
      <c r="DB83" s="253"/>
      <c r="DC83" s="253"/>
      <c r="DD83" s="255">
        <f>20-20</f>
        <v>0</v>
      </c>
      <c r="DE83" s="255">
        <f>20-20</f>
        <v>0</v>
      </c>
      <c r="DF83" s="255">
        <f>20-20</f>
        <v>0</v>
      </c>
      <c r="DG83" s="253"/>
      <c r="DH83" s="253"/>
      <c r="DI83" s="253"/>
      <c r="DJ83" s="253"/>
      <c r="DK83" s="253"/>
      <c r="DL83" s="253"/>
      <c r="DM83" s="255">
        <f>10-10</f>
        <v>0</v>
      </c>
      <c r="DN83" s="253"/>
      <c r="DO83" s="253"/>
      <c r="DP83" s="253"/>
      <c r="DQ83" s="253"/>
      <c r="DR83" s="253"/>
      <c r="DS83" s="253"/>
      <c r="DT83" s="253"/>
      <c r="DU83" s="253"/>
      <c r="DV83" s="253"/>
      <c r="DW83" s="253"/>
      <c r="DX83" s="253"/>
      <c r="DY83" s="253"/>
      <c r="DZ83" s="253"/>
      <c r="EA83" s="253"/>
      <c r="EB83" s="253"/>
      <c r="EC83" s="253"/>
      <c r="ED83" s="253"/>
      <c r="EE83" s="255">
        <f>50-50</f>
        <v>0</v>
      </c>
      <c r="EF83" s="255">
        <f>50-50</f>
        <v>0</v>
      </c>
      <c r="EG83" s="253"/>
      <c r="EH83" s="253"/>
      <c r="EI83" s="255">
        <f>100-100</f>
        <v>0</v>
      </c>
      <c r="EJ83" s="255">
        <f>50-50</f>
        <v>0</v>
      </c>
      <c r="EK83" s="253"/>
      <c r="EL83" s="253"/>
      <c r="EM83" s="253"/>
      <c r="EN83" s="255">
        <f>50-50</f>
        <v>0</v>
      </c>
      <c r="EO83" s="255">
        <f>50-50</f>
        <v>0</v>
      </c>
      <c r="EP83" s="255">
        <f>50-50</f>
        <v>0</v>
      </c>
      <c r="EQ83" s="255">
        <f>50-50</f>
        <v>0</v>
      </c>
      <c r="ER83" s="255">
        <f>50-50</f>
        <v>0</v>
      </c>
      <c r="ES83" s="253"/>
      <c r="ET83" s="253"/>
      <c r="EU83" s="253"/>
      <c r="EV83" s="253"/>
      <c r="EW83" s="253"/>
      <c r="EX83" s="253"/>
      <c r="EY83" s="253"/>
      <c r="EZ83" s="255">
        <f>50-50</f>
        <v>0</v>
      </c>
      <c r="FA83" s="255">
        <f>30-30</f>
        <v>0</v>
      </c>
      <c r="FB83" s="253"/>
      <c r="FC83" s="255">
        <f>30-30</f>
        <v>0</v>
      </c>
      <c r="FD83" s="255">
        <f>30-30</f>
        <v>0</v>
      </c>
      <c r="FE83" s="255">
        <f>30-30</f>
        <v>0</v>
      </c>
      <c r="FF83" s="253"/>
      <c r="FG83" s="255">
        <f>30-30</f>
        <v>0</v>
      </c>
      <c r="FH83" s="255">
        <f>20-20</f>
        <v>0</v>
      </c>
      <c r="FI83" s="253"/>
      <c r="FJ83" s="253"/>
      <c r="FK83" s="255">
        <f>20-20</f>
        <v>0</v>
      </c>
      <c r="FL83" s="253"/>
      <c r="FM83" s="253"/>
      <c r="FN83" s="253"/>
      <c r="FO83" s="253"/>
      <c r="FP83" s="253"/>
      <c r="FQ83" s="256"/>
      <c r="FR83" s="257" t="s">
        <v>1062</v>
      </c>
      <c r="FS83" s="258" t="s">
        <v>389</v>
      </c>
      <c r="FT83" s="258"/>
      <c r="FU83" s="258" t="s">
        <v>423</v>
      </c>
      <c r="FV83" s="259">
        <f t="shared" si="3"/>
        <v>40</v>
      </c>
      <c r="FW83" s="260" t="s">
        <v>424</v>
      </c>
    </row>
    <row r="84" spans="1:179" s="260" customFormat="1">
      <c r="A84" s="251" t="s">
        <v>393</v>
      </c>
      <c r="B84" s="251" t="s">
        <v>385</v>
      </c>
      <c r="C84" s="251" t="s">
        <v>411</v>
      </c>
      <c r="D84" s="251" t="s">
        <v>293</v>
      </c>
      <c r="E84" s="252" t="s">
        <v>441</v>
      </c>
      <c r="F84" s="251" t="s">
        <v>388</v>
      </c>
      <c r="G84" s="251"/>
      <c r="H84" s="253"/>
      <c r="I84" s="253"/>
      <c r="J84" s="253"/>
      <c r="K84" s="253"/>
      <c r="L84" s="253"/>
      <c r="M84" s="253"/>
      <c r="N84" s="253"/>
      <c r="O84" s="253"/>
      <c r="P84" s="253"/>
      <c r="Q84" s="253"/>
      <c r="R84" s="253"/>
      <c r="S84" s="253"/>
      <c r="T84" s="253"/>
      <c r="U84" s="253"/>
      <c r="V84" s="253"/>
      <c r="W84" s="253"/>
      <c r="X84" s="253"/>
      <c r="Y84" s="253"/>
      <c r="Z84" s="253"/>
      <c r="AA84" s="253"/>
      <c r="AB84" s="253"/>
      <c r="AC84" s="253"/>
      <c r="AD84" s="253"/>
      <c r="AE84" s="253"/>
      <c r="AF84" s="253"/>
      <c r="AG84" s="253"/>
      <c r="AH84" s="253"/>
      <c r="AI84" s="253"/>
      <c r="AJ84" s="253"/>
      <c r="AK84" s="253"/>
      <c r="AL84" s="253"/>
      <c r="AM84" s="253"/>
      <c r="AN84" s="253"/>
      <c r="AO84" s="253"/>
      <c r="AP84" s="253"/>
      <c r="AQ84" s="253"/>
      <c r="AR84" s="253"/>
      <c r="AS84" s="253"/>
      <c r="AT84" s="253"/>
      <c r="AU84" s="253"/>
      <c r="AV84" s="253"/>
      <c r="AW84" s="253"/>
      <c r="AX84" s="253"/>
      <c r="AY84" s="253"/>
      <c r="AZ84" s="253"/>
      <c r="BA84" s="253"/>
      <c r="BB84" s="253"/>
      <c r="BC84" s="253"/>
      <c r="BD84" s="253"/>
      <c r="BE84" s="253"/>
      <c r="BF84" s="253"/>
      <c r="BG84" s="253"/>
      <c r="BH84" s="253"/>
      <c r="BI84" s="253"/>
      <c r="BJ84" s="253"/>
      <c r="BK84" s="253"/>
      <c r="BL84" s="253"/>
      <c r="BM84" s="253"/>
      <c r="BN84" s="253"/>
      <c r="BO84" s="253"/>
      <c r="BP84" s="253"/>
      <c r="BQ84" s="253"/>
      <c r="BR84" s="253"/>
      <c r="BS84" s="253"/>
      <c r="BT84" s="253"/>
      <c r="BU84" s="253"/>
      <c r="BV84" s="253"/>
      <c r="BW84" s="253"/>
      <c r="BX84" s="253"/>
      <c r="BY84" s="253"/>
      <c r="BZ84" s="253"/>
      <c r="CA84" s="253"/>
      <c r="CB84" s="253"/>
      <c r="CC84" s="253"/>
      <c r="CD84" s="253"/>
      <c r="CE84" s="253"/>
      <c r="CF84" s="253"/>
      <c r="CG84" s="253"/>
      <c r="CH84" s="253"/>
      <c r="CI84" s="253"/>
      <c r="CJ84" s="253"/>
      <c r="CK84" s="253"/>
      <c r="CL84" s="253"/>
      <c r="CM84" s="253"/>
      <c r="CN84" s="253"/>
      <c r="CO84" s="253"/>
      <c r="CP84" s="253"/>
      <c r="CQ84" s="253"/>
      <c r="CR84" s="253"/>
      <c r="CS84" s="253"/>
      <c r="CT84" s="253"/>
      <c r="CU84" s="253"/>
      <c r="CV84" s="253"/>
      <c r="CW84" s="253"/>
      <c r="CX84" s="253"/>
      <c r="CY84" s="253"/>
      <c r="CZ84" s="255">
        <f>50-50</f>
        <v>0</v>
      </c>
      <c r="DA84" s="253"/>
      <c r="DB84" s="253"/>
      <c r="DC84" s="253"/>
      <c r="DD84" s="253"/>
      <c r="DE84" s="253"/>
      <c r="DF84" s="253"/>
      <c r="DG84" s="253"/>
      <c r="DH84" s="253"/>
      <c r="DI84" s="253"/>
      <c r="DJ84" s="253"/>
      <c r="DK84" s="253"/>
      <c r="DL84" s="253"/>
      <c r="DM84" s="253"/>
      <c r="DN84" s="253"/>
      <c r="DO84" s="253"/>
      <c r="DP84" s="253"/>
      <c r="DQ84" s="253"/>
      <c r="DR84" s="253"/>
      <c r="DS84" s="253"/>
      <c r="DT84" s="253"/>
      <c r="DU84" s="253"/>
      <c r="DV84" s="253"/>
      <c r="DW84" s="253"/>
      <c r="DX84" s="253"/>
      <c r="DY84" s="253"/>
      <c r="DZ84" s="253"/>
      <c r="EA84" s="253"/>
      <c r="EB84" s="253"/>
      <c r="EC84" s="253"/>
      <c r="ED84" s="253"/>
      <c r="EE84" s="253"/>
      <c r="EF84" s="253"/>
      <c r="EG84" s="253"/>
      <c r="EH84" s="253"/>
      <c r="EI84" s="253"/>
      <c r="EJ84" s="253"/>
      <c r="EK84" s="253"/>
      <c r="EL84" s="253"/>
      <c r="EM84" s="253"/>
      <c r="EN84" s="253"/>
      <c r="EO84" s="253"/>
      <c r="EP84" s="253"/>
      <c r="EQ84" s="253"/>
      <c r="ER84" s="253"/>
      <c r="ES84" s="253"/>
      <c r="ET84" s="253"/>
      <c r="EU84" s="253"/>
      <c r="EV84" s="253"/>
      <c r="EW84" s="253"/>
      <c r="EX84" s="253"/>
      <c r="EY84" s="253"/>
      <c r="EZ84" s="253"/>
      <c r="FA84" s="253"/>
      <c r="FB84" s="255">
        <f>30-30</f>
        <v>0</v>
      </c>
      <c r="FC84" s="253"/>
      <c r="FD84" s="253"/>
      <c r="FE84" s="253"/>
      <c r="FF84" s="255">
        <f>30-30</f>
        <v>0</v>
      </c>
      <c r="FG84" s="253"/>
      <c r="FH84" s="253"/>
      <c r="FI84" s="253"/>
      <c r="FJ84" s="255">
        <f>20-20</f>
        <v>0</v>
      </c>
      <c r="FK84" s="253"/>
      <c r="FL84" s="253"/>
      <c r="FM84" s="253"/>
      <c r="FN84" s="253"/>
      <c r="FO84" s="253"/>
      <c r="FP84" s="253"/>
      <c r="FQ84" s="256"/>
      <c r="FR84" s="257" t="s">
        <v>1062</v>
      </c>
      <c r="FS84" s="258" t="s">
        <v>389</v>
      </c>
      <c r="FT84" s="258"/>
      <c r="FU84" s="258" t="s">
        <v>423</v>
      </c>
      <c r="FV84" s="259">
        <f t="shared" si="3"/>
        <v>0</v>
      </c>
      <c r="FW84" s="260" t="s">
        <v>424</v>
      </c>
    </row>
    <row r="85" spans="1:179" s="260" customFormat="1">
      <c r="A85" s="251" t="s">
        <v>417</v>
      </c>
      <c r="B85" s="251" t="s">
        <v>385</v>
      </c>
      <c r="C85" s="251" t="s">
        <v>411</v>
      </c>
      <c r="D85" s="251" t="s">
        <v>291</v>
      </c>
      <c r="E85" s="252" t="s">
        <v>856</v>
      </c>
      <c r="F85" s="251" t="s">
        <v>388</v>
      </c>
      <c r="G85" s="251" t="s">
        <v>1085</v>
      </c>
      <c r="H85" s="253"/>
      <c r="I85" s="253"/>
      <c r="J85" s="253"/>
      <c r="K85" s="253"/>
      <c r="L85" s="253"/>
      <c r="M85" s="253"/>
      <c r="N85" s="253"/>
      <c r="O85" s="253"/>
      <c r="P85" s="253"/>
      <c r="Q85" s="253"/>
      <c r="R85" s="253"/>
      <c r="S85" s="253"/>
      <c r="T85" s="253"/>
      <c r="U85" s="253"/>
      <c r="V85" s="253"/>
      <c r="W85" s="253"/>
      <c r="X85" s="253"/>
      <c r="Y85" s="253"/>
      <c r="Z85" s="253"/>
      <c r="AA85" s="253"/>
      <c r="AB85" s="253"/>
      <c r="AC85" s="253"/>
      <c r="AD85" s="253"/>
      <c r="AE85" s="253"/>
      <c r="AF85" s="253"/>
      <c r="AG85" s="253"/>
      <c r="AH85" s="255">
        <f>100-100</f>
        <v>0</v>
      </c>
      <c r="AI85" s="253"/>
      <c r="AJ85" s="255">
        <f>100-100</f>
        <v>0</v>
      </c>
      <c r="AK85" s="255">
        <f>100-100</f>
        <v>0</v>
      </c>
      <c r="AL85" s="253"/>
      <c r="AM85" s="253"/>
      <c r="AN85" s="253"/>
      <c r="AO85" s="253"/>
      <c r="AP85" s="253"/>
      <c r="AQ85" s="253"/>
      <c r="AR85" s="253"/>
      <c r="AS85" s="253"/>
      <c r="AT85" s="253"/>
      <c r="AU85" s="253"/>
      <c r="AV85" s="253"/>
      <c r="AW85" s="253"/>
      <c r="AX85" s="253"/>
      <c r="AY85" s="253"/>
      <c r="AZ85" s="253"/>
      <c r="BA85" s="253"/>
      <c r="BB85" s="253"/>
      <c r="BC85" s="253"/>
      <c r="BD85" s="253"/>
      <c r="BE85" s="253"/>
      <c r="BF85" s="253"/>
      <c r="BG85" s="253"/>
      <c r="BH85" s="253"/>
      <c r="BI85" s="253"/>
      <c r="BJ85" s="253"/>
      <c r="BK85" s="253"/>
      <c r="BL85" s="253"/>
      <c r="BM85" s="253"/>
      <c r="BN85" s="253"/>
      <c r="BO85" s="253"/>
      <c r="BP85" s="253"/>
      <c r="BQ85" s="253"/>
      <c r="BR85" s="253"/>
      <c r="BS85" s="253"/>
      <c r="BT85" s="253"/>
      <c r="BU85" s="253"/>
      <c r="BV85" s="253"/>
      <c r="BW85" s="253"/>
      <c r="BX85" s="253"/>
      <c r="BY85" s="253"/>
      <c r="BZ85" s="253"/>
      <c r="CA85" s="253"/>
      <c r="CB85" s="253"/>
      <c r="CC85" s="253"/>
      <c r="CD85" s="253"/>
      <c r="CE85" s="253"/>
      <c r="CF85" s="253"/>
      <c r="CG85" s="253"/>
      <c r="CH85" s="253"/>
      <c r="CI85" s="253"/>
      <c r="CJ85" s="253"/>
      <c r="CK85" s="253"/>
      <c r="CL85" s="253"/>
      <c r="CM85" s="253"/>
      <c r="CN85" s="253"/>
      <c r="CO85" s="253"/>
      <c r="CP85" s="253"/>
      <c r="CQ85" s="253"/>
      <c r="CR85" s="253"/>
      <c r="CS85" s="253"/>
      <c r="CT85" s="253"/>
      <c r="CU85" s="253"/>
      <c r="CV85" s="253"/>
      <c r="CW85" s="253"/>
      <c r="CX85" s="253"/>
      <c r="CY85" s="253"/>
      <c r="CZ85" s="253"/>
      <c r="DA85" s="253"/>
      <c r="DB85" s="253"/>
      <c r="DC85" s="253"/>
      <c r="DD85" s="253"/>
      <c r="DE85" s="253"/>
      <c r="DF85" s="253"/>
      <c r="DG85" s="253"/>
      <c r="DH85" s="253"/>
      <c r="DI85" s="253"/>
      <c r="DJ85" s="253"/>
      <c r="DK85" s="253"/>
      <c r="DL85" s="253"/>
      <c r="DM85" s="253"/>
      <c r="DN85" s="253"/>
      <c r="DO85" s="253"/>
      <c r="DP85" s="253"/>
      <c r="DQ85" s="253"/>
      <c r="DR85" s="253"/>
      <c r="DS85" s="253"/>
      <c r="DT85" s="253"/>
      <c r="DU85" s="253"/>
      <c r="DV85" s="253"/>
      <c r="DW85" s="253"/>
      <c r="DX85" s="253"/>
      <c r="DY85" s="253"/>
      <c r="DZ85" s="253"/>
      <c r="EA85" s="253"/>
      <c r="EB85" s="253"/>
      <c r="EC85" s="253"/>
      <c r="ED85" s="253"/>
      <c r="EE85" s="253"/>
      <c r="EF85" s="253"/>
      <c r="EG85" s="253"/>
      <c r="EH85" s="253"/>
      <c r="EI85" s="253"/>
      <c r="EJ85" s="253"/>
      <c r="EK85" s="253"/>
      <c r="EL85" s="253"/>
      <c r="EM85" s="253"/>
      <c r="EN85" s="253"/>
      <c r="EO85" s="253"/>
      <c r="EP85" s="253"/>
      <c r="EQ85" s="253"/>
      <c r="ER85" s="253"/>
      <c r="ES85" s="253"/>
      <c r="ET85" s="253"/>
      <c r="EU85" s="253"/>
      <c r="EV85" s="253"/>
      <c r="EW85" s="253"/>
      <c r="EX85" s="253"/>
      <c r="EY85" s="253"/>
      <c r="EZ85" s="253"/>
      <c r="FA85" s="253"/>
      <c r="FB85" s="253"/>
      <c r="FC85" s="253"/>
      <c r="FD85" s="253"/>
      <c r="FE85" s="253"/>
      <c r="FF85" s="253"/>
      <c r="FG85" s="253"/>
      <c r="FH85" s="253"/>
      <c r="FI85" s="253"/>
      <c r="FJ85" s="253"/>
      <c r="FK85" s="253"/>
      <c r="FL85" s="253"/>
      <c r="FM85" s="253"/>
      <c r="FN85" s="253"/>
      <c r="FO85" s="253"/>
      <c r="FP85" s="253"/>
      <c r="FQ85" s="256"/>
      <c r="FR85" s="257" t="s">
        <v>1062</v>
      </c>
      <c r="FS85" s="258" t="s">
        <v>389</v>
      </c>
      <c r="FT85" s="258" t="s">
        <v>858</v>
      </c>
      <c r="FU85" s="258" t="s">
        <v>420</v>
      </c>
      <c r="FV85" s="259">
        <f t="shared" si="3"/>
        <v>0</v>
      </c>
      <c r="FW85" s="260" t="s">
        <v>433</v>
      </c>
    </row>
    <row r="86" spans="1:179" s="260" customFormat="1">
      <c r="A86" s="251" t="s">
        <v>417</v>
      </c>
      <c r="B86" s="251" t="s">
        <v>385</v>
      </c>
      <c r="C86" s="251" t="s">
        <v>411</v>
      </c>
      <c r="D86" s="251" t="s">
        <v>1</v>
      </c>
      <c r="E86" s="252" t="s">
        <v>856</v>
      </c>
      <c r="F86" s="251" t="s">
        <v>388</v>
      </c>
      <c r="G86" s="251" t="s">
        <v>1085</v>
      </c>
      <c r="H86" s="253"/>
      <c r="I86" s="253"/>
      <c r="J86" s="253"/>
      <c r="K86" s="253"/>
      <c r="L86" s="253"/>
      <c r="M86" s="253"/>
      <c r="N86" s="253"/>
      <c r="O86" s="253"/>
      <c r="P86" s="253"/>
      <c r="Q86" s="253"/>
      <c r="R86" s="253"/>
      <c r="S86" s="253"/>
      <c r="T86" s="253"/>
      <c r="U86" s="253"/>
      <c r="V86" s="253"/>
      <c r="W86" s="253"/>
      <c r="X86" s="253"/>
      <c r="Y86" s="253"/>
      <c r="Z86" s="253"/>
      <c r="AA86" s="253"/>
      <c r="AB86" s="253"/>
      <c r="AC86" s="253"/>
      <c r="AD86" s="253"/>
      <c r="AE86" s="255">
        <f>50-50</f>
        <v>0</v>
      </c>
      <c r="AF86" s="255">
        <f>50-50</f>
        <v>0</v>
      </c>
      <c r="AG86" s="253"/>
      <c r="AH86" s="253"/>
      <c r="AI86" s="253"/>
      <c r="AJ86" s="253"/>
      <c r="AK86" s="253"/>
      <c r="AL86" s="253"/>
      <c r="AM86" s="253"/>
      <c r="AN86" s="253"/>
      <c r="AO86" s="253"/>
      <c r="AP86" s="253"/>
      <c r="AQ86" s="253"/>
      <c r="AR86" s="253"/>
      <c r="AS86" s="253"/>
      <c r="AT86" s="253"/>
      <c r="AU86" s="253"/>
      <c r="AV86" s="253"/>
      <c r="AW86" s="255">
        <f>50-50+40-40</f>
        <v>0</v>
      </c>
      <c r="AX86" s="253"/>
      <c r="AY86" s="253"/>
      <c r="AZ86" s="253"/>
      <c r="BA86" s="253"/>
      <c r="BB86" s="253"/>
      <c r="BC86" s="253"/>
      <c r="BD86" s="253"/>
      <c r="BE86" s="253"/>
      <c r="BF86" s="253"/>
      <c r="BG86" s="253"/>
      <c r="BH86" s="253"/>
      <c r="BI86" s="253"/>
      <c r="BJ86" s="253"/>
      <c r="BK86" s="253"/>
      <c r="BL86" s="253"/>
      <c r="BM86" s="253"/>
      <c r="BN86" s="253"/>
      <c r="BO86" s="253"/>
      <c r="BP86" s="253"/>
      <c r="BQ86" s="253"/>
      <c r="BR86" s="253"/>
      <c r="BS86" s="253"/>
      <c r="BT86" s="253"/>
      <c r="BU86" s="253"/>
      <c r="BV86" s="253"/>
      <c r="BW86" s="253"/>
      <c r="BX86" s="253"/>
      <c r="BY86" s="253"/>
      <c r="BZ86" s="253"/>
      <c r="CA86" s="253"/>
      <c r="CB86" s="253"/>
      <c r="CC86" s="253"/>
      <c r="CD86" s="253"/>
      <c r="CE86" s="253"/>
      <c r="CF86" s="253"/>
      <c r="CG86" s="253"/>
      <c r="CH86" s="253"/>
      <c r="CI86" s="253"/>
      <c r="CJ86" s="253"/>
      <c r="CK86" s="253"/>
      <c r="CL86" s="253"/>
      <c r="CM86" s="253"/>
      <c r="CN86" s="253"/>
      <c r="CO86" s="253"/>
      <c r="CP86" s="253"/>
      <c r="CQ86" s="253"/>
      <c r="CR86" s="253"/>
      <c r="CS86" s="253"/>
      <c r="CT86" s="253"/>
      <c r="CU86" s="253"/>
      <c r="CV86" s="253"/>
      <c r="CW86" s="253"/>
      <c r="CX86" s="253"/>
      <c r="CY86" s="253"/>
      <c r="CZ86" s="253"/>
      <c r="DA86" s="253"/>
      <c r="DB86" s="253"/>
      <c r="DC86" s="253"/>
      <c r="DD86" s="253"/>
      <c r="DE86" s="253"/>
      <c r="DF86" s="253"/>
      <c r="DG86" s="253"/>
      <c r="DH86" s="253"/>
      <c r="DI86" s="253"/>
      <c r="DJ86" s="253"/>
      <c r="DK86" s="253"/>
      <c r="DL86" s="253"/>
      <c r="DM86" s="253"/>
      <c r="DN86" s="253"/>
      <c r="DO86" s="253"/>
      <c r="DP86" s="253"/>
      <c r="DQ86" s="253"/>
      <c r="DR86" s="253"/>
      <c r="DS86" s="253"/>
      <c r="DT86" s="253"/>
      <c r="DU86" s="253"/>
      <c r="DV86" s="253"/>
      <c r="DW86" s="253"/>
      <c r="DX86" s="253"/>
      <c r="DY86" s="253"/>
      <c r="DZ86" s="253"/>
      <c r="EA86" s="253"/>
      <c r="EB86" s="253"/>
      <c r="EC86" s="253"/>
      <c r="ED86" s="253"/>
      <c r="EE86" s="253"/>
      <c r="EF86" s="253"/>
      <c r="EG86" s="253"/>
      <c r="EH86" s="253"/>
      <c r="EI86" s="253"/>
      <c r="EJ86" s="253"/>
      <c r="EK86" s="253"/>
      <c r="EL86" s="253"/>
      <c r="EM86" s="253"/>
      <c r="EN86" s="253"/>
      <c r="EO86" s="253"/>
      <c r="EP86" s="253"/>
      <c r="EQ86" s="253"/>
      <c r="ER86" s="253"/>
      <c r="ES86" s="253"/>
      <c r="ET86" s="253"/>
      <c r="EU86" s="253"/>
      <c r="EV86" s="253"/>
      <c r="EW86" s="253"/>
      <c r="EX86" s="253"/>
      <c r="EY86" s="253"/>
      <c r="EZ86" s="253"/>
      <c r="FA86" s="253"/>
      <c r="FB86" s="253"/>
      <c r="FC86" s="253"/>
      <c r="FD86" s="253"/>
      <c r="FE86" s="253"/>
      <c r="FF86" s="253"/>
      <c r="FG86" s="253"/>
      <c r="FH86" s="253"/>
      <c r="FI86" s="253"/>
      <c r="FJ86" s="253"/>
      <c r="FK86" s="253"/>
      <c r="FL86" s="253"/>
      <c r="FM86" s="253"/>
      <c r="FN86" s="253"/>
      <c r="FO86" s="253"/>
      <c r="FP86" s="253"/>
      <c r="FQ86" s="256"/>
      <c r="FR86" s="257" t="s">
        <v>1062</v>
      </c>
      <c r="FS86" s="258" t="s">
        <v>389</v>
      </c>
      <c r="FT86" s="258" t="s">
        <v>858</v>
      </c>
      <c r="FU86" s="258" t="s">
        <v>420</v>
      </c>
      <c r="FV86" s="259">
        <f t="shared" si="3"/>
        <v>0</v>
      </c>
      <c r="FW86" s="260" t="s">
        <v>433</v>
      </c>
    </row>
    <row r="87" spans="1:179" s="260" customFormat="1">
      <c r="A87" s="251" t="s">
        <v>393</v>
      </c>
      <c r="B87" s="251" t="s">
        <v>385</v>
      </c>
      <c r="C87" s="251" t="s">
        <v>411</v>
      </c>
      <c r="D87" s="251" t="s">
        <v>291</v>
      </c>
      <c r="E87" s="252" t="s">
        <v>918</v>
      </c>
      <c r="F87" s="251" t="s">
        <v>388</v>
      </c>
      <c r="G87" s="251" t="s">
        <v>1086</v>
      </c>
      <c r="H87" s="253"/>
      <c r="I87" s="253"/>
      <c r="J87" s="253"/>
      <c r="K87" s="253"/>
      <c r="L87" s="253"/>
      <c r="M87" s="253"/>
      <c r="N87" s="253"/>
      <c r="O87" s="253"/>
      <c r="P87" s="253"/>
      <c r="Q87" s="253"/>
      <c r="R87" s="253"/>
      <c r="S87" s="253"/>
      <c r="T87" s="253"/>
      <c r="U87" s="253"/>
      <c r="V87" s="253"/>
      <c r="W87" s="253"/>
      <c r="X87" s="253"/>
      <c r="Y87" s="253"/>
      <c r="Z87" s="253"/>
      <c r="AA87" s="253"/>
      <c r="AB87" s="253"/>
      <c r="AC87" s="253"/>
      <c r="AD87" s="253"/>
      <c r="AE87" s="253"/>
      <c r="AF87" s="253"/>
      <c r="AG87" s="253"/>
      <c r="AH87" s="253"/>
      <c r="AI87" s="253"/>
      <c r="AJ87" s="253"/>
      <c r="AK87" s="253"/>
      <c r="AL87" s="253"/>
      <c r="AM87" s="253"/>
      <c r="AN87" s="253"/>
      <c r="AO87" s="253"/>
      <c r="AP87" s="253"/>
      <c r="AQ87" s="253"/>
      <c r="AR87" s="253"/>
      <c r="AS87" s="255">
        <f>500-500</f>
        <v>0</v>
      </c>
      <c r="AT87" s="255">
        <f>500-500</f>
        <v>0</v>
      </c>
      <c r="AU87" s="253"/>
      <c r="AV87" s="253"/>
      <c r="AW87" s="253"/>
      <c r="AX87" s="253"/>
      <c r="AY87" s="253"/>
      <c r="AZ87" s="253"/>
      <c r="BA87" s="253"/>
      <c r="BB87" s="253"/>
      <c r="BC87" s="253"/>
      <c r="BD87" s="253"/>
      <c r="BE87" s="253"/>
      <c r="BF87" s="253"/>
      <c r="BG87" s="255">
        <f>200-200+40-40</f>
        <v>0</v>
      </c>
      <c r="BH87" s="253"/>
      <c r="BI87" s="253"/>
      <c r="BJ87" s="253"/>
      <c r="BK87" s="253"/>
      <c r="BL87" s="253"/>
      <c r="BM87" s="253"/>
      <c r="BN87" s="253"/>
      <c r="BO87" s="253"/>
      <c r="BP87" s="253"/>
      <c r="BQ87" s="253"/>
      <c r="BR87" s="253"/>
      <c r="BS87" s="253"/>
      <c r="BT87" s="253"/>
      <c r="BU87" s="253"/>
      <c r="BV87" s="253"/>
      <c r="BW87" s="253"/>
      <c r="BX87" s="253"/>
      <c r="BY87" s="253"/>
      <c r="BZ87" s="253"/>
      <c r="CA87" s="253"/>
      <c r="CB87" s="253"/>
      <c r="CC87" s="253"/>
      <c r="CD87" s="253"/>
      <c r="CE87" s="253"/>
      <c r="CF87" s="253"/>
      <c r="CG87" s="253"/>
      <c r="CH87" s="253"/>
      <c r="CI87" s="253"/>
      <c r="CJ87" s="253"/>
      <c r="CK87" s="253"/>
      <c r="CL87" s="253"/>
      <c r="CM87" s="253"/>
      <c r="CN87" s="253"/>
      <c r="CO87" s="253"/>
      <c r="CP87" s="253"/>
      <c r="CQ87" s="253"/>
      <c r="CR87" s="253"/>
      <c r="CS87" s="253"/>
      <c r="CT87" s="253"/>
      <c r="CU87" s="253"/>
      <c r="CV87" s="253"/>
      <c r="CW87" s="253"/>
      <c r="CX87" s="253"/>
      <c r="CY87" s="253"/>
      <c r="CZ87" s="253"/>
      <c r="DA87" s="253"/>
      <c r="DB87" s="253"/>
      <c r="DC87" s="253"/>
      <c r="DD87" s="253"/>
      <c r="DE87" s="253"/>
      <c r="DF87" s="253"/>
      <c r="DG87" s="253"/>
      <c r="DH87" s="253"/>
      <c r="DI87" s="253"/>
      <c r="DJ87" s="253"/>
      <c r="DK87" s="253"/>
      <c r="DL87" s="253"/>
      <c r="DM87" s="253"/>
      <c r="DN87" s="253"/>
      <c r="DO87" s="253"/>
      <c r="DP87" s="253"/>
      <c r="DQ87" s="253"/>
      <c r="DR87" s="253"/>
      <c r="DS87" s="253"/>
      <c r="DT87" s="253"/>
      <c r="DU87" s="253"/>
      <c r="DV87" s="253"/>
      <c r="DW87" s="253"/>
      <c r="DX87" s="253"/>
      <c r="DY87" s="253"/>
      <c r="DZ87" s="253"/>
      <c r="EA87" s="253"/>
      <c r="EB87" s="253"/>
      <c r="EC87" s="253"/>
      <c r="ED87" s="253"/>
      <c r="EE87" s="253"/>
      <c r="EF87" s="253"/>
      <c r="EG87" s="253"/>
      <c r="EH87" s="253"/>
      <c r="EI87" s="253"/>
      <c r="EJ87" s="253"/>
      <c r="EK87" s="253"/>
      <c r="EL87" s="253"/>
      <c r="EM87" s="253"/>
      <c r="EN87" s="253"/>
      <c r="EO87" s="253"/>
      <c r="EP87" s="253"/>
      <c r="EQ87" s="253"/>
      <c r="ER87" s="253"/>
      <c r="ES87" s="253"/>
      <c r="ET87" s="253"/>
      <c r="EU87" s="253"/>
      <c r="EV87" s="253"/>
      <c r="EW87" s="253"/>
      <c r="EX87" s="253"/>
      <c r="EY87" s="253"/>
      <c r="EZ87" s="253"/>
      <c r="FA87" s="253"/>
      <c r="FB87" s="253"/>
      <c r="FC87" s="253"/>
      <c r="FD87" s="253"/>
      <c r="FE87" s="253"/>
      <c r="FF87" s="253"/>
      <c r="FG87" s="253"/>
      <c r="FH87" s="253"/>
      <c r="FI87" s="253"/>
      <c r="FJ87" s="253"/>
      <c r="FK87" s="253"/>
      <c r="FL87" s="253"/>
      <c r="FM87" s="253"/>
      <c r="FN87" s="253"/>
      <c r="FO87" s="253"/>
      <c r="FP87" s="253"/>
      <c r="FQ87" s="256"/>
      <c r="FR87" s="257" t="s">
        <v>1062</v>
      </c>
      <c r="FS87" s="258" t="s">
        <v>389</v>
      </c>
      <c r="FT87" s="258" t="s">
        <v>1087</v>
      </c>
      <c r="FU87" s="258" t="s">
        <v>445</v>
      </c>
      <c r="FV87" s="259">
        <f t="shared" si="3"/>
        <v>0</v>
      </c>
      <c r="FW87" s="260" t="s">
        <v>433</v>
      </c>
    </row>
    <row r="88" spans="1:179" s="260" customFormat="1">
      <c r="A88" s="251" t="s">
        <v>393</v>
      </c>
      <c r="B88" s="251" t="s">
        <v>385</v>
      </c>
      <c r="C88" s="251" t="s">
        <v>411</v>
      </c>
      <c r="D88" s="251" t="s">
        <v>1</v>
      </c>
      <c r="E88" s="252" t="s">
        <v>918</v>
      </c>
      <c r="F88" s="251" t="s">
        <v>388</v>
      </c>
      <c r="G88" s="251" t="s">
        <v>1086</v>
      </c>
      <c r="H88" s="253"/>
      <c r="I88" s="253"/>
      <c r="J88" s="253"/>
      <c r="K88" s="253"/>
      <c r="L88" s="253"/>
      <c r="M88" s="253"/>
      <c r="N88" s="253"/>
      <c r="O88" s="253"/>
      <c r="P88" s="253"/>
      <c r="Q88" s="253"/>
      <c r="R88" s="253"/>
      <c r="S88" s="253"/>
      <c r="T88" s="253"/>
      <c r="U88" s="253"/>
      <c r="V88" s="253"/>
      <c r="W88" s="253"/>
      <c r="X88" s="253"/>
      <c r="Y88" s="253"/>
      <c r="Z88" s="253"/>
      <c r="AA88" s="253"/>
      <c r="AB88" s="253"/>
      <c r="AC88" s="253"/>
      <c r="AD88" s="253"/>
      <c r="AE88" s="255">
        <f>500-500</f>
        <v>0</v>
      </c>
      <c r="AF88" s="253"/>
      <c r="AG88" s="255">
        <f>300-300</f>
        <v>0</v>
      </c>
      <c r="AH88" s="253"/>
      <c r="AI88" s="253"/>
      <c r="AJ88" s="253"/>
      <c r="AK88" s="253"/>
      <c r="AL88" s="253"/>
      <c r="AM88" s="253"/>
      <c r="AN88" s="253"/>
      <c r="AO88" s="253"/>
      <c r="AP88" s="253"/>
      <c r="AQ88" s="253"/>
      <c r="AR88" s="253"/>
      <c r="AS88" s="253"/>
      <c r="AT88" s="253"/>
      <c r="AU88" s="253"/>
      <c r="AV88" s="253"/>
      <c r="AW88" s="255">
        <f>500-500+20-20</f>
        <v>0</v>
      </c>
      <c r="AX88" s="253"/>
      <c r="AY88" s="253"/>
      <c r="AZ88" s="253"/>
      <c r="BA88" s="253"/>
      <c r="BB88" s="253"/>
      <c r="BC88" s="255">
        <f>300-300+30</f>
        <v>30</v>
      </c>
      <c r="BD88" s="253"/>
      <c r="BE88" s="253"/>
      <c r="BF88" s="253"/>
      <c r="BG88" s="253"/>
      <c r="BH88" s="253"/>
      <c r="BI88" s="253"/>
      <c r="BJ88" s="253"/>
      <c r="BK88" s="253"/>
      <c r="BL88" s="253"/>
      <c r="BM88" s="253"/>
      <c r="BN88" s="253"/>
      <c r="BO88" s="253"/>
      <c r="BP88" s="253"/>
      <c r="BQ88" s="253"/>
      <c r="BR88" s="253"/>
      <c r="BS88" s="253"/>
      <c r="BT88" s="253"/>
      <c r="BU88" s="253"/>
      <c r="BV88" s="253"/>
      <c r="BW88" s="253"/>
      <c r="BX88" s="253"/>
      <c r="BY88" s="253"/>
      <c r="BZ88" s="253"/>
      <c r="CA88" s="253"/>
      <c r="CB88" s="253"/>
      <c r="CC88" s="253"/>
      <c r="CD88" s="253"/>
      <c r="CE88" s="253"/>
      <c r="CF88" s="253"/>
      <c r="CG88" s="253"/>
      <c r="CH88" s="253"/>
      <c r="CI88" s="253"/>
      <c r="CJ88" s="253"/>
      <c r="CK88" s="253"/>
      <c r="CL88" s="253"/>
      <c r="CM88" s="253"/>
      <c r="CN88" s="253"/>
      <c r="CO88" s="253"/>
      <c r="CP88" s="253"/>
      <c r="CQ88" s="253"/>
      <c r="CR88" s="253"/>
      <c r="CS88" s="253"/>
      <c r="CT88" s="253"/>
      <c r="CU88" s="253"/>
      <c r="CV88" s="253"/>
      <c r="CW88" s="253"/>
      <c r="CX88" s="253"/>
      <c r="CY88" s="253"/>
      <c r="CZ88" s="253"/>
      <c r="DA88" s="253"/>
      <c r="DB88" s="253"/>
      <c r="DC88" s="253"/>
      <c r="DD88" s="253"/>
      <c r="DE88" s="253"/>
      <c r="DF88" s="253"/>
      <c r="DG88" s="253"/>
      <c r="DH88" s="253"/>
      <c r="DI88" s="253"/>
      <c r="DJ88" s="253"/>
      <c r="DK88" s="253"/>
      <c r="DL88" s="253"/>
      <c r="DM88" s="253"/>
      <c r="DN88" s="253"/>
      <c r="DO88" s="253"/>
      <c r="DP88" s="253"/>
      <c r="DQ88" s="253"/>
      <c r="DR88" s="253"/>
      <c r="DS88" s="253"/>
      <c r="DT88" s="253"/>
      <c r="DU88" s="253"/>
      <c r="DV88" s="253"/>
      <c r="DW88" s="253"/>
      <c r="DX88" s="253"/>
      <c r="DY88" s="253"/>
      <c r="DZ88" s="253"/>
      <c r="EA88" s="253"/>
      <c r="EB88" s="253"/>
      <c r="EC88" s="253"/>
      <c r="ED88" s="253"/>
      <c r="EE88" s="253"/>
      <c r="EF88" s="253"/>
      <c r="EG88" s="253"/>
      <c r="EH88" s="253"/>
      <c r="EI88" s="253"/>
      <c r="EJ88" s="253"/>
      <c r="EK88" s="253"/>
      <c r="EL88" s="253"/>
      <c r="EM88" s="253"/>
      <c r="EN88" s="253"/>
      <c r="EO88" s="253"/>
      <c r="EP88" s="253"/>
      <c r="EQ88" s="253"/>
      <c r="ER88" s="253"/>
      <c r="ES88" s="253"/>
      <c r="ET88" s="253"/>
      <c r="EU88" s="253"/>
      <c r="EV88" s="253"/>
      <c r="EW88" s="253"/>
      <c r="EX88" s="253"/>
      <c r="EY88" s="253"/>
      <c r="EZ88" s="253"/>
      <c r="FA88" s="253"/>
      <c r="FB88" s="253"/>
      <c r="FC88" s="253"/>
      <c r="FD88" s="253"/>
      <c r="FE88" s="253"/>
      <c r="FF88" s="253"/>
      <c r="FG88" s="253"/>
      <c r="FH88" s="253"/>
      <c r="FI88" s="253"/>
      <c r="FJ88" s="253"/>
      <c r="FK88" s="253"/>
      <c r="FL88" s="253"/>
      <c r="FM88" s="253"/>
      <c r="FN88" s="253"/>
      <c r="FO88" s="253"/>
      <c r="FP88" s="253"/>
      <c r="FQ88" s="256"/>
      <c r="FR88" s="257" t="s">
        <v>1062</v>
      </c>
      <c r="FS88" s="258" t="s">
        <v>389</v>
      </c>
      <c r="FT88" s="258" t="s">
        <v>1087</v>
      </c>
      <c r="FU88" s="258" t="s">
        <v>445</v>
      </c>
      <c r="FV88" s="259">
        <f t="shared" si="3"/>
        <v>30</v>
      </c>
      <c r="FW88" s="260" t="s">
        <v>433</v>
      </c>
    </row>
    <row r="89" spans="1:179" s="260" customFormat="1">
      <c r="A89" s="251" t="s">
        <v>393</v>
      </c>
      <c r="B89" s="251" t="s">
        <v>385</v>
      </c>
      <c r="C89" s="251" t="s">
        <v>411</v>
      </c>
      <c r="D89" s="251" t="s">
        <v>291</v>
      </c>
      <c r="E89" s="252" t="s">
        <v>860</v>
      </c>
      <c r="F89" s="251" t="s">
        <v>388</v>
      </c>
      <c r="G89" s="251"/>
      <c r="H89" s="253"/>
      <c r="I89" s="253"/>
      <c r="J89" s="253"/>
      <c r="K89" s="253"/>
      <c r="L89" s="253"/>
      <c r="M89" s="253"/>
      <c r="N89" s="253"/>
      <c r="O89" s="253"/>
      <c r="P89" s="253"/>
      <c r="Q89" s="253"/>
      <c r="R89" s="253"/>
      <c r="S89" s="253"/>
      <c r="T89" s="253"/>
      <c r="U89" s="253"/>
      <c r="V89" s="253"/>
      <c r="W89" s="253"/>
      <c r="X89" s="253"/>
      <c r="Y89" s="253"/>
      <c r="Z89" s="253"/>
      <c r="AA89" s="253"/>
      <c r="AB89" s="253"/>
      <c r="AC89" s="253"/>
      <c r="AD89" s="253"/>
      <c r="AE89" s="253"/>
      <c r="AF89" s="253"/>
      <c r="AG89" s="253"/>
      <c r="AH89" s="253"/>
      <c r="AI89" s="253"/>
      <c r="AJ89" s="253"/>
      <c r="AK89" s="253"/>
      <c r="AL89" s="253"/>
      <c r="AM89" s="253"/>
      <c r="AN89" s="253"/>
      <c r="AO89" s="253"/>
      <c r="AP89" s="253"/>
      <c r="AQ89" s="253"/>
      <c r="AR89" s="253"/>
      <c r="AS89" s="255">
        <f>500-500</f>
        <v>0</v>
      </c>
      <c r="AT89" s="255">
        <f>500-500</f>
        <v>0</v>
      </c>
      <c r="AU89" s="253"/>
      <c r="AV89" s="253"/>
      <c r="AW89" s="253"/>
      <c r="AX89" s="253"/>
      <c r="AY89" s="253"/>
      <c r="AZ89" s="253"/>
      <c r="BA89" s="253"/>
      <c r="BB89" s="253"/>
      <c r="BC89" s="253"/>
      <c r="BD89" s="253"/>
      <c r="BE89" s="253"/>
      <c r="BF89" s="253"/>
      <c r="BG89" s="255">
        <f>200-200+40-40</f>
        <v>0</v>
      </c>
      <c r="BH89" s="253"/>
      <c r="BI89" s="253"/>
      <c r="BJ89" s="253"/>
      <c r="BK89" s="253"/>
      <c r="BL89" s="253"/>
      <c r="BM89" s="253"/>
      <c r="BN89" s="253"/>
      <c r="BO89" s="253"/>
      <c r="BP89" s="253"/>
      <c r="BQ89" s="253"/>
      <c r="BR89" s="253"/>
      <c r="BS89" s="253"/>
      <c r="BT89" s="253"/>
      <c r="BU89" s="253"/>
      <c r="BV89" s="253"/>
      <c r="BW89" s="253"/>
      <c r="BX89" s="253"/>
      <c r="BY89" s="253"/>
      <c r="BZ89" s="253"/>
      <c r="CA89" s="253"/>
      <c r="CB89" s="253"/>
      <c r="CC89" s="253"/>
      <c r="CD89" s="253"/>
      <c r="CE89" s="253"/>
      <c r="CF89" s="253"/>
      <c r="CG89" s="253"/>
      <c r="CH89" s="253"/>
      <c r="CI89" s="253"/>
      <c r="CJ89" s="253"/>
      <c r="CK89" s="253"/>
      <c r="CL89" s="253"/>
      <c r="CM89" s="253"/>
      <c r="CN89" s="253"/>
      <c r="CO89" s="253"/>
      <c r="CP89" s="253"/>
      <c r="CQ89" s="253"/>
      <c r="CR89" s="253"/>
      <c r="CS89" s="253"/>
      <c r="CT89" s="253"/>
      <c r="CU89" s="253"/>
      <c r="CV89" s="253"/>
      <c r="CW89" s="253"/>
      <c r="CX89" s="253"/>
      <c r="CY89" s="253"/>
      <c r="CZ89" s="253"/>
      <c r="DA89" s="253"/>
      <c r="DB89" s="253"/>
      <c r="DC89" s="253"/>
      <c r="DD89" s="253"/>
      <c r="DE89" s="253"/>
      <c r="DF89" s="253"/>
      <c r="DG89" s="253"/>
      <c r="DH89" s="253"/>
      <c r="DI89" s="253"/>
      <c r="DJ89" s="253"/>
      <c r="DK89" s="253"/>
      <c r="DL89" s="253"/>
      <c r="DM89" s="253"/>
      <c r="DN89" s="253"/>
      <c r="DO89" s="253"/>
      <c r="DP89" s="253"/>
      <c r="DQ89" s="253"/>
      <c r="DR89" s="253"/>
      <c r="DS89" s="253"/>
      <c r="DT89" s="253"/>
      <c r="DU89" s="253"/>
      <c r="DV89" s="253"/>
      <c r="DW89" s="253"/>
      <c r="DX89" s="253"/>
      <c r="DY89" s="253"/>
      <c r="DZ89" s="253"/>
      <c r="EA89" s="253"/>
      <c r="EB89" s="253"/>
      <c r="EC89" s="253"/>
      <c r="ED89" s="253"/>
      <c r="EE89" s="253"/>
      <c r="EF89" s="253"/>
      <c r="EG89" s="253"/>
      <c r="EH89" s="253"/>
      <c r="EI89" s="253"/>
      <c r="EJ89" s="253"/>
      <c r="EK89" s="253"/>
      <c r="EL89" s="253"/>
      <c r="EM89" s="253"/>
      <c r="EN89" s="253"/>
      <c r="EO89" s="253"/>
      <c r="EP89" s="253"/>
      <c r="EQ89" s="253"/>
      <c r="ER89" s="253"/>
      <c r="ES89" s="253"/>
      <c r="ET89" s="253"/>
      <c r="EU89" s="253"/>
      <c r="EV89" s="253"/>
      <c r="EW89" s="253"/>
      <c r="EX89" s="253"/>
      <c r="EY89" s="253"/>
      <c r="EZ89" s="253"/>
      <c r="FA89" s="253"/>
      <c r="FB89" s="253"/>
      <c r="FC89" s="253"/>
      <c r="FD89" s="253"/>
      <c r="FE89" s="253"/>
      <c r="FF89" s="253"/>
      <c r="FG89" s="253"/>
      <c r="FH89" s="253"/>
      <c r="FI89" s="253"/>
      <c r="FJ89" s="253"/>
      <c r="FK89" s="253"/>
      <c r="FL89" s="253"/>
      <c r="FM89" s="253"/>
      <c r="FN89" s="253"/>
      <c r="FO89" s="253"/>
      <c r="FP89" s="253"/>
      <c r="FQ89" s="256"/>
      <c r="FR89" s="257" t="s">
        <v>1062</v>
      </c>
      <c r="FS89" s="258" t="s">
        <v>389</v>
      </c>
      <c r="FT89" s="258"/>
      <c r="FU89" s="258" t="s">
        <v>429</v>
      </c>
      <c r="FV89" s="259">
        <f t="shared" si="3"/>
        <v>0</v>
      </c>
      <c r="FW89" s="260" t="s">
        <v>414</v>
      </c>
    </row>
    <row r="90" spans="1:179" s="260" customFormat="1">
      <c r="A90" s="251" t="s">
        <v>393</v>
      </c>
      <c r="B90" s="251" t="s">
        <v>385</v>
      </c>
      <c r="C90" s="251" t="s">
        <v>411</v>
      </c>
      <c r="D90" s="251" t="s">
        <v>1</v>
      </c>
      <c r="E90" s="252" t="s">
        <v>860</v>
      </c>
      <c r="F90" s="251" t="s">
        <v>388</v>
      </c>
      <c r="G90" s="251"/>
      <c r="H90" s="253"/>
      <c r="I90" s="253"/>
      <c r="J90" s="253"/>
      <c r="K90" s="253"/>
      <c r="L90" s="253"/>
      <c r="M90" s="253"/>
      <c r="N90" s="253"/>
      <c r="O90" s="253"/>
      <c r="P90" s="253"/>
      <c r="Q90" s="253"/>
      <c r="R90" s="253"/>
      <c r="S90" s="253"/>
      <c r="T90" s="253"/>
      <c r="U90" s="253"/>
      <c r="V90" s="253"/>
      <c r="W90" s="253"/>
      <c r="X90" s="253"/>
      <c r="Y90" s="253"/>
      <c r="Z90" s="253"/>
      <c r="AA90" s="253"/>
      <c r="AB90" s="253"/>
      <c r="AC90" s="253"/>
      <c r="AD90" s="253"/>
      <c r="AE90" s="253"/>
      <c r="AF90" s="253"/>
      <c r="AG90" s="253"/>
      <c r="AH90" s="253"/>
      <c r="AI90" s="253"/>
      <c r="AJ90" s="253"/>
      <c r="AK90" s="253"/>
      <c r="AL90" s="253"/>
      <c r="AM90" s="253"/>
      <c r="AN90" s="253"/>
      <c r="AO90" s="253"/>
      <c r="AP90" s="253"/>
      <c r="AQ90" s="255">
        <f>500-500</f>
        <v>0</v>
      </c>
      <c r="AR90" s="253"/>
      <c r="AS90" s="253"/>
      <c r="AT90" s="253"/>
      <c r="AU90" s="253"/>
      <c r="AV90" s="253"/>
      <c r="AW90" s="255">
        <f>500-500+20-20</f>
        <v>0</v>
      </c>
      <c r="AX90" s="253"/>
      <c r="AY90" s="253"/>
      <c r="AZ90" s="253"/>
      <c r="BA90" s="253"/>
      <c r="BB90" s="253"/>
      <c r="BC90" s="253"/>
      <c r="BD90" s="253"/>
      <c r="BE90" s="253"/>
      <c r="BF90" s="253"/>
      <c r="BG90" s="253"/>
      <c r="BH90" s="253"/>
      <c r="BI90" s="253"/>
      <c r="BJ90" s="253"/>
      <c r="BK90" s="253"/>
      <c r="BL90" s="253"/>
      <c r="BM90" s="253"/>
      <c r="BN90" s="253"/>
      <c r="BO90" s="253"/>
      <c r="BP90" s="253"/>
      <c r="BQ90" s="253"/>
      <c r="BR90" s="253"/>
      <c r="BS90" s="253"/>
      <c r="BT90" s="253"/>
      <c r="BU90" s="253"/>
      <c r="BV90" s="253"/>
      <c r="BW90" s="253"/>
      <c r="BX90" s="253"/>
      <c r="BY90" s="253"/>
      <c r="BZ90" s="253"/>
      <c r="CA90" s="253"/>
      <c r="CB90" s="253"/>
      <c r="CC90" s="253"/>
      <c r="CD90" s="253"/>
      <c r="CE90" s="253"/>
      <c r="CF90" s="253"/>
      <c r="CG90" s="253"/>
      <c r="CH90" s="253"/>
      <c r="CI90" s="253"/>
      <c r="CJ90" s="253"/>
      <c r="CK90" s="253"/>
      <c r="CL90" s="253"/>
      <c r="CM90" s="253"/>
      <c r="CN90" s="253"/>
      <c r="CO90" s="253"/>
      <c r="CP90" s="253"/>
      <c r="CQ90" s="253"/>
      <c r="CR90" s="253"/>
      <c r="CS90" s="253"/>
      <c r="CT90" s="253"/>
      <c r="CU90" s="253"/>
      <c r="CV90" s="253"/>
      <c r="CW90" s="253"/>
      <c r="CX90" s="253"/>
      <c r="CY90" s="253"/>
      <c r="CZ90" s="253"/>
      <c r="DA90" s="253"/>
      <c r="DB90" s="253"/>
      <c r="DC90" s="253"/>
      <c r="DD90" s="253"/>
      <c r="DE90" s="253"/>
      <c r="DF90" s="253"/>
      <c r="DG90" s="253"/>
      <c r="DH90" s="253"/>
      <c r="DI90" s="253"/>
      <c r="DJ90" s="253"/>
      <c r="DK90" s="253"/>
      <c r="DL90" s="253"/>
      <c r="DM90" s="253"/>
      <c r="DN90" s="253"/>
      <c r="DO90" s="253"/>
      <c r="DP90" s="253"/>
      <c r="DQ90" s="253"/>
      <c r="DR90" s="253"/>
      <c r="DS90" s="253"/>
      <c r="DT90" s="253"/>
      <c r="DU90" s="253"/>
      <c r="DV90" s="253"/>
      <c r="DW90" s="253"/>
      <c r="DX90" s="253"/>
      <c r="DY90" s="253"/>
      <c r="DZ90" s="253"/>
      <c r="EA90" s="253"/>
      <c r="EB90" s="253"/>
      <c r="EC90" s="253"/>
      <c r="ED90" s="253"/>
      <c r="EE90" s="253"/>
      <c r="EF90" s="253"/>
      <c r="EG90" s="253"/>
      <c r="EH90" s="253"/>
      <c r="EI90" s="253"/>
      <c r="EJ90" s="253"/>
      <c r="EK90" s="253"/>
      <c r="EL90" s="253"/>
      <c r="EM90" s="253"/>
      <c r="EN90" s="253"/>
      <c r="EO90" s="255">
        <f>300-300</f>
        <v>0</v>
      </c>
      <c r="EP90" s="255">
        <f>300-300</f>
        <v>0</v>
      </c>
      <c r="EQ90" s="253"/>
      <c r="ER90" s="255">
        <f>300-300</f>
        <v>0</v>
      </c>
      <c r="ES90" s="253"/>
      <c r="ET90" s="253"/>
      <c r="EU90" s="253"/>
      <c r="EV90" s="253"/>
      <c r="EW90" s="253"/>
      <c r="EX90" s="253"/>
      <c r="EY90" s="253"/>
      <c r="EZ90" s="253"/>
      <c r="FA90" s="253"/>
      <c r="FB90" s="253"/>
      <c r="FC90" s="253"/>
      <c r="FD90" s="253"/>
      <c r="FE90" s="253"/>
      <c r="FF90" s="253"/>
      <c r="FG90" s="253"/>
      <c r="FH90" s="253"/>
      <c r="FI90" s="253"/>
      <c r="FJ90" s="253"/>
      <c r="FK90" s="253"/>
      <c r="FL90" s="253"/>
      <c r="FM90" s="255">
        <f>200-200</f>
        <v>0</v>
      </c>
      <c r="FN90" s="255">
        <f>500-500</f>
        <v>0</v>
      </c>
      <c r="FO90" s="253"/>
      <c r="FP90" s="253"/>
      <c r="FQ90" s="256"/>
      <c r="FR90" s="257" t="s">
        <v>1062</v>
      </c>
      <c r="FS90" s="258" t="s">
        <v>389</v>
      </c>
      <c r="FT90" s="258"/>
      <c r="FU90" s="258" t="s">
        <v>429</v>
      </c>
      <c r="FV90" s="259">
        <f t="shared" si="3"/>
        <v>0</v>
      </c>
      <c r="FW90" s="260" t="s">
        <v>414</v>
      </c>
    </row>
    <row r="91" spans="1:179" s="260" customFormat="1">
      <c r="A91" s="251" t="s">
        <v>393</v>
      </c>
      <c r="B91" s="251" t="s">
        <v>385</v>
      </c>
      <c r="C91" s="251" t="s">
        <v>411</v>
      </c>
      <c r="D91" s="251" t="s">
        <v>291</v>
      </c>
      <c r="E91" s="252" t="s">
        <v>446</v>
      </c>
      <c r="F91" s="251" t="s">
        <v>388</v>
      </c>
      <c r="G91" s="251" t="s">
        <v>1088</v>
      </c>
      <c r="H91" s="253"/>
      <c r="I91" s="255">
        <f>200-200</f>
        <v>0</v>
      </c>
      <c r="J91" s="253"/>
      <c r="K91" s="255">
        <f>200-200</f>
        <v>0</v>
      </c>
      <c r="L91" s="253"/>
      <c r="M91" s="253"/>
      <c r="N91" s="253"/>
      <c r="O91" s="253"/>
      <c r="P91" s="253"/>
      <c r="Q91" s="253"/>
      <c r="R91" s="253"/>
      <c r="S91" s="253"/>
      <c r="T91" s="253"/>
      <c r="U91" s="253"/>
      <c r="V91" s="253"/>
      <c r="W91" s="253"/>
      <c r="X91" s="253"/>
      <c r="Y91" s="253"/>
      <c r="Z91" s="253"/>
      <c r="AA91" s="253"/>
      <c r="AB91" s="253"/>
      <c r="AC91" s="253"/>
      <c r="AD91" s="253"/>
      <c r="AE91" s="253"/>
      <c r="AF91" s="253"/>
      <c r="AG91" s="253"/>
      <c r="AH91" s="255">
        <f>1000-1000</f>
        <v>0</v>
      </c>
      <c r="AI91" s="253"/>
      <c r="AJ91" s="255">
        <f>1000-1000</f>
        <v>0</v>
      </c>
      <c r="AK91" s="255">
        <f>1000-1000</f>
        <v>0</v>
      </c>
      <c r="AL91" s="253"/>
      <c r="AM91" s="253"/>
      <c r="AN91" s="253"/>
      <c r="AO91" s="253"/>
      <c r="AP91" s="253"/>
      <c r="AQ91" s="253"/>
      <c r="AR91" s="253"/>
      <c r="AS91" s="253"/>
      <c r="AT91" s="253"/>
      <c r="AU91" s="253"/>
      <c r="AV91" s="253"/>
      <c r="AW91" s="253"/>
      <c r="AX91" s="253"/>
      <c r="AY91" s="253"/>
      <c r="AZ91" s="253"/>
      <c r="BA91" s="253"/>
      <c r="BB91" s="253"/>
      <c r="BC91" s="253"/>
      <c r="BD91" s="253"/>
      <c r="BE91" s="253"/>
      <c r="BF91" s="253"/>
      <c r="BG91" s="255">
        <f>1000-1000+40+1000-1040</f>
        <v>0</v>
      </c>
      <c r="BH91" s="253"/>
      <c r="BI91" s="253"/>
      <c r="BJ91" s="253"/>
      <c r="BK91" s="253"/>
      <c r="BL91" s="253"/>
      <c r="BM91" s="253"/>
      <c r="BN91" s="253"/>
      <c r="BO91" s="253"/>
      <c r="BP91" s="253"/>
      <c r="BQ91" s="253"/>
      <c r="BR91" s="253"/>
      <c r="BS91" s="253"/>
      <c r="BT91" s="253"/>
      <c r="BU91" s="253"/>
      <c r="BV91" s="253"/>
      <c r="BW91" s="253"/>
      <c r="BX91" s="253"/>
      <c r="BY91" s="253"/>
      <c r="BZ91" s="253"/>
      <c r="CA91" s="253"/>
      <c r="CB91" s="253"/>
      <c r="CC91" s="253"/>
      <c r="CD91" s="253"/>
      <c r="CE91" s="253"/>
      <c r="CF91" s="253"/>
      <c r="CG91" s="253"/>
      <c r="CH91" s="253"/>
      <c r="CI91" s="253"/>
      <c r="CJ91" s="253"/>
      <c r="CK91" s="253"/>
      <c r="CL91" s="253"/>
      <c r="CM91" s="253"/>
      <c r="CN91" s="253"/>
      <c r="CO91" s="253"/>
      <c r="CP91" s="253"/>
      <c r="CQ91" s="253"/>
      <c r="CR91" s="253"/>
      <c r="CS91" s="253"/>
      <c r="CT91" s="253"/>
      <c r="CU91" s="253"/>
      <c r="CV91" s="253"/>
      <c r="CW91" s="253"/>
      <c r="CX91" s="253"/>
      <c r="CY91" s="253"/>
      <c r="CZ91" s="253"/>
      <c r="DA91" s="253"/>
      <c r="DB91" s="253"/>
      <c r="DC91" s="253"/>
      <c r="DD91" s="253"/>
      <c r="DE91" s="253"/>
      <c r="DF91" s="253"/>
      <c r="DG91" s="253"/>
      <c r="DH91" s="253"/>
      <c r="DI91" s="253"/>
      <c r="DJ91" s="253"/>
      <c r="DK91" s="253"/>
      <c r="DL91" s="253"/>
      <c r="DM91" s="253"/>
      <c r="DN91" s="253"/>
      <c r="DO91" s="253"/>
      <c r="DP91" s="253"/>
      <c r="DQ91" s="253"/>
      <c r="DR91" s="253"/>
      <c r="DS91" s="253"/>
      <c r="DT91" s="253"/>
      <c r="DU91" s="253"/>
      <c r="DV91" s="253"/>
      <c r="DW91" s="253"/>
      <c r="DX91" s="253"/>
      <c r="DY91" s="253"/>
      <c r="DZ91" s="253"/>
      <c r="EA91" s="253"/>
      <c r="EB91" s="253"/>
      <c r="EC91" s="253"/>
      <c r="ED91" s="253"/>
      <c r="EE91" s="253"/>
      <c r="EF91" s="253"/>
      <c r="EG91" s="253"/>
      <c r="EH91" s="253"/>
      <c r="EI91" s="253"/>
      <c r="EJ91" s="253"/>
      <c r="EK91" s="253"/>
      <c r="EL91" s="253"/>
      <c r="EM91" s="253"/>
      <c r="EN91" s="253"/>
      <c r="EO91" s="253"/>
      <c r="EP91" s="253"/>
      <c r="EQ91" s="253"/>
      <c r="ER91" s="253"/>
      <c r="ES91" s="253"/>
      <c r="ET91" s="253"/>
      <c r="EU91" s="253"/>
      <c r="EV91" s="253"/>
      <c r="EW91" s="253"/>
      <c r="EX91" s="253"/>
      <c r="EY91" s="253"/>
      <c r="EZ91" s="253"/>
      <c r="FA91" s="253"/>
      <c r="FB91" s="253"/>
      <c r="FC91" s="253"/>
      <c r="FD91" s="253"/>
      <c r="FE91" s="253"/>
      <c r="FF91" s="253"/>
      <c r="FG91" s="253"/>
      <c r="FH91" s="253"/>
      <c r="FI91" s="253"/>
      <c r="FJ91" s="253"/>
      <c r="FK91" s="253"/>
      <c r="FL91" s="255">
        <f>500-500</f>
        <v>0</v>
      </c>
      <c r="FM91" s="253"/>
      <c r="FN91" s="253"/>
      <c r="FO91" s="253"/>
      <c r="FP91" s="253"/>
      <c r="FQ91" s="256"/>
      <c r="FR91" s="257" t="s">
        <v>1062</v>
      </c>
      <c r="FS91" s="258" t="s">
        <v>389</v>
      </c>
      <c r="FT91" s="258"/>
      <c r="FU91" s="258" t="s">
        <v>423</v>
      </c>
      <c r="FV91" s="259">
        <f t="shared" si="3"/>
        <v>0</v>
      </c>
      <c r="FW91" s="260" t="s">
        <v>835</v>
      </c>
    </row>
    <row r="92" spans="1:179" s="260" customFormat="1">
      <c r="A92" s="251" t="s">
        <v>393</v>
      </c>
      <c r="B92" s="251" t="s">
        <v>385</v>
      </c>
      <c r="C92" s="251" t="s">
        <v>411</v>
      </c>
      <c r="D92" s="251" t="s">
        <v>1</v>
      </c>
      <c r="E92" s="252" t="s">
        <v>446</v>
      </c>
      <c r="F92" s="251" t="s">
        <v>388</v>
      </c>
      <c r="G92" s="251" t="s">
        <v>1088</v>
      </c>
      <c r="H92" s="253"/>
      <c r="I92" s="253"/>
      <c r="J92" s="253"/>
      <c r="K92" s="253"/>
      <c r="L92" s="254">
        <f>200-200+200</f>
        <v>200</v>
      </c>
      <c r="M92" s="253"/>
      <c r="N92" s="253"/>
      <c r="O92" s="253"/>
      <c r="P92" s="253"/>
      <c r="Q92" s="253"/>
      <c r="R92" s="255">
        <f>500-500</f>
        <v>0</v>
      </c>
      <c r="S92" s="255">
        <f>500-500</f>
        <v>0</v>
      </c>
      <c r="T92" s="253"/>
      <c r="U92" s="253"/>
      <c r="V92" s="253"/>
      <c r="W92" s="253"/>
      <c r="X92" s="253"/>
      <c r="Y92" s="253"/>
      <c r="Z92" s="253"/>
      <c r="AA92" s="253"/>
      <c r="AB92" s="253"/>
      <c r="AC92" s="253"/>
      <c r="AD92" s="253"/>
      <c r="AE92" s="255">
        <f>1000-1000</f>
        <v>0</v>
      </c>
      <c r="AF92" s="254">
        <f>1000-1000+20</f>
        <v>20</v>
      </c>
      <c r="AG92" s="253"/>
      <c r="AH92" s="253"/>
      <c r="AI92" s="253"/>
      <c r="AJ92" s="253"/>
      <c r="AK92" s="253"/>
      <c r="AL92" s="253"/>
      <c r="AM92" s="253"/>
      <c r="AN92" s="253"/>
      <c r="AO92" s="253"/>
      <c r="AP92" s="253"/>
      <c r="AQ92" s="253"/>
      <c r="AR92" s="255">
        <f>500-500+20-20</f>
        <v>0</v>
      </c>
      <c r="AS92" s="253"/>
      <c r="AT92" s="253"/>
      <c r="AU92" s="255">
        <f>500-500</f>
        <v>0</v>
      </c>
      <c r="AV92" s="255">
        <f>200-200</f>
        <v>0</v>
      </c>
      <c r="AW92" s="255">
        <f>1000-1000+60+500-560</f>
        <v>0</v>
      </c>
      <c r="AX92" s="253"/>
      <c r="AY92" s="253"/>
      <c r="AZ92" s="253"/>
      <c r="BA92" s="253"/>
      <c r="BB92" s="253"/>
      <c r="BC92" s="253"/>
      <c r="BD92" s="253"/>
      <c r="BE92" s="253"/>
      <c r="BF92" s="253"/>
      <c r="BG92" s="253"/>
      <c r="BH92" s="253"/>
      <c r="BI92" s="255">
        <f>1000-1000</f>
        <v>0</v>
      </c>
      <c r="BJ92" s="253"/>
      <c r="BK92" s="253"/>
      <c r="BL92" s="253"/>
      <c r="BM92" s="253"/>
      <c r="BN92" s="253"/>
      <c r="BO92" s="253"/>
      <c r="BP92" s="253"/>
      <c r="BQ92" s="253"/>
      <c r="BR92" s="253"/>
      <c r="BS92" s="253"/>
      <c r="BT92" s="253"/>
      <c r="BU92" s="253"/>
      <c r="BV92" s="253"/>
      <c r="BW92" s="253"/>
      <c r="BX92" s="253"/>
      <c r="BY92" s="253"/>
      <c r="BZ92" s="253"/>
      <c r="CA92" s="253"/>
      <c r="CB92" s="253"/>
      <c r="CC92" s="253"/>
      <c r="CD92" s="253"/>
      <c r="CE92" s="253"/>
      <c r="CF92" s="253"/>
      <c r="CG92" s="253"/>
      <c r="CH92" s="253"/>
      <c r="CI92" s="253"/>
      <c r="CJ92" s="253"/>
      <c r="CK92" s="253"/>
      <c r="CL92" s="253"/>
      <c r="CM92" s="253"/>
      <c r="CN92" s="253"/>
      <c r="CO92" s="253"/>
      <c r="CP92" s="253"/>
      <c r="CQ92" s="253"/>
      <c r="CR92" s="253"/>
      <c r="CS92" s="253"/>
      <c r="CT92" s="253"/>
      <c r="CU92" s="253"/>
      <c r="CV92" s="253"/>
      <c r="CW92" s="253"/>
      <c r="CX92" s="253"/>
      <c r="CY92" s="253"/>
      <c r="CZ92" s="253"/>
      <c r="DA92" s="253"/>
      <c r="DB92" s="253"/>
      <c r="DC92" s="253"/>
      <c r="DD92" s="253"/>
      <c r="DE92" s="253"/>
      <c r="DF92" s="253"/>
      <c r="DG92" s="253"/>
      <c r="DH92" s="253"/>
      <c r="DI92" s="253"/>
      <c r="DJ92" s="253"/>
      <c r="DK92" s="253"/>
      <c r="DL92" s="253"/>
      <c r="DM92" s="253"/>
      <c r="DN92" s="253"/>
      <c r="DO92" s="253"/>
      <c r="DP92" s="253"/>
      <c r="DQ92" s="253"/>
      <c r="DR92" s="253"/>
      <c r="DS92" s="253"/>
      <c r="DT92" s="253"/>
      <c r="DU92" s="253"/>
      <c r="DV92" s="253"/>
      <c r="DW92" s="253"/>
      <c r="DX92" s="253"/>
      <c r="DY92" s="253"/>
      <c r="DZ92" s="253"/>
      <c r="EA92" s="253"/>
      <c r="EB92" s="253"/>
      <c r="EC92" s="253"/>
      <c r="ED92" s="253"/>
      <c r="EE92" s="253"/>
      <c r="EF92" s="253"/>
      <c r="EG92" s="253"/>
      <c r="EH92" s="255">
        <f>500-500</f>
        <v>0</v>
      </c>
      <c r="EI92" s="255">
        <f>2000-2000</f>
        <v>0</v>
      </c>
      <c r="EJ92" s="255">
        <f>500-500</f>
        <v>0</v>
      </c>
      <c r="EK92" s="255">
        <f>2000-2000</f>
        <v>0</v>
      </c>
      <c r="EL92" s="253"/>
      <c r="EM92" s="255">
        <f>2000-2000</f>
        <v>0</v>
      </c>
      <c r="EN92" s="255">
        <f>2000-2000</f>
        <v>0</v>
      </c>
      <c r="EO92" s="255">
        <f>2000-2000</f>
        <v>0</v>
      </c>
      <c r="EP92" s="255">
        <f>1000-1000</f>
        <v>0</v>
      </c>
      <c r="EQ92" s="253"/>
      <c r="ER92" s="255">
        <f>1000-1000</f>
        <v>0</v>
      </c>
      <c r="ES92" s="253"/>
      <c r="ET92" s="253"/>
      <c r="EU92" s="253"/>
      <c r="EV92" s="253"/>
      <c r="EW92" s="253"/>
      <c r="EX92" s="253"/>
      <c r="EY92" s="253"/>
      <c r="EZ92" s="253"/>
      <c r="FA92" s="253"/>
      <c r="FB92" s="253"/>
      <c r="FC92" s="253"/>
      <c r="FD92" s="253"/>
      <c r="FE92" s="253"/>
      <c r="FF92" s="253"/>
      <c r="FG92" s="253"/>
      <c r="FH92" s="253"/>
      <c r="FI92" s="253"/>
      <c r="FJ92" s="253"/>
      <c r="FK92" s="253"/>
      <c r="FL92" s="253"/>
      <c r="FM92" s="254">
        <f>2000-2000+400</f>
        <v>400</v>
      </c>
      <c r="FN92" s="254">
        <f>2000-2000+660</f>
        <v>660</v>
      </c>
      <c r="FO92" s="253"/>
      <c r="FP92" s="253"/>
      <c r="FQ92" s="256"/>
      <c r="FR92" s="257" t="s">
        <v>1062</v>
      </c>
      <c r="FS92" s="258" t="s">
        <v>389</v>
      </c>
      <c r="FT92" s="258"/>
      <c r="FU92" s="258" t="s">
        <v>423</v>
      </c>
      <c r="FV92" s="259">
        <f t="shared" si="3"/>
        <v>1280</v>
      </c>
      <c r="FW92" s="260" t="s">
        <v>835</v>
      </c>
    </row>
    <row r="93" spans="1:179" s="260" customFormat="1">
      <c r="A93" s="251" t="s">
        <v>385</v>
      </c>
      <c r="B93" s="251" t="s">
        <v>385</v>
      </c>
      <c r="C93" s="251" t="s">
        <v>411</v>
      </c>
      <c r="D93" s="251" t="s">
        <v>291</v>
      </c>
      <c r="E93" s="252" t="s">
        <v>862</v>
      </c>
      <c r="F93" s="251" t="s">
        <v>388</v>
      </c>
      <c r="G93" s="251" t="s">
        <v>1089</v>
      </c>
      <c r="H93" s="253"/>
      <c r="I93" s="255">
        <f>50-50</f>
        <v>0</v>
      </c>
      <c r="J93" s="253"/>
      <c r="K93" s="255">
        <f>50-50</f>
        <v>0</v>
      </c>
      <c r="L93" s="253"/>
      <c r="M93" s="253"/>
      <c r="N93" s="253"/>
      <c r="O93" s="253"/>
      <c r="P93" s="253"/>
      <c r="Q93" s="253"/>
      <c r="R93" s="253"/>
      <c r="S93" s="253"/>
      <c r="T93" s="253"/>
      <c r="U93" s="253"/>
      <c r="V93" s="253"/>
      <c r="W93" s="253"/>
      <c r="X93" s="253"/>
      <c r="Y93" s="253"/>
      <c r="Z93" s="253"/>
      <c r="AA93" s="253"/>
      <c r="AB93" s="253"/>
      <c r="AC93" s="253"/>
      <c r="AD93" s="253"/>
      <c r="AE93" s="253"/>
      <c r="AF93" s="253"/>
      <c r="AG93" s="253"/>
      <c r="AH93" s="253"/>
      <c r="AI93" s="253"/>
      <c r="AJ93" s="255">
        <f>50-50</f>
        <v>0</v>
      </c>
      <c r="AK93" s="255">
        <f>50-50</f>
        <v>0</v>
      </c>
      <c r="AL93" s="253"/>
      <c r="AM93" s="253"/>
      <c r="AN93" s="253"/>
      <c r="AO93" s="253"/>
      <c r="AP93" s="253"/>
      <c r="AQ93" s="253"/>
      <c r="AR93" s="253"/>
      <c r="AS93" s="253"/>
      <c r="AT93" s="253"/>
      <c r="AU93" s="253"/>
      <c r="AV93" s="253"/>
      <c r="AW93" s="253"/>
      <c r="AX93" s="253"/>
      <c r="AY93" s="253"/>
      <c r="AZ93" s="253"/>
      <c r="BA93" s="253"/>
      <c r="BB93" s="253"/>
      <c r="BC93" s="253"/>
      <c r="BD93" s="253"/>
      <c r="BE93" s="253"/>
      <c r="BF93" s="253"/>
      <c r="BG93" s="255">
        <f>20-20+20-20</f>
        <v>0</v>
      </c>
      <c r="BH93" s="253"/>
      <c r="BI93" s="253"/>
      <c r="BJ93" s="253"/>
      <c r="BK93" s="253"/>
      <c r="BL93" s="253"/>
      <c r="BM93" s="253"/>
      <c r="BN93" s="253"/>
      <c r="BO93" s="253"/>
      <c r="BP93" s="253"/>
      <c r="BQ93" s="253"/>
      <c r="BR93" s="253"/>
      <c r="BS93" s="253"/>
      <c r="BT93" s="253"/>
      <c r="BU93" s="253"/>
      <c r="BV93" s="253"/>
      <c r="BW93" s="253"/>
      <c r="BX93" s="253"/>
      <c r="BY93" s="253"/>
      <c r="BZ93" s="253"/>
      <c r="CA93" s="253"/>
      <c r="CB93" s="253"/>
      <c r="CC93" s="253"/>
      <c r="CD93" s="253"/>
      <c r="CE93" s="253"/>
      <c r="CF93" s="253"/>
      <c r="CG93" s="253"/>
      <c r="CH93" s="253"/>
      <c r="CI93" s="253"/>
      <c r="CJ93" s="253"/>
      <c r="CK93" s="253"/>
      <c r="CL93" s="253"/>
      <c r="CM93" s="253"/>
      <c r="CN93" s="253"/>
      <c r="CO93" s="253"/>
      <c r="CP93" s="253"/>
      <c r="CQ93" s="253"/>
      <c r="CR93" s="253"/>
      <c r="CS93" s="253"/>
      <c r="CT93" s="253"/>
      <c r="CU93" s="253"/>
      <c r="CV93" s="253"/>
      <c r="CW93" s="253"/>
      <c r="CX93" s="253"/>
      <c r="CY93" s="253"/>
      <c r="CZ93" s="253"/>
      <c r="DA93" s="253"/>
      <c r="DB93" s="253"/>
      <c r="DC93" s="253"/>
      <c r="DD93" s="253"/>
      <c r="DE93" s="253"/>
      <c r="DF93" s="253"/>
      <c r="DG93" s="253"/>
      <c r="DH93" s="253"/>
      <c r="DI93" s="253"/>
      <c r="DJ93" s="253"/>
      <c r="DK93" s="253"/>
      <c r="DL93" s="253"/>
      <c r="DM93" s="253"/>
      <c r="DN93" s="253"/>
      <c r="DO93" s="253"/>
      <c r="DP93" s="253"/>
      <c r="DQ93" s="253"/>
      <c r="DR93" s="253"/>
      <c r="DS93" s="253"/>
      <c r="DT93" s="253"/>
      <c r="DU93" s="253"/>
      <c r="DV93" s="253"/>
      <c r="DW93" s="253"/>
      <c r="DX93" s="253"/>
      <c r="DY93" s="253"/>
      <c r="DZ93" s="253">
        <v>50</v>
      </c>
      <c r="EA93" s="253"/>
      <c r="EB93" s="253"/>
      <c r="EC93" s="253"/>
      <c r="ED93" s="253"/>
      <c r="EE93" s="253"/>
      <c r="EF93" s="253"/>
      <c r="EG93" s="253"/>
      <c r="EH93" s="253"/>
      <c r="EI93" s="253"/>
      <c r="EJ93" s="253"/>
      <c r="EK93" s="253"/>
      <c r="EL93" s="253"/>
      <c r="EM93" s="253"/>
      <c r="EN93" s="253"/>
      <c r="EO93" s="253"/>
      <c r="EP93" s="253"/>
      <c r="EQ93" s="253"/>
      <c r="ER93" s="253"/>
      <c r="ES93" s="253"/>
      <c r="ET93" s="253"/>
      <c r="EU93" s="253"/>
      <c r="EV93" s="253"/>
      <c r="EW93" s="253"/>
      <c r="EX93" s="253"/>
      <c r="EY93" s="253"/>
      <c r="EZ93" s="253"/>
      <c r="FA93" s="253"/>
      <c r="FB93" s="253"/>
      <c r="FC93" s="253"/>
      <c r="FD93" s="253"/>
      <c r="FE93" s="253"/>
      <c r="FF93" s="253"/>
      <c r="FG93" s="253"/>
      <c r="FH93" s="253"/>
      <c r="FI93" s="253"/>
      <c r="FJ93" s="253"/>
      <c r="FK93" s="253"/>
      <c r="FL93" s="253"/>
      <c r="FM93" s="253"/>
      <c r="FN93" s="253"/>
      <c r="FO93" s="253"/>
      <c r="FP93" s="253"/>
      <c r="FQ93" s="256"/>
      <c r="FR93" s="257" t="s">
        <v>1062</v>
      </c>
      <c r="FS93" s="258" t="s">
        <v>389</v>
      </c>
      <c r="FT93" s="258" t="s">
        <v>864</v>
      </c>
      <c r="FU93" s="258" t="s">
        <v>432</v>
      </c>
      <c r="FV93" s="259">
        <f t="shared" si="3"/>
        <v>50</v>
      </c>
      <c r="FW93" s="260" t="s">
        <v>433</v>
      </c>
    </row>
    <row r="94" spans="1:179" s="260" customFormat="1">
      <c r="A94" s="251" t="s">
        <v>385</v>
      </c>
      <c r="B94" s="251" t="s">
        <v>385</v>
      </c>
      <c r="C94" s="251" t="s">
        <v>411</v>
      </c>
      <c r="D94" s="251" t="s">
        <v>1</v>
      </c>
      <c r="E94" s="252" t="s">
        <v>862</v>
      </c>
      <c r="F94" s="251" t="s">
        <v>388</v>
      </c>
      <c r="G94" s="251" t="s">
        <v>1089</v>
      </c>
      <c r="H94" s="253"/>
      <c r="I94" s="253"/>
      <c r="J94" s="253"/>
      <c r="K94" s="253"/>
      <c r="L94" s="253"/>
      <c r="M94" s="253"/>
      <c r="N94" s="253"/>
      <c r="O94" s="253"/>
      <c r="P94" s="253"/>
      <c r="Q94" s="253"/>
      <c r="R94" s="253"/>
      <c r="S94" s="253"/>
      <c r="T94" s="253"/>
      <c r="U94" s="253"/>
      <c r="V94" s="255">
        <f>50-50</f>
        <v>0</v>
      </c>
      <c r="W94" s="253"/>
      <c r="X94" s="253"/>
      <c r="Y94" s="253"/>
      <c r="Z94" s="253"/>
      <c r="AA94" s="253"/>
      <c r="AB94" s="253"/>
      <c r="AC94" s="253"/>
      <c r="AD94" s="253"/>
      <c r="AE94" s="253"/>
      <c r="AF94" s="253"/>
      <c r="AG94" s="253"/>
      <c r="AH94" s="253"/>
      <c r="AI94" s="253"/>
      <c r="AJ94" s="253"/>
      <c r="AK94" s="253"/>
      <c r="AL94" s="253"/>
      <c r="AM94" s="253"/>
      <c r="AN94" s="253"/>
      <c r="AO94" s="253"/>
      <c r="AP94" s="253"/>
      <c r="AQ94" s="253"/>
      <c r="AR94" s="253"/>
      <c r="AS94" s="253"/>
      <c r="AT94" s="253"/>
      <c r="AU94" s="253"/>
      <c r="AV94" s="253"/>
      <c r="AW94" s="255">
        <f>20-20+20-20</f>
        <v>0</v>
      </c>
      <c r="AX94" s="253"/>
      <c r="AY94" s="253"/>
      <c r="AZ94" s="253"/>
      <c r="BA94" s="253"/>
      <c r="BB94" s="253"/>
      <c r="BC94" s="253"/>
      <c r="BD94" s="253"/>
      <c r="BE94" s="253"/>
      <c r="BF94" s="253"/>
      <c r="BG94" s="253"/>
      <c r="BH94" s="253"/>
      <c r="BI94" s="253"/>
      <c r="BJ94" s="253"/>
      <c r="BK94" s="253"/>
      <c r="BL94" s="253"/>
      <c r="BM94" s="253"/>
      <c r="BN94" s="253"/>
      <c r="BO94" s="253"/>
      <c r="BP94" s="253"/>
      <c r="BQ94" s="253"/>
      <c r="BR94" s="253"/>
      <c r="BS94" s="253"/>
      <c r="BT94" s="253"/>
      <c r="BU94" s="253"/>
      <c r="BV94" s="253"/>
      <c r="BW94" s="253"/>
      <c r="BX94" s="253"/>
      <c r="BY94" s="253"/>
      <c r="BZ94" s="253"/>
      <c r="CA94" s="253"/>
      <c r="CB94" s="253"/>
      <c r="CC94" s="253"/>
      <c r="CD94" s="253"/>
      <c r="CE94" s="253"/>
      <c r="CF94" s="253"/>
      <c r="CG94" s="253"/>
      <c r="CH94" s="253"/>
      <c r="CI94" s="253"/>
      <c r="CJ94" s="253"/>
      <c r="CK94" s="253"/>
      <c r="CL94" s="253"/>
      <c r="CM94" s="253"/>
      <c r="CN94" s="253"/>
      <c r="CO94" s="253"/>
      <c r="CP94" s="253"/>
      <c r="CQ94" s="253"/>
      <c r="CR94" s="253"/>
      <c r="CS94" s="253"/>
      <c r="CT94" s="253"/>
      <c r="CU94" s="253"/>
      <c r="CV94" s="253"/>
      <c r="CW94" s="253"/>
      <c r="CX94" s="253"/>
      <c r="CY94" s="253"/>
      <c r="CZ94" s="253"/>
      <c r="DA94" s="253"/>
      <c r="DB94" s="253"/>
      <c r="DC94" s="253"/>
      <c r="DD94" s="253"/>
      <c r="DE94" s="253"/>
      <c r="DF94" s="253"/>
      <c r="DG94" s="253"/>
      <c r="DH94" s="253"/>
      <c r="DI94" s="253"/>
      <c r="DJ94" s="253"/>
      <c r="DK94" s="253"/>
      <c r="DL94" s="253"/>
      <c r="DM94" s="253"/>
      <c r="DN94" s="253"/>
      <c r="DO94" s="253"/>
      <c r="DP94" s="253"/>
      <c r="DQ94" s="253"/>
      <c r="DR94" s="253"/>
      <c r="DS94" s="253"/>
      <c r="DT94" s="253"/>
      <c r="DU94" s="253"/>
      <c r="DV94" s="253"/>
      <c r="DW94" s="253"/>
      <c r="DX94" s="253"/>
      <c r="DY94" s="253"/>
      <c r="DZ94" s="253"/>
      <c r="EA94" s="253"/>
      <c r="EB94" s="253"/>
      <c r="EC94" s="253"/>
      <c r="ED94" s="253"/>
      <c r="EE94" s="253"/>
      <c r="EF94" s="253"/>
      <c r="EG94" s="253"/>
      <c r="EH94" s="253"/>
      <c r="EI94" s="253"/>
      <c r="EJ94" s="253"/>
      <c r="EK94" s="253"/>
      <c r="EL94" s="253"/>
      <c r="EM94" s="253"/>
      <c r="EN94" s="253"/>
      <c r="EO94" s="253"/>
      <c r="EP94" s="253"/>
      <c r="EQ94" s="253"/>
      <c r="ER94" s="253"/>
      <c r="ES94" s="253"/>
      <c r="ET94" s="253"/>
      <c r="EU94" s="253"/>
      <c r="EV94" s="253"/>
      <c r="EW94" s="253"/>
      <c r="EX94" s="253"/>
      <c r="EY94" s="253"/>
      <c r="EZ94" s="253"/>
      <c r="FA94" s="253"/>
      <c r="FB94" s="253"/>
      <c r="FC94" s="253"/>
      <c r="FD94" s="253"/>
      <c r="FE94" s="253"/>
      <c r="FF94" s="253"/>
      <c r="FG94" s="253"/>
      <c r="FH94" s="253"/>
      <c r="FI94" s="253"/>
      <c r="FJ94" s="253"/>
      <c r="FK94" s="253"/>
      <c r="FL94" s="253"/>
      <c r="FM94" s="253"/>
      <c r="FN94" s="253"/>
      <c r="FO94" s="253"/>
      <c r="FP94" s="253"/>
      <c r="FQ94" s="256"/>
      <c r="FR94" s="257" t="s">
        <v>1062</v>
      </c>
      <c r="FS94" s="258" t="s">
        <v>389</v>
      </c>
      <c r="FT94" s="258" t="s">
        <v>864</v>
      </c>
      <c r="FU94" s="258" t="s">
        <v>432</v>
      </c>
      <c r="FV94" s="259">
        <f t="shared" si="3"/>
        <v>0</v>
      </c>
      <c r="FW94" s="260" t="s">
        <v>433</v>
      </c>
    </row>
    <row r="95" spans="1:179" s="260" customFormat="1">
      <c r="A95" s="251" t="s">
        <v>417</v>
      </c>
      <c r="B95" s="251" t="s">
        <v>385</v>
      </c>
      <c r="C95" s="251" t="s">
        <v>411</v>
      </c>
      <c r="D95" s="251" t="s">
        <v>1</v>
      </c>
      <c r="E95" s="252" t="s">
        <v>984</v>
      </c>
      <c r="F95" s="251" t="s">
        <v>388</v>
      </c>
      <c r="G95" s="251" t="s">
        <v>1090</v>
      </c>
      <c r="H95" s="253"/>
      <c r="I95" s="253"/>
      <c r="J95" s="253"/>
      <c r="K95" s="253"/>
      <c r="L95" s="253"/>
      <c r="M95" s="253"/>
      <c r="N95" s="253"/>
      <c r="O95" s="253"/>
      <c r="P95" s="253"/>
      <c r="Q95" s="253"/>
      <c r="R95" s="253"/>
      <c r="S95" s="253"/>
      <c r="T95" s="253"/>
      <c r="U95" s="253"/>
      <c r="V95" s="253"/>
      <c r="W95" s="253"/>
      <c r="X95" s="253"/>
      <c r="Y95" s="253"/>
      <c r="Z95" s="253"/>
      <c r="AA95" s="253"/>
      <c r="AB95" s="253"/>
      <c r="AC95" s="253"/>
      <c r="AD95" s="253"/>
      <c r="AE95" s="253"/>
      <c r="AF95" s="253"/>
      <c r="AG95" s="253"/>
      <c r="AH95" s="253"/>
      <c r="AI95" s="253"/>
      <c r="AJ95" s="253"/>
      <c r="AK95" s="253"/>
      <c r="AL95" s="253"/>
      <c r="AM95" s="253"/>
      <c r="AN95" s="253"/>
      <c r="AO95" s="253"/>
      <c r="AP95" s="253"/>
      <c r="AQ95" s="253"/>
      <c r="AR95" s="253"/>
      <c r="AS95" s="253"/>
      <c r="AT95" s="253"/>
      <c r="AU95" s="253"/>
      <c r="AV95" s="253"/>
      <c r="AW95" s="255">
        <f>20-20+20-20</f>
        <v>0</v>
      </c>
      <c r="AX95" s="253"/>
      <c r="AY95" s="253"/>
      <c r="AZ95" s="253"/>
      <c r="BA95" s="253"/>
      <c r="BB95" s="253"/>
      <c r="BC95" s="253"/>
      <c r="BD95" s="253"/>
      <c r="BE95" s="253"/>
      <c r="BF95" s="253"/>
      <c r="BG95" s="253"/>
      <c r="BH95" s="253"/>
      <c r="BI95" s="253"/>
      <c r="BJ95" s="253"/>
      <c r="BK95" s="253"/>
      <c r="BL95" s="253"/>
      <c r="BM95" s="253"/>
      <c r="BN95" s="253"/>
      <c r="BO95" s="253"/>
      <c r="BP95" s="253"/>
      <c r="BQ95" s="253"/>
      <c r="BR95" s="253"/>
      <c r="BS95" s="253"/>
      <c r="BT95" s="253"/>
      <c r="BU95" s="253"/>
      <c r="BV95" s="253"/>
      <c r="BW95" s="253"/>
      <c r="BX95" s="253"/>
      <c r="BY95" s="253"/>
      <c r="BZ95" s="253"/>
      <c r="CA95" s="253"/>
      <c r="CB95" s="253"/>
      <c r="CC95" s="253"/>
      <c r="CD95" s="253"/>
      <c r="CE95" s="253"/>
      <c r="CF95" s="253"/>
      <c r="CG95" s="253"/>
      <c r="CH95" s="253"/>
      <c r="CI95" s="253"/>
      <c r="CJ95" s="253"/>
      <c r="CK95" s="253"/>
      <c r="CL95" s="253"/>
      <c r="CM95" s="253"/>
      <c r="CN95" s="253"/>
      <c r="CO95" s="253"/>
      <c r="CP95" s="253"/>
      <c r="CQ95" s="253"/>
      <c r="CR95" s="253"/>
      <c r="CS95" s="253"/>
      <c r="CT95" s="253"/>
      <c r="CU95" s="253"/>
      <c r="CV95" s="253"/>
      <c r="CW95" s="253"/>
      <c r="CX95" s="253"/>
      <c r="CY95" s="253"/>
      <c r="CZ95" s="253"/>
      <c r="DA95" s="253"/>
      <c r="DB95" s="253"/>
      <c r="DC95" s="253"/>
      <c r="DD95" s="253"/>
      <c r="DE95" s="253"/>
      <c r="DF95" s="253"/>
      <c r="DG95" s="253"/>
      <c r="DH95" s="253"/>
      <c r="DI95" s="253"/>
      <c r="DJ95" s="253"/>
      <c r="DK95" s="253"/>
      <c r="DL95" s="253"/>
      <c r="DM95" s="253"/>
      <c r="DN95" s="253"/>
      <c r="DO95" s="253"/>
      <c r="DP95" s="253"/>
      <c r="DQ95" s="253"/>
      <c r="DR95" s="253"/>
      <c r="DS95" s="253"/>
      <c r="DT95" s="253"/>
      <c r="DU95" s="253"/>
      <c r="DV95" s="253"/>
      <c r="DW95" s="253"/>
      <c r="DX95" s="253"/>
      <c r="DY95" s="253"/>
      <c r="DZ95" s="253"/>
      <c r="EA95" s="253"/>
      <c r="EB95" s="253"/>
      <c r="EC95" s="253"/>
      <c r="ED95" s="253"/>
      <c r="EE95" s="253"/>
      <c r="EF95" s="253"/>
      <c r="EG95" s="253"/>
      <c r="EH95" s="253"/>
      <c r="EI95" s="253"/>
      <c r="EJ95" s="253"/>
      <c r="EK95" s="253"/>
      <c r="EL95" s="253"/>
      <c r="EM95" s="253"/>
      <c r="EN95" s="253"/>
      <c r="EO95" s="253"/>
      <c r="EP95" s="253"/>
      <c r="EQ95" s="253"/>
      <c r="ER95" s="253"/>
      <c r="ES95" s="253"/>
      <c r="ET95" s="253"/>
      <c r="EU95" s="253"/>
      <c r="EV95" s="253"/>
      <c r="EW95" s="253"/>
      <c r="EX95" s="253"/>
      <c r="EY95" s="253"/>
      <c r="EZ95" s="253"/>
      <c r="FA95" s="253"/>
      <c r="FB95" s="253"/>
      <c r="FC95" s="253"/>
      <c r="FD95" s="253"/>
      <c r="FE95" s="253"/>
      <c r="FF95" s="253"/>
      <c r="FG95" s="253"/>
      <c r="FH95" s="253"/>
      <c r="FI95" s="253"/>
      <c r="FJ95" s="253"/>
      <c r="FK95" s="253"/>
      <c r="FL95" s="253"/>
      <c r="FM95" s="253"/>
      <c r="FN95" s="253"/>
      <c r="FO95" s="253"/>
      <c r="FP95" s="253"/>
      <c r="FQ95" s="256"/>
      <c r="FR95" s="257" t="s">
        <v>1062</v>
      </c>
      <c r="FS95" s="258" t="s">
        <v>389</v>
      </c>
      <c r="FT95" s="258" t="s">
        <v>985</v>
      </c>
      <c r="FU95" s="258" t="s">
        <v>420</v>
      </c>
      <c r="FV95" s="259">
        <f t="shared" si="3"/>
        <v>0</v>
      </c>
      <c r="FW95" s="260" t="s">
        <v>421</v>
      </c>
    </row>
    <row r="96" spans="1:179" s="260" customFormat="1">
      <c r="A96" s="251" t="s">
        <v>393</v>
      </c>
      <c r="B96" s="251" t="s">
        <v>385</v>
      </c>
      <c r="C96" s="251" t="s">
        <v>411</v>
      </c>
      <c r="D96" s="251" t="s">
        <v>291</v>
      </c>
      <c r="E96" s="252" t="s">
        <v>447</v>
      </c>
      <c r="F96" s="251" t="s">
        <v>388</v>
      </c>
      <c r="G96" s="251" t="s">
        <v>1091</v>
      </c>
      <c r="H96" s="253"/>
      <c r="I96" s="253"/>
      <c r="J96" s="253"/>
      <c r="K96" s="255">
        <f>100-100</f>
        <v>0</v>
      </c>
      <c r="L96" s="253"/>
      <c r="M96" s="253"/>
      <c r="N96" s="253"/>
      <c r="O96" s="253"/>
      <c r="P96" s="253"/>
      <c r="Q96" s="253"/>
      <c r="R96" s="253"/>
      <c r="S96" s="253"/>
      <c r="T96" s="253"/>
      <c r="U96" s="253"/>
      <c r="V96" s="253"/>
      <c r="W96" s="253"/>
      <c r="X96" s="253"/>
      <c r="Y96" s="253"/>
      <c r="Z96" s="253"/>
      <c r="AA96" s="253"/>
      <c r="AB96" s="253"/>
      <c r="AC96" s="253"/>
      <c r="AD96" s="253"/>
      <c r="AE96" s="253"/>
      <c r="AF96" s="253"/>
      <c r="AG96" s="253"/>
      <c r="AH96" s="253"/>
      <c r="AI96" s="253"/>
      <c r="AJ96" s="253"/>
      <c r="AK96" s="255">
        <f>100-100</f>
        <v>0</v>
      </c>
      <c r="AL96" s="253"/>
      <c r="AM96" s="253"/>
      <c r="AN96" s="253"/>
      <c r="AO96" s="253"/>
      <c r="AP96" s="253"/>
      <c r="AQ96" s="253"/>
      <c r="AR96" s="253"/>
      <c r="AS96" s="253"/>
      <c r="AT96" s="253"/>
      <c r="AU96" s="253"/>
      <c r="AV96" s="253"/>
      <c r="AW96" s="253"/>
      <c r="AX96" s="253"/>
      <c r="AY96" s="253"/>
      <c r="AZ96" s="253"/>
      <c r="BA96" s="253"/>
      <c r="BB96" s="253"/>
      <c r="BC96" s="253"/>
      <c r="BD96" s="253"/>
      <c r="BE96" s="253"/>
      <c r="BF96" s="253"/>
      <c r="BG96" s="253"/>
      <c r="BH96" s="253"/>
      <c r="BI96" s="253"/>
      <c r="BJ96" s="253"/>
      <c r="BK96" s="253"/>
      <c r="BL96" s="253"/>
      <c r="BM96" s="253"/>
      <c r="BN96" s="253"/>
      <c r="BO96" s="253"/>
      <c r="BP96" s="253"/>
      <c r="BQ96" s="253"/>
      <c r="BR96" s="253"/>
      <c r="BS96" s="253"/>
      <c r="BT96" s="253"/>
      <c r="BU96" s="253"/>
      <c r="BV96" s="253"/>
      <c r="BW96" s="253"/>
      <c r="BX96" s="253"/>
      <c r="BY96" s="253"/>
      <c r="BZ96" s="253"/>
      <c r="CA96" s="253"/>
      <c r="CB96" s="253"/>
      <c r="CC96" s="253"/>
      <c r="CD96" s="253"/>
      <c r="CE96" s="253"/>
      <c r="CF96" s="253"/>
      <c r="CG96" s="253"/>
      <c r="CH96" s="253"/>
      <c r="CI96" s="253"/>
      <c r="CJ96" s="253"/>
      <c r="CK96" s="253"/>
      <c r="CL96" s="253"/>
      <c r="CM96" s="253"/>
      <c r="CN96" s="253"/>
      <c r="CO96" s="253"/>
      <c r="CP96" s="253"/>
      <c r="CQ96" s="253"/>
      <c r="CR96" s="253"/>
      <c r="CS96" s="253"/>
      <c r="CT96" s="253"/>
      <c r="CU96" s="253"/>
      <c r="CV96" s="253"/>
      <c r="CW96" s="253"/>
      <c r="CX96" s="253"/>
      <c r="CY96" s="253"/>
      <c r="CZ96" s="253"/>
      <c r="DA96" s="253"/>
      <c r="DB96" s="253"/>
      <c r="DC96" s="253"/>
      <c r="DD96" s="253"/>
      <c r="DE96" s="253"/>
      <c r="DF96" s="253"/>
      <c r="DG96" s="253"/>
      <c r="DH96" s="253"/>
      <c r="DI96" s="253"/>
      <c r="DJ96" s="253"/>
      <c r="DK96" s="253"/>
      <c r="DL96" s="253"/>
      <c r="DM96" s="253"/>
      <c r="DN96" s="253"/>
      <c r="DO96" s="253"/>
      <c r="DP96" s="253"/>
      <c r="DQ96" s="253"/>
      <c r="DR96" s="253"/>
      <c r="DS96" s="253"/>
      <c r="DT96" s="253"/>
      <c r="DU96" s="253"/>
      <c r="DV96" s="253"/>
      <c r="DW96" s="253"/>
      <c r="DX96" s="253"/>
      <c r="DY96" s="253"/>
      <c r="DZ96" s="253"/>
      <c r="EA96" s="253"/>
      <c r="EB96" s="253"/>
      <c r="EC96" s="253"/>
      <c r="ED96" s="253"/>
      <c r="EE96" s="253"/>
      <c r="EF96" s="253"/>
      <c r="EG96" s="253"/>
      <c r="EH96" s="253"/>
      <c r="EI96" s="253"/>
      <c r="EJ96" s="253"/>
      <c r="EK96" s="253"/>
      <c r="EL96" s="253"/>
      <c r="EM96" s="253"/>
      <c r="EN96" s="253"/>
      <c r="EO96" s="253"/>
      <c r="EP96" s="253"/>
      <c r="EQ96" s="253"/>
      <c r="ER96" s="253"/>
      <c r="ES96" s="253"/>
      <c r="ET96" s="253"/>
      <c r="EU96" s="253"/>
      <c r="EV96" s="253"/>
      <c r="EW96" s="253"/>
      <c r="EX96" s="253"/>
      <c r="EY96" s="253"/>
      <c r="EZ96" s="253"/>
      <c r="FA96" s="253"/>
      <c r="FB96" s="253"/>
      <c r="FC96" s="253"/>
      <c r="FD96" s="253"/>
      <c r="FE96" s="253"/>
      <c r="FF96" s="253"/>
      <c r="FG96" s="253"/>
      <c r="FH96" s="253"/>
      <c r="FI96" s="253"/>
      <c r="FJ96" s="253"/>
      <c r="FK96" s="253"/>
      <c r="FL96" s="253"/>
      <c r="FM96" s="253"/>
      <c r="FN96" s="253"/>
      <c r="FO96" s="253"/>
      <c r="FP96" s="253"/>
      <c r="FQ96" s="256"/>
      <c r="FR96" s="257" t="s">
        <v>1062</v>
      </c>
      <c r="FS96" s="258" t="s">
        <v>389</v>
      </c>
      <c r="FT96" s="258" t="s">
        <v>448</v>
      </c>
      <c r="FU96" s="258" t="s">
        <v>449</v>
      </c>
      <c r="FV96" s="259">
        <f t="shared" si="3"/>
        <v>0</v>
      </c>
      <c r="FW96" s="260" t="s">
        <v>433</v>
      </c>
    </row>
    <row r="97" spans="1:179" s="260" customFormat="1">
      <c r="A97" s="251" t="s">
        <v>393</v>
      </c>
      <c r="B97" s="251" t="s">
        <v>385</v>
      </c>
      <c r="C97" s="251" t="s">
        <v>411</v>
      </c>
      <c r="D97" s="251" t="s">
        <v>1</v>
      </c>
      <c r="E97" s="252" t="s">
        <v>447</v>
      </c>
      <c r="F97" s="251" t="s">
        <v>388</v>
      </c>
      <c r="G97" s="251" t="s">
        <v>1091</v>
      </c>
      <c r="H97" s="253"/>
      <c r="I97" s="253"/>
      <c r="J97" s="253"/>
      <c r="K97" s="253"/>
      <c r="L97" s="253"/>
      <c r="M97" s="253"/>
      <c r="N97" s="253"/>
      <c r="O97" s="253"/>
      <c r="P97" s="253"/>
      <c r="Q97" s="253"/>
      <c r="R97" s="253"/>
      <c r="S97" s="253"/>
      <c r="T97" s="253"/>
      <c r="U97" s="253"/>
      <c r="V97" s="253"/>
      <c r="W97" s="253"/>
      <c r="X97" s="253"/>
      <c r="Y97" s="253"/>
      <c r="Z97" s="253"/>
      <c r="AA97" s="253"/>
      <c r="AB97" s="253"/>
      <c r="AC97" s="253"/>
      <c r="AD97" s="253"/>
      <c r="AE97" s="253"/>
      <c r="AF97" s="253"/>
      <c r="AG97" s="255">
        <f>100-100</f>
        <v>0</v>
      </c>
      <c r="AH97" s="253"/>
      <c r="AI97" s="253"/>
      <c r="AJ97" s="253"/>
      <c r="AK97" s="253"/>
      <c r="AL97" s="253"/>
      <c r="AM97" s="253"/>
      <c r="AN97" s="253"/>
      <c r="AO97" s="253"/>
      <c r="AP97" s="253"/>
      <c r="AQ97" s="253"/>
      <c r="AR97" s="253"/>
      <c r="AS97" s="253"/>
      <c r="AT97" s="253"/>
      <c r="AU97" s="253"/>
      <c r="AV97" s="253"/>
      <c r="AW97" s="255">
        <f>100-100+20-20</f>
        <v>0</v>
      </c>
      <c r="AX97" s="253"/>
      <c r="AY97" s="253"/>
      <c r="AZ97" s="253"/>
      <c r="BA97" s="253"/>
      <c r="BB97" s="253"/>
      <c r="BC97" s="253"/>
      <c r="BD97" s="253"/>
      <c r="BE97" s="253"/>
      <c r="BF97" s="253"/>
      <c r="BG97" s="253"/>
      <c r="BH97" s="253"/>
      <c r="BI97" s="253"/>
      <c r="BJ97" s="253"/>
      <c r="BK97" s="253"/>
      <c r="BL97" s="253"/>
      <c r="BM97" s="253"/>
      <c r="BN97" s="253"/>
      <c r="BO97" s="253"/>
      <c r="BP97" s="253"/>
      <c r="BQ97" s="253"/>
      <c r="BR97" s="253"/>
      <c r="BS97" s="253"/>
      <c r="BT97" s="253"/>
      <c r="BU97" s="253"/>
      <c r="BV97" s="253"/>
      <c r="BW97" s="253"/>
      <c r="BX97" s="253"/>
      <c r="BY97" s="253"/>
      <c r="BZ97" s="253"/>
      <c r="CA97" s="253"/>
      <c r="CB97" s="253"/>
      <c r="CC97" s="253"/>
      <c r="CD97" s="253"/>
      <c r="CE97" s="253"/>
      <c r="CF97" s="253"/>
      <c r="CG97" s="253"/>
      <c r="CH97" s="253"/>
      <c r="CI97" s="253"/>
      <c r="CJ97" s="253"/>
      <c r="CK97" s="253"/>
      <c r="CL97" s="253"/>
      <c r="CM97" s="253"/>
      <c r="CN97" s="253"/>
      <c r="CO97" s="253"/>
      <c r="CP97" s="253"/>
      <c r="CQ97" s="253"/>
      <c r="CR97" s="253"/>
      <c r="CS97" s="253"/>
      <c r="CT97" s="253"/>
      <c r="CU97" s="253"/>
      <c r="CV97" s="253"/>
      <c r="CW97" s="253"/>
      <c r="CX97" s="253"/>
      <c r="CY97" s="253"/>
      <c r="CZ97" s="253"/>
      <c r="DA97" s="253"/>
      <c r="DB97" s="253"/>
      <c r="DC97" s="253"/>
      <c r="DD97" s="253"/>
      <c r="DE97" s="253"/>
      <c r="DF97" s="253"/>
      <c r="DG97" s="253"/>
      <c r="DH97" s="253"/>
      <c r="DI97" s="253"/>
      <c r="DJ97" s="253"/>
      <c r="DK97" s="253"/>
      <c r="DL97" s="253"/>
      <c r="DM97" s="253"/>
      <c r="DN97" s="253"/>
      <c r="DO97" s="253"/>
      <c r="DP97" s="253"/>
      <c r="DQ97" s="253"/>
      <c r="DR97" s="253"/>
      <c r="DS97" s="253"/>
      <c r="DT97" s="253"/>
      <c r="DU97" s="253"/>
      <c r="DV97" s="253"/>
      <c r="DW97" s="253"/>
      <c r="DX97" s="253"/>
      <c r="DY97" s="253"/>
      <c r="DZ97" s="253"/>
      <c r="EA97" s="253"/>
      <c r="EB97" s="253"/>
      <c r="EC97" s="253"/>
      <c r="ED97" s="253"/>
      <c r="EE97" s="253"/>
      <c r="EF97" s="253"/>
      <c r="EG97" s="253"/>
      <c r="EH97" s="253"/>
      <c r="EI97" s="253"/>
      <c r="EJ97" s="253"/>
      <c r="EK97" s="253"/>
      <c r="EL97" s="253"/>
      <c r="EM97" s="253"/>
      <c r="EN97" s="253"/>
      <c r="EO97" s="253"/>
      <c r="EP97" s="253"/>
      <c r="EQ97" s="253"/>
      <c r="ER97" s="253"/>
      <c r="ES97" s="253"/>
      <c r="ET97" s="253"/>
      <c r="EU97" s="253"/>
      <c r="EV97" s="253"/>
      <c r="EW97" s="253"/>
      <c r="EX97" s="253"/>
      <c r="EY97" s="253"/>
      <c r="EZ97" s="253"/>
      <c r="FA97" s="253"/>
      <c r="FB97" s="253"/>
      <c r="FC97" s="253"/>
      <c r="FD97" s="253"/>
      <c r="FE97" s="253"/>
      <c r="FF97" s="253"/>
      <c r="FG97" s="253"/>
      <c r="FH97" s="253"/>
      <c r="FI97" s="253"/>
      <c r="FJ97" s="253"/>
      <c r="FK97" s="253"/>
      <c r="FL97" s="253"/>
      <c r="FM97" s="253"/>
      <c r="FN97" s="253"/>
      <c r="FO97" s="253"/>
      <c r="FP97" s="253"/>
      <c r="FQ97" s="256"/>
      <c r="FR97" s="257" t="s">
        <v>1062</v>
      </c>
      <c r="FS97" s="258" t="s">
        <v>389</v>
      </c>
      <c r="FT97" s="258" t="s">
        <v>448</v>
      </c>
      <c r="FU97" s="258" t="s">
        <v>449</v>
      </c>
      <c r="FV97" s="259">
        <f t="shared" si="3"/>
        <v>0</v>
      </c>
      <c r="FW97" s="260" t="s">
        <v>433</v>
      </c>
    </row>
    <row r="98" spans="1:179" s="260" customFormat="1">
      <c r="A98" s="251"/>
      <c r="B98" s="251"/>
      <c r="C98" s="251"/>
      <c r="D98" s="251"/>
      <c r="E98" s="252"/>
      <c r="F98" s="251"/>
      <c r="G98" s="251"/>
      <c r="H98" s="253"/>
      <c r="I98" s="253"/>
      <c r="J98" s="253"/>
      <c r="K98" s="253"/>
      <c r="L98" s="253"/>
      <c r="M98" s="253"/>
      <c r="N98" s="253"/>
      <c r="O98" s="253"/>
      <c r="P98" s="253"/>
      <c r="Q98" s="253"/>
      <c r="R98" s="253"/>
      <c r="S98" s="253"/>
      <c r="T98" s="253"/>
      <c r="U98" s="253"/>
      <c r="V98" s="253"/>
      <c r="W98" s="253"/>
      <c r="X98" s="253"/>
      <c r="Y98" s="253"/>
      <c r="Z98" s="253"/>
      <c r="AA98" s="253"/>
      <c r="AB98" s="253"/>
      <c r="AC98" s="253"/>
      <c r="AD98" s="253"/>
      <c r="AE98" s="253"/>
      <c r="AF98" s="253"/>
      <c r="AG98" s="306"/>
      <c r="AH98" s="253"/>
      <c r="AI98" s="253"/>
      <c r="AJ98" s="253"/>
      <c r="AK98" s="253"/>
      <c r="AL98" s="253"/>
      <c r="AM98" s="253"/>
      <c r="AN98" s="253"/>
      <c r="AO98" s="253"/>
      <c r="AP98" s="253"/>
      <c r="AQ98" s="253"/>
      <c r="AR98" s="253"/>
      <c r="AS98" s="253"/>
      <c r="AT98" s="253"/>
      <c r="AU98" s="253"/>
      <c r="AV98" s="253"/>
      <c r="AW98" s="329"/>
      <c r="AX98" s="253"/>
      <c r="AY98" s="253"/>
      <c r="AZ98" s="253"/>
      <c r="BA98" s="253"/>
      <c r="BB98" s="253"/>
      <c r="BC98" s="253"/>
      <c r="BD98" s="253"/>
      <c r="BE98" s="253"/>
      <c r="BF98" s="253"/>
      <c r="BG98" s="253"/>
      <c r="BH98" s="253"/>
      <c r="BI98" s="253"/>
      <c r="BJ98" s="253"/>
      <c r="BK98" s="253"/>
      <c r="BL98" s="253"/>
      <c r="BM98" s="253"/>
      <c r="BN98" s="253"/>
      <c r="BO98" s="253"/>
      <c r="BP98" s="253"/>
      <c r="BQ98" s="253"/>
      <c r="BR98" s="253"/>
      <c r="BS98" s="253"/>
      <c r="BT98" s="253"/>
      <c r="BU98" s="253"/>
      <c r="BV98" s="253"/>
      <c r="BW98" s="253"/>
      <c r="BX98" s="253"/>
      <c r="BY98" s="253"/>
      <c r="BZ98" s="253"/>
      <c r="CA98" s="253"/>
      <c r="CB98" s="253"/>
      <c r="CC98" s="253"/>
      <c r="CD98" s="253"/>
      <c r="CE98" s="253"/>
      <c r="CF98" s="253"/>
      <c r="CG98" s="253"/>
      <c r="CH98" s="253"/>
      <c r="CI98" s="253"/>
      <c r="CJ98" s="253"/>
      <c r="CK98" s="253"/>
      <c r="CL98" s="253"/>
      <c r="CM98" s="253"/>
      <c r="CN98" s="253"/>
      <c r="CO98" s="253"/>
      <c r="CP98" s="253"/>
      <c r="CQ98" s="253"/>
      <c r="CR98" s="253"/>
      <c r="CS98" s="253"/>
      <c r="CT98" s="253"/>
      <c r="CU98" s="253"/>
      <c r="CV98" s="253"/>
      <c r="CW98" s="253"/>
      <c r="CX98" s="253"/>
      <c r="CY98" s="253"/>
      <c r="CZ98" s="253"/>
      <c r="DA98" s="253"/>
      <c r="DB98" s="253"/>
      <c r="DC98" s="253"/>
      <c r="DD98" s="253"/>
      <c r="DE98" s="253"/>
      <c r="DF98" s="253"/>
      <c r="DG98" s="253"/>
      <c r="DH98" s="253"/>
      <c r="DI98" s="253"/>
      <c r="DJ98" s="253"/>
      <c r="DK98" s="253"/>
      <c r="DL98" s="253"/>
      <c r="DM98" s="253"/>
      <c r="DN98" s="253"/>
      <c r="DO98" s="253"/>
      <c r="DP98" s="253"/>
      <c r="DQ98" s="253"/>
      <c r="DR98" s="253"/>
      <c r="DS98" s="253"/>
      <c r="DT98" s="253"/>
      <c r="DU98" s="253"/>
      <c r="DV98" s="253"/>
      <c r="DW98" s="253"/>
      <c r="DX98" s="253"/>
      <c r="DY98" s="253"/>
      <c r="DZ98" s="253"/>
      <c r="EA98" s="253"/>
      <c r="EB98" s="253"/>
      <c r="EC98" s="253"/>
      <c r="ED98" s="253"/>
      <c r="EE98" s="253"/>
      <c r="EF98" s="253"/>
      <c r="EG98" s="253"/>
      <c r="EH98" s="253"/>
      <c r="EI98" s="253"/>
      <c r="EJ98" s="253"/>
      <c r="EK98" s="253"/>
      <c r="EL98" s="253"/>
      <c r="EM98" s="253"/>
      <c r="EN98" s="253"/>
      <c r="EO98" s="253"/>
      <c r="EP98" s="253"/>
      <c r="EQ98" s="253"/>
      <c r="ER98" s="253"/>
      <c r="ES98" s="253"/>
      <c r="ET98" s="253"/>
      <c r="EU98" s="253"/>
      <c r="EV98" s="253"/>
      <c r="EW98" s="253"/>
      <c r="EX98" s="253"/>
      <c r="EY98" s="253"/>
      <c r="EZ98" s="253"/>
      <c r="FA98" s="253"/>
      <c r="FB98" s="253"/>
      <c r="FC98" s="253"/>
      <c r="FD98" s="253"/>
      <c r="FE98" s="253"/>
      <c r="FF98" s="253"/>
      <c r="FG98" s="253"/>
      <c r="FH98" s="253"/>
      <c r="FI98" s="253"/>
      <c r="FJ98" s="253"/>
      <c r="FK98" s="253"/>
      <c r="FL98" s="253"/>
      <c r="FM98" s="253"/>
      <c r="FN98" s="253"/>
      <c r="FO98" s="253"/>
      <c r="FP98" s="253"/>
      <c r="FQ98" s="256"/>
      <c r="FR98" s="257"/>
      <c r="FS98" s="258"/>
      <c r="FT98" s="258"/>
      <c r="FU98" s="258"/>
      <c r="FV98" s="259"/>
    </row>
    <row r="99" spans="1:179" s="334" customFormat="1">
      <c r="A99" s="326"/>
      <c r="B99" s="326"/>
      <c r="C99" s="326"/>
      <c r="D99" s="326" t="s">
        <v>291</v>
      </c>
      <c r="E99" s="327" t="s">
        <v>933</v>
      </c>
      <c r="F99" s="326"/>
      <c r="G99" s="326"/>
      <c r="H99" s="328"/>
      <c r="I99" s="328"/>
      <c r="J99" s="328"/>
      <c r="K99" s="328"/>
      <c r="L99" s="328"/>
      <c r="M99" s="328"/>
      <c r="N99" s="328"/>
      <c r="O99" s="328"/>
      <c r="P99" s="328"/>
      <c r="Q99" s="328"/>
      <c r="R99" s="328"/>
      <c r="S99" s="328"/>
      <c r="T99" s="328"/>
      <c r="U99" s="328"/>
      <c r="V99" s="328"/>
      <c r="W99" s="328"/>
      <c r="X99" s="328"/>
      <c r="Y99" s="328"/>
      <c r="Z99" s="328"/>
      <c r="AA99" s="328"/>
      <c r="AB99" s="328"/>
      <c r="AC99" s="328"/>
      <c r="AD99" s="328"/>
      <c r="AE99" s="328"/>
      <c r="AF99" s="328"/>
      <c r="AG99" s="329"/>
      <c r="AH99" s="328"/>
      <c r="AI99" s="328"/>
      <c r="AJ99" s="328"/>
      <c r="AK99" s="328"/>
      <c r="AL99" s="328"/>
      <c r="AM99" s="328"/>
      <c r="AN99" s="328"/>
      <c r="AO99" s="328"/>
      <c r="AP99" s="328"/>
      <c r="AQ99" s="328"/>
      <c r="AR99" s="328"/>
      <c r="AS99" s="328"/>
      <c r="AT99" s="328"/>
      <c r="AU99" s="328"/>
      <c r="AV99" s="328"/>
      <c r="AW99" s="329"/>
      <c r="AX99" s="328"/>
      <c r="AY99" s="328"/>
      <c r="AZ99" s="328"/>
      <c r="BA99" s="328"/>
      <c r="BB99" s="328"/>
      <c r="BC99" s="328"/>
      <c r="BD99" s="328"/>
      <c r="BE99" s="328"/>
      <c r="BF99" s="328"/>
      <c r="BG99" s="328">
        <v>1580</v>
      </c>
      <c r="BH99" s="328"/>
      <c r="BI99" s="328"/>
      <c r="BJ99" s="328"/>
      <c r="BK99" s="328"/>
      <c r="BL99" s="328"/>
      <c r="BM99" s="328"/>
      <c r="BN99" s="328"/>
      <c r="BO99" s="328"/>
      <c r="BP99" s="328"/>
      <c r="BQ99" s="328"/>
      <c r="BR99" s="328"/>
      <c r="BS99" s="328"/>
      <c r="BT99" s="328"/>
      <c r="BU99" s="328"/>
      <c r="BV99" s="328"/>
      <c r="BW99" s="328"/>
      <c r="BX99" s="328"/>
      <c r="BY99" s="328"/>
      <c r="BZ99" s="328"/>
      <c r="CA99" s="328"/>
      <c r="CB99" s="328"/>
      <c r="CC99" s="328"/>
      <c r="CD99" s="328"/>
      <c r="CE99" s="328"/>
      <c r="CF99" s="328"/>
      <c r="CG99" s="328"/>
      <c r="CH99" s="328"/>
      <c r="CI99" s="328"/>
      <c r="CJ99" s="328"/>
      <c r="CK99" s="328"/>
      <c r="CL99" s="328"/>
      <c r="CM99" s="328"/>
      <c r="CN99" s="328"/>
      <c r="CO99" s="328"/>
      <c r="CP99" s="328"/>
      <c r="CQ99" s="328"/>
      <c r="CR99" s="328"/>
      <c r="CS99" s="328"/>
      <c r="CT99" s="328"/>
      <c r="CU99" s="328"/>
      <c r="CV99" s="328"/>
      <c r="CW99" s="328"/>
      <c r="CX99" s="328"/>
      <c r="CY99" s="328"/>
      <c r="CZ99" s="328"/>
      <c r="DA99" s="328"/>
      <c r="DB99" s="328"/>
      <c r="DC99" s="328"/>
      <c r="DD99" s="328"/>
      <c r="DE99" s="328"/>
      <c r="DF99" s="328"/>
      <c r="DG99" s="328"/>
      <c r="DH99" s="328"/>
      <c r="DI99" s="328"/>
      <c r="DJ99" s="328"/>
      <c r="DK99" s="328"/>
      <c r="DL99" s="328"/>
      <c r="DM99" s="328"/>
      <c r="DN99" s="328"/>
      <c r="DO99" s="328"/>
      <c r="DP99" s="328"/>
      <c r="DQ99" s="328"/>
      <c r="DR99" s="328"/>
      <c r="DS99" s="328"/>
      <c r="DT99" s="328"/>
      <c r="DU99" s="328"/>
      <c r="DV99" s="328"/>
      <c r="DW99" s="328"/>
      <c r="DX99" s="328"/>
      <c r="DY99" s="328"/>
      <c r="DZ99" s="328"/>
      <c r="EA99" s="328"/>
      <c r="EB99" s="328"/>
      <c r="EC99" s="328"/>
      <c r="ED99" s="328"/>
      <c r="EE99" s="328"/>
      <c r="EF99" s="328"/>
      <c r="EG99" s="328"/>
      <c r="EH99" s="328"/>
      <c r="EI99" s="328"/>
      <c r="EJ99" s="328"/>
      <c r="EK99" s="328"/>
      <c r="EL99" s="328"/>
      <c r="EM99" s="328"/>
      <c r="EN99" s="328"/>
      <c r="EO99" s="328"/>
      <c r="EP99" s="328"/>
      <c r="EQ99" s="328"/>
      <c r="ER99" s="328"/>
      <c r="ES99" s="328"/>
      <c r="ET99" s="328"/>
      <c r="EU99" s="328"/>
      <c r="EV99" s="328"/>
      <c r="EW99" s="328"/>
      <c r="EX99" s="328"/>
      <c r="EY99" s="328"/>
      <c r="EZ99" s="328"/>
      <c r="FA99" s="328"/>
      <c r="FB99" s="328"/>
      <c r="FC99" s="328"/>
      <c r="FD99" s="328"/>
      <c r="FE99" s="328"/>
      <c r="FF99" s="328"/>
      <c r="FG99" s="328"/>
      <c r="FH99" s="328"/>
      <c r="FI99" s="328"/>
      <c r="FJ99" s="328"/>
      <c r="FK99" s="328"/>
      <c r="FL99" s="328"/>
      <c r="FM99" s="328"/>
      <c r="FN99" s="328"/>
      <c r="FO99" s="328"/>
      <c r="FP99" s="328"/>
      <c r="FQ99" s="330"/>
      <c r="FR99" s="331"/>
      <c r="FS99" s="332"/>
      <c r="FT99" s="332"/>
      <c r="FU99" s="332"/>
      <c r="FV99" s="333">
        <f>SUM(H99:FP99)</f>
        <v>1580</v>
      </c>
    </row>
    <row r="100" spans="1:179" s="334" customFormat="1">
      <c r="A100" s="326"/>
      <c r="B100" s="326"/>
      <c r="C100" s="326"/>
      <c r="D100" s="326" t="s">
        <v>1</v>
      </c>
      <c r="E100" s="327" t="s">
        <v>933</v>
      </c>
      <c r="F100" s="326"/>
      <c r="G100" s="326"/>
      <c r="H100" s="328"/>
      <c r="I100" s="328"/>
      <c r="J100" s="328"/>
      <c r="K100" s="328"/>
      <c r="L100" s="328"/>
      <c r="M100" s="328"/>
      <c r="N100" s="328"/>
      <c r="O100" s="328"/>
      <c r="P100" s="328"/>
      <c r="Q100" s="328"/>
      <c r="R100" s="328"/>
      <c r="S100" s="328"/>
      <c r="T100" s="328"/>
      <c r="U100" s="328"/>
      <c r="V100" s="328"/>
      <c r="W100" s="328"/>
      <c r="X100" s="328"/>
      <c r="Y100" s="328"/>
      <c r="Z100" s="328"/>
      <c r="AA100" s="328"/>
      <c r="AB100" s="328"/>
      <c r="AC100" s="328"/>
      <c r="AD100" s="328"/>
      <c r="AE100" s="328"/>
      <c r="AF100" s="328"/>
      <c r="AG100" s="329"/>
      <c r="AH100" s="328"/>
      <c r="AI100" s="328"/>
      <c r="AJ100" s="328"/>
      <c r="AK100" s="328"/>
      <c r="AL100" s="328"/>
      <c r="AM100" s="328"/>
      <c r="AN100" s="328"/>
      <c r="AO100" s="328"/>
      <c r="AP100" s="328"/>
      <c r="AQ100" s="328"/>
      <c r="AR100" s="328"/>
      <c r="AS100" s="328"/>
      <c r="AT100" s="328"/>
      <c r="AU100" s="328"/>
      <c r="AV100" s="328"/>
      <c r="AW100" s="329">
        <v>1260</v>
      </c>
      <c r="AX100" s="328"/>
      <c r="AY100" s="328"/>
      <c r="AZ100" s="328"/>
      <c r="BA100" s="328"/>
      <c r="BB100" s="328"/>
      <c r="BC100" s="328"/>
      <c r="BD100" s="328"/>
      <c r="BE100" s="328"/>
      <c r="BF100" s="328"/>
      <c r="BG100" s="328"/>
      <c r="BH100" s="328"/>
      <c r="BI100" s="328"/>
      <c r="BJ100" s="328"/>
      <c r="BK100" s="328"/>
      <c r="BL100" s="328"/>
      <c r="BM100" s="328"/>
      <c r="BN100" s="328">
        <v>50</v>
      </c>
      <c r="BO100" s="328"/>
      <c r="BP100" s="328">
        <v>180</v>
      </c>
      <c r="BQ100" s="328">
        <v>200</v>
      </c>
      <c r="BR100" s="328">
        <v>60</v>
      </c>
      <c r="BS100" s="328"/>
      <c r="BT100" s="328"/>
      <c r="BU100" s="328"/>
      <c r="BV100" s="328">
        <v>32</v>
      </c>
      <c r="BW100" s="328"/>
      <c r="BX100" s="328">
        <v>30</v>
      </c>
      <c r="BY100" s="328"/>
      <c r="BZ100" s="328"/>
      <c r="CA100" s="328"/>
      <c r="CB100" s="328">
        <v>129</v>
      </c>
      <c r="CC100" s="328">
        <v>12</v>
      </c>
      <c r="CD100" s="328">
        <v>170</v>
      </c>
      <c r="CE100" s="328">
        <v>190</v>
      </c>
      <c r="CF100" s="328">
        <v>4</v>
      </c>
      <c r="CG100" s="328">
        <v>20</v>
      </c>
      <c r="CH100" s="328"/>
      <c r="CI100" s="328"/>
      <c r="CJ100" s="328"/>
      <c r="CK100" s="328">
        <v>30</v>
      </c>
      <c r="CL100" s="328">
        <v>10</v>
      </c>
      <c r="CM100" s="328"/>
      <c r="CN100" s="328">
        <v>60</v>
      </c>
      <c r="CO100" s="328"/>
      <c r="CP100" s="328"/>
      <c r="CQ100" s="328"/>
      <c r="CR100" s="328"/>
      <c r="CS100" s="328"/>
      <c r="CT100" s="328"/>
      <c r="CU100" s="328"/>
      <c r="CV100" s="328"/>
      <c r="CW100" s="328">
        <v>20</v>
      </c>
      <c r="CX100" s="328"/>
      <c r="CY100" s="328"/>
      <c r="CZ100" s="328"/>
      <c r="DA100" s="328"/>
      <c r="DB100" s="328">
        <v>10</v>
      </c>
      <c r="DC100" s="328">
        <v>80</v>
      </c>
      <c r="DD100" s="328"/>
      <c r="DE100" s="328"/>
      <c r="DF100" s="328"/>
      <c r="DG100" s="328">
        <v>10</v>
      </c>
      <c r="DH100" s="328"/>
      <c r="DI100" s="328"/>
      <c r="DJ100" s="328"/>
      <c r="DK100" s="328"/>
      <c r="DL100" s="328"/>
      <c r="DM100" s="328"/>
      <c r="DN100" s="328"/>
      <c r="DO100" s="328"/>
      <c r="DP100" s="328"/>
      <c r="DQ100" s="328"/>
      <c r="DR100" s="328"/>
      <c r="DS100" s="328"/>
      <c r="DT100" s="328"/>
      <c r="DU100" s="328"/>
      <c r="DV100" s="328"/>
      <c r="DW100" s="328"/>
      <c r="DX100" s="328"/>
      <c r="DY100" s="328"/>
      <c r="DZ100" s="328"/>
      <c r="EA100" s="328"/>
      <c r="EB100" s="328"/>
      <c r="EC100" s="328"/>
      <c r="ED100" s="328"/>
      <c r="EE100" s="328"/>
      <c r="EF100" s="328"/>
      <c r="EG100" s="328"/>
      <c r="EH100" s="328"/>
      <c r="EI100" s="328"/>
      <c r="EJ100" s="328"/>
      <c r="EK100" s="328"/>
      <c r="EL100" s="328"/>
      <c r="EM100" s="328"/>
      <c r="EN100" s="328"/>
      <c r="EO100" s="328"/>
      <c r="EP100" s="328"/>
      <c r="EQ100" s="328"/>
      <c r="ER100" s="328"/>
      <c r="ES100" s="328"/>
      <c r="ET100" s="328"/>
      <c r="EU100" s="328"/>
      <c r="EV100" s="328">
        <v>40</v>
      </c>
      <c r="EW100" s="328"/>
      <c r="EX100" s="328"/>
      <c r="EY100" s="328"/>
      <c r="EZ100" s="328">
        <v>40</v>
      </c>
      <c r="FA100" s="328"/>
      <c r="FB100" s="328"/>
      <c r="FC100" s="328"/>
      <c r="FD100" s="328"/>
      <c r="FE100" s="328"/>
      <c r="FF100" s="328"/>
      <c r="FG100" s="328"/>
      <c r="FH100" s="328"/>
      <c r="FI100" s="328"/>
      <c r="FJ100" s="328"/>
      <c r="FK100" s="328"/>
      <c r="FL100" s="328"/>
      <c r="FM100" s="328"/>
      <c r="FN100" s="328"/>
      <c r="FO100" s="328"/>
      <c r="FP100" s="328"/>
      <c r="FQ100" s="330"/>
      <c r="FR100" s="331"/>
      <c r="FS100" s="332"/>
      <c r="FT100" s="332"/>
      <c r="FU100" s="332"/>
      <c r="FV100" s="333">
        <f>SUM(H100:FP100)</f>
        <v>2637</v>
      </c>
    </row>
    <row r="101" spans="1:179" s="334" customFormat="1">
      <c r="A101" s="335"/>
      <c r="B101" s="326"/>
      <c r="C101" s="335"/>
      <c r="D101" s="335" t="s">
        <v>777</v>
      </c>
      <c r="E101" s="336" t="s">
        <v>933</v>
      </c>
      <c r="F101" s="335"/>
      <c r="G101" s="335"/>
      <c r="H101" s="329"/>
      <c r="I101" s="329"/>
      <c r="J101" s="329"/>
      <c r="K101" s="329"/>
      <c r="L101" s="329"/>
      <c r="M101" s="329"/>
      <c r="N101" s="329"/>
      <c r="O101" s="329"/>
      <c r="P101" s="329"/>
      <c r="Q101" s="329"/>
      <c r="R101" s="329"/>
      <c r="S101" s="329"/>
      <c r="T101" s="329"/>
      <c r="U101" s="329"/>
      <c r="V101" s="329"/>
      <c r="W101" s="329"/>
      <c r="X101" s="329"/>
      <c r="Y101" s="329"/>
      <c r="Z101" s="329"/>
      <c r="AA101" s="329"/>
      <c r="AB101" s="329"/>
      <c r="AC101" s="329"/>
      <c r="AD101" s="329"/>
      <c r="AE101" s="329"/>
      <c r="AF101" s="329"/>
      <c r="AG101" s="329"/>
      <c r="AH101" s="329"/>
      <c r="AI101" s="329"/>
      <c r="AJ101" s="329"/>
      <c r="AK101" s="329"/>
      <c r="AL101" s="329"/>
      <c r="AM101" s="329"/>
      <c r="AN101" s="329"/>
      <c r="AO101" s="329"/>
      <c r="AP101" s="329"/>
      <c r="AQ101" s="329"/>
      <c r="AR101" s="329"/>
      <c r="AS101" s="329"/>
      <c r="AT101" s="329"/>
      <c r="AU101" s="329"/>
      <c r="AV101" s="329"/>
      <c r="AW101" s="329"/>
      <c r="AX101" s="329"/>
      <c r="AY101" s="329"/>
      <c r="AZ101" s="329"/>
      <c r="BA101" s="329"/>
      <c r="BB101" s="329"/>
      <c r="BC101" s="329"/>
      <c r="BD101" s="329"/>
      <c r="BE101" s="329"/>
      <c r="BF101" s="329"/>
      <c r="BG101" s="329"/>
      <c r="BH101" s="329"/>
      <c r="BI101" s="329"/>
      <c r="BJ101" s="329"/>
      <c r="BK101" s="329"/>
      <c r="BL101" s="329"/>
      <c r="BM101" s="329"/>
      <c r="BN101" s="329"/>
      <c r="BO101" s="329"/>
      <c r="BP101" s="329"/>
      <c r="BQ101" s="329"/>
      <c r="BR101" s="329"/>
      <c r="BS101" s="329"/>
      <c r="BT101" s="329"/>
      <c r="BU101" s="329"/>
      <c r="BV101" s="329"/>
      <c r="BW101" s="329"/>
      <c r="BX101" s="329"/>
      <c r="BY101" s="329"/>
      <c r="BZ101" s="329"/>
      <c r="CA101" s="329"/>
      <c r="CB101" s="329"/>
      <c r="CC101" s="329"/>
      <c r="CD101" s="329"/>
      <c r="CE101" s="329"/>
      <c r="CF101" s="329"/>
      <c r="CG101" s="329"/>
      <c r="CH101" s="329"/>
      <c r="CI101" s="329"/>
      <c r="CJ101" s="329"/>
      <c r="CK101" s="329"/>
      <c r="CL101" s="329"/>
      <c r="CM101" s="329"/>
      <c r="CN101" s="329"/>
      <c r="CO101" s="329"/>
      <c r="CP101" s="329"/>
      <c r="CQ101" s="329"/>
      <c r="CR101" s="329"/>
      <c r="CS101" s="329"/>
      <c r="CT101" s="329"/>
      <c r="CU101" s="329"/>
      <c r="CV101" s="329"/>
      <c r="CW101" s="329"/>
      <c r="CX101" s="329"/>
      <c r="CY101" s="329"/>
      <c r="CZ101" s="329"/>
      <c r="DA101" s="329"/>
      <c r="DB101" s="329"/>
      <c r="DC101" s="329"/>
      <c r="DD101" s="329"/>
      <c r="DE101" s="329"/>
      <c r="DF101" s="329"/>
      <c r="DG101" s="329"/>
      <c r="DH101" s="329"/>
      <c r="DI101" s="329"/>
      <c r="DJ101" s="329"/>
      <c r="DK101" s="329"/>
      <c r="DL101" s="329"/>
      <c r="DM101" s="329"/>
      <c r="DN101" s="329"/>
      <c r="DO101" s="329"/>
      <c r="DP101" s="329"/>
      <c r="DQ101" s="329"/>
      <c r="DR101" s="329"/>
      <c r="DS101" s="329"/>
      <c r="DT101" s="329"/>
      <c r="DU101" s="329"/>
      <c r="DV101" s="329"/>
      <c r="DW101" s="329"/>
      <c r="DX101" s="329"/>
      <c r="DY101" s="329"/>
      <c r="DZ101" s="329"/>
      <c r="EA101" s="329"/>
      <c r="EB101" s="329"/>
      <c r="EC101" s="329"/>
      <c r="ED101" s="329"/>
      <c r="EE101" s="329"/>
      <c r="EF101" s="329"/>
      <c r="EG101" s="329"/>
      <c r="EH101" s="329"/>
      <c r="EI101" s="329"/>
      <c r="EJ101" s="329"/>
      <c r="EK101" s="329"/>
      <c r="EL101" s="329"/>
      <c r="EM101" s="329"/>
      <c r="EN101" s="329"/>
      <c r="EO101" s="329"/>
      <c r="EP101" s="329"/>
      <c r="EQ101" s="329"/>
      <c r="ER101" s="329"/>
      <c r="ES101" s="329"/>
      <c r="ET101" s="329"/>
      <c r="EU101" s="329"/>
      <c r="EV101" s="329"/>
      <c r="EW101" s="329">
        <v>10</v>
      </c>
      <c r="EX101" s="329"/>
      <c r="EY101" s="329"/>
      <c r="EZ101" s="329"/>
      <c r="FA101" s="329"/>
      <c r="FB101" s="329"/>
      <c r="FC101" s="329"/>
      <c r="FD101" s="329"/>
      <c r="FE101" s="329"/>
      <c r="FF101" s="329"/>
      <c r="FG101" s="329"/>
      <c r="FH101" s="329"/>
      <c r="FI101" s="329"/>
      <c r="FJ101" s="329"/>
      <c r="FK101" s="329"/>
      <c r="FL101" s="329"/>
      <c r="FM101" s="329"/>
      <c r="FN101" s="329"/>
      <c r="FO101" s="329"/>
      <c r="FP101" s="329"/>
      <c r="FQ101" s="337"/>
      <c r="FR101" s="338"/>
      <c r="FS101" s="339"/>
      <c r="FT101" s="339"/>
      <c r="FU101" s="339"/>
      <c r="FV101" s="333">
        <f t="shared" ref="FV101" si="4">SUM(H101:FP101)</f>
        <v>10</v>
      </c>
    </row>
    <row r="102" spans="1:179" s="334" customFormat="1">
      <c r="A102" s="335"/>
      <c r="B102" s="326"/>
      <c r="C102" s="335"/>
      <c r="D102" s="335"/>
      <c r="E102" s="336"/>
      <c r="F102" s="335"/>
      <c r="G102" s="335"/>
      <c r="H102" s="329"/>
      <c r="I102" s="329"/>
      <c r="J102" s="329"/>
      <c r="K102" s="329"/>
      <c r="L102" s="329"/>
      <c r="M102" s="329"/>
      <c r="N102" s="329"/>
      <c r="O102" s="329"/>
      <c r="P102" s="329"/>
      <c r="Q102" s="329"/>
      <c r="R102" s="329"/>
      <c r="S102" s="329"/>
      <c r="T102" s="329"/>
      <c r="U102" s="329"/>
      <c r="V102" s="329"/>
      <c r="W102" s="329"/>
      <c r="X102" s="329"/>
      <c r="Y102" s="329"/>
      <c r="Z102" s="329"/>
      <c r="AA102" s="329"/>
      <c r="AB102" s="329"/>
      <c r="AC102" s="329"/>
      <c r="AD102" s="329"/>
      <c r="AE102" s="329"/>
      <c r="AF102" s="329"/>
      <c r="AG102" s="329"/>
      <c r="AH102" s="329"/>
      <c r="AI102" s="329"/>
      <c r="AJ102" s="329"/>
      <c r="AK102" s="329"/>
      <c r="AL102" s="329"/>
      <c r="AM102" s="329"/>
      <c r="AN102" s="329"/>
      <c r="AO102" s="329"/>
      <c r="AP102" s="329"/>
      <c r="AQ102" s="329"/>
      <c r="AR102" s="329"/>
      <c r="AS102" s="329"/>
      <c r="AT102" s="329"/>
      <c r="AU102" s="329"/>
      <c r="AV102" s="329"/>
      <c r="AW102" s="329"/>
      <c r="AX102" s="329"/>
      <c r="AY102" s="329"/>
      <c r="AZ102" s="329"/>
      <c r="BA102" s="329"/>
      <c r="BB102" s="329"/>
      <c r="BC102" s="329"/>
      <c r="BD102" s="329"/>
      <c r="BE102" s="329"/>
      <c r="BF102" s="329"/>
      <c r="BG102" s="329"/>
      <c r="BH102" s="329"/>
      <c r="BI102" s="329"/>
      <c r="BJ102" s="329"/>
      <c r="BK102" s="329"/>
      <c r="BL102" s="329"/>
      <c r="BM102" s="329"/>
      <c r="BN102" s="329"/>
      <c r="BO102" s="329"/>
      <c r="BP102" s="329"/>
      <c r="BQ102" s="329"/>
      <c r="BR102" s="329"/>
      <c r="BS102" s="329"/>
      <c r="BT102" s="329"/>
      <c r="BU102" s="329"/>
      <c r="BV102" s="329"/>
      <c r="BW102" s="329"/>
      <c r="BX102" s="329"/>
      <c r="BY102" s="329"/>
      <c r="BZ102" s="329"/>
      <c r="CA102" s="329"/>
      <c r="CB102" s="329"/>
      <c r="CC102" s="329"/>
      <c r="CD102" s="329"/>
      <c r="CE102" s="329"/>
      <c r="CF102" s="329"/>
      <c r="CG102" s="329"/>
      <c r="CH102" s="329"/>
      <c r="CI102" s="329"/>
      <c r="CJ102" s="329"/>
      <c r="CK102" s="329"/>
      <c r="CL102" s="329"/>
      <c r="CM102" s="329"/>
      <c r="CN102" s="329"/>
      <c r="CO102" s="329"/>
      <c r="CP102" s="329"/>
      <c r="CQ102" s="329"/>
      <c r="CR102" s="329"/>
      <c r="CS102" s="329"/>
      <c r="CT102" s="329"/>
      <c r="CU102" s="329"/>
      <c r="CV102" s="329"/>
      <c r="CW102" s="329"/>
      <c r="CX102" s="329"/>
      <c r="CY102" s="329"/>
      <c r="CZ102" s="329"/>
      <c r="DA102" s="329"/>
      <c r="DB102" s="329"/>
      <c r="DC102" s="329"/>
      <c r="DD102" s="329"/>
      <c r="DE102" s="329"/>
      <c r="DF102" s="329"/>
      <c r="DG102" s="329"/>
      <c r="DH102" s="329"/>
      <c r="DI102" s="329"/>
      <c r="DJ102" s="329"/>
      <c r="DK102" s="329"/>
      <c r="DL102" s="329"/>
      <c r="DM102" s="329"/>
      <c r="DN102" s="329"/>
      <c r="DO102" s="329"/>
      <c r="DP102" s="329"/>
      <c r="DQ102" s="329"/>
      <c r="DR102" s="329"/>
      <c r="DS102" s="329"/>
      <c r="DT102" s="329"/>
      <c r="DU102" s="329"/>
      <c r="DV102" s="329"/>
      <c r="DW102" s="329"/>
      <c r="DX102" s="329"/>
      <c r="DY102" s="329"/>
      <c r="DZ102" s="329"/>
      <c r="EA102" s="329"/>
      <c r="EB102" s="329"/>
      <c r="EC102" s="329"/>
      <c r="ED102" s="329"/>
      <c r="EE102" s="329"/>
      <c r="EF102" s="329"/>
      <c r="EG102" s="329"/>
      <c r="EH102" s="329"/>
      <c r="EI102" s="329"/>
      <c r="EJ102" s="329"/>
      <c r="EK102" s="329"/>
      <c r="EL102" s="329"/>
      <c r="EM102" s="329"/>
      <c r="EN102" s="329"/>
      <c r="EO102" s="329"/>
      <c r="EP102" s="329"/>
      <c r="EQ102" s="329"/>
      <c r="ER102" s="329"/>
      <c r="ES102" s="329"/>
      <c r="ET102" s="329"/>
      <c r="EU102" s="329"/>
      <c r="EV102" s="329"/>
      <c r="EW102" s="329"/>
      <c r="EX102" s="329"/>
      <c r="EY102" s="329"/>
      <c r="EZ102" s="329"/>
      <c r="FA102" s="329"/>
      <c r="FB102" s="329"/>
      <c r="FC102" s="329"/>
      <c r="FD102" s="329"/>
      <c r="FE102" s="329"/>
      <c r="FF102" s="329"/>
      <c r="FG102" s="329"/>
      <c r="FH102" s="329"/>
      <c r="FI102" s="329"/>
      <c r="FJ102" s="329"/>
      <c r="FK102" s="329"/>
      <c r="FL102" s="329"/>
      <c r="FM102" s="329"/>
      <c r="FN102" s="329"/>
      <c r="FO102" s="329"/>
      <c r="FP102" s="329"/>
      <c r="FQ102" s="337"/>
      <c r="FR102" s="338"/>
      <c r="FS102" s="339"/>
      <c r="FT102" s="339"/>
      <c r="FU102" s="339"/>
      <c r="FV102" s="333">
        <f t="shared" ref="FV102" si="5">SUM(H102:FP102)</f>
        <v>0</v>
      </c>
    </row>
    <row r="103" spans="1:179" s="222" customFormat="1">
      <c r="A103" s="309"/>
      <c r="B103" s="310"/>
      <c r="C103" s="310"/>
      <c r="D103" s="310"/>
      <c r="E103" s="311" t="s">
        <v>994</v>
      </c>
      <c r="F103" s="311"/>
      <c r="G103" s="312"/>
      <c r="H103" s="313">
        <f t="shared" ref="H103:BS103" si="6">SUM(H7:H102)</f>
        <v>145</v>
      </c>
      <c r="I103" s="313">
        <f t="shared" si="6"/>
        <v>0</v>
      </c>
      <c r="J103" s="313">
        <f t="shared" si="6"/>
        <v>0</v>
      </c>
      <c r="K103" s="313">
        <f t="shared" si="6"/>
        <v>0</v>
      </c>
      <c r="L103" s="313">
        <f t="shared" si="6"/>
        <v>3000</v>
      </c>
      <c r="M103" s="313">
        <f t="shared" si="6"/>
        <v>0</v>
      </c>
      <c r="N103" s="313">
        <f t="shared" si="6"/>
        <v>0</v>
      </c>
      <c r="O103" s="313">
        <f t="shared" si="6"/>
        <v>0</v>
      </c>
      <c r="P103" s="313">
        <f t="shared" si="6"/>
        <v>40</v>
      </c>
      <c r="Q103" s="313">
        <f t="shared" si="6"/>
        <v>0</v>
      </c>
      <c r="R103" s="313">
        <f t="shared" si="6"/>
        <v>20</v>
      </c>
      <c r="S103" s="313">
        <f t="shared" si="6"/>
        <v>0</v>
      </c>
      <c r="T103" s="313">
        <f t="shared" si="6"/>
        <v>0</v>
      </c>
      <c r="U103" s="313">
        <f t="shared" si="6"/>
        <v>0</v>
      </c>
      <c r="V103" s="313">
        <f t="shared" si="6"/>
        <v>0</v>
      </c>
      <c r="W103" s="313">
        <f t="shared" si="6"/>
        <v>0</v>
      </c>
      <c r="X103" s="313">
        <f t="shared" si="6"/>
        <v>0</v>
      </c>
      <c r="Y103" s="313">
        <f t="shared" si="6"/>
        <v>0</v>
      </c>
      <c r="Z103" s="313">
        <f t="shared" si="6"/>
        <v>0</v>
      </c>
      <c r="AA103" s="313">
        <f t="shared" si="6"/>
        <v>0</v>
      </c>
      <c r="AB103" s="313">
        <f t="shared" si="6"/>
        <v>0</v>
      </c>
      <c r="AC103" s="313">
        <f t="shared" si="6"/>
        <v>0</v>
      </c>
      <c r="AD103" s="313">
        <f t="shared" si="6"/>
        <v>0</v>
      </c>
      <c r="AE103" s="313">
        <f t="shared" si="6"/>
        <v>0</v>
      </c>
      <c r="AF103" s="313">
        <f t="shared" si="6"/>
        <v>260</v>
      </c>
      <c r="AG103" s="313">
        <f t="shared" si="6"/>
        <v>0</v>
      </c>
      <c r="AH103" s="313">
        <f t="shared" si="6"/>
        <v>320</v>
      </c>
      <c r="AI103" s="313">
        <f t="shared" si="6"/>
        <v>0</v>
      </c>
      <c r="AJ103" s="313">
        <f t="shared" si="6"/>
        <v>0</v>
      </c>
      <c r="AK103" s="313">
        <f t="shared" si="6"/>
        <v>0</v>
      </c>
      <c r="AL103" s="313">
        <f t="shared" si="6"/>
        <v>0</v>
      </c>
      <c r="AM103" s="313">
        <f t="shared" si="6"/>
        <v>0</v>
      </c>
      <c r="AN103" s="313">
        <f t="shared" si="6"/>
        <v>0</v>
      </c>
      <c r="AO103" s="313">
        <f t="shared" si="6"/>
        <v>0</v>
      </c>
      <c r="AP103" s="313">
        <f t="shared" si="6"/>
        <v>0</v>
      </c>
      <c r="AQ103" s="313">
        <f t="shared" si="6"/>
        <v>0</v>
      </c>
      <c r="AR103" s="313">
        <f t="shared" si="6"/>
        <v>150</v>
      </c>
      <c r="AS103" s="313">
        <f t="shared" si="6"/>
        <v>0</v>
      </c>
      <c r="AT103" s="313">
        <f t="shared" si="6"/>
        <v>0</v>
      </c>
      <c r="AU103" s="313">
        <f t="shared" si="6"/>
        <v>0</v>
      </c>
      <c r="AV103" s="313">
        <f t="shared" si="6"/>
        <v>0</v>
      </c>
      <c r="AW103" s="313">
        <f t="shared" si="6"/>
        <v>3460</v>
      </c>
      <c r="AX103" s="313">
        <f t="shared" si="6"/>
        <v>0</v>
      </c>
      <c r="AY103" s="313">
        <f t="shared" si="6"/>
        <v>0</v>
      </c>
      <c r="AZ103" s="313">
        <f t="shared" si="6"/>
        <v>0</v>
      </c>
      <c r="BA103" s="313">
        <f t="shared" si="6"/>
        <v>0</v>
      </c>
      <c r="BB103" s="313">
        <f t="shared" si="6"/>
        <v>0</v>
      </c>
      <c r="BC103" s="313">
        <f t="shared" si="6"/>
        <v>300</v>
      </c>
      <c r="BD103" s="313">
        <f t="shared" si="6"/>
        <v>0</v>
      </c>
      <c r="BE103" s="313">
        <f t="shared" si="6"/>
        <v>0</v>
      </c>
      <c r="BF103" s="313">
        <f t="shared" si="6"/>
        <v>0</v>
      </c>
      <c r="BG103" s="313">
        <f t="shared" si="6"/>
        <v>5000</v>
      </c>
      <c r="BH103" s="313">
        <f t="shared" si="6"/>
        <v>0</v>
      </c>
      <c r="BI103" s="313">
        <f t="shared" si="6"/>
        <v>0</v>
      </c>
      <c r="BJ103" s="313">
        <f t="shared" si="6"/>
        <v>0</v>
      </c>
      <c r="BK103" s="313">
        <f t="shared" si="6"/>
        <v>7</v>
      </c>
      <c r="BL103" s="313">
        <f t="shared" si="6"/>
        <v>2</v>
      </c>
      <c r="BM103" s="313">
        <f t="shared" si="6"/>
        <v>1</v>
      </c>
      <c r="BN103" s="313">
        <f t="shared" si="6"/>
        <v>380</v>
      </c>
      <c r="BO103" s="313">
        <f t="shared" si="6"/>
        <v>1</v>
      </c>
      <c r="BP103" s="313">
        <f t="shared" si="6"/>
        <v>590</v>
      </c>
      <c r="BQ103" s="313">
        <f t="shared" si="6"/>
        <v>870</v>
      </c>
      <c r="BR103" s="313">
        <f t="shared" si="6"/>
        <v>380</v>
      </c>
      <c r="BS103" s="313">
        <f t="shared" si="6"/>
        <v>0</v>
      </c>
      <c r="BT103" s="313">
        <f t="shared" ref="BT103:EE103" si="7">SUM(BT7:BT102)</f>
        <v>7</v>
      </c>
      <c r="BU103" s="313">
        <f t="shared" si="7"/>
        <v>0</v>
      </c>
      <c r="BV103" s="313">
        <f t="shared" si="7"/>
        <v>110</v>
      </c>
      <c r="BW103" s="313">
        <f t="shared" si="7"/>
        <v>0</v>
      </c>
      <c r="BX103" s="313">
        <f t="shared" si="7"/>
        <v>40</v>
      </c>
      <c r="BY103" s="313">
        <f t="shared" si="7"/>
        <v>0</v>
      </c>
      <c r="BZ103" s="313">
        <f t="shared" si="7"/>
        <v>80</v>
      </c>
      <c r="CA103" s="313">
        <f t="shared" si="7"/>
        <v>0</v>
      </c>
      <c r="CB103" s="313">
        <f t="shared" si="7"/>
        <v>1140</v>
      </c>
      <c r="CC103" s="313">
        <f t="shared" si="7"/>
        <v>12</v>
      </c>
      <c r="CD103" s="313">
        <f t="shared" si="7"/>
        <v>840</v>
      </c>
      <c r="CE103" s="313">
        <f t="shared" si="7"/>
        <v>830</v>
      </c>
      <c r="CF103" s="313">
        <f t="shared" si="7"/>
        <v>4</v>
      </c>
      <c r="CG103" s="313">
        <f t="shared" si="7"/>
        <v>85</v>
      </c>
      <c r="CH103" s="313">
        <f t="shared" si="7"/>
        <v>0</v>
      </c>
      <c r="CI103" s="313">
        <f t="shared" si="7"/>
        <v>0</v>
      </c>
      <c r="CJ103" s="313">
        <f t="shared" si="7"/>
        <v>0</v>
      </c>
      <c r="CK103" s="313">
        <f t="shared" si="7"/>
        <v>310</v>
      </c>
      <c r="CL103" s="313">
        <f t="shared" si="7"/>
        <v>10</v>
      </c>
      <c r="CM103" s="313">
        <f t="shared" si="7"/>
        <v>0</v>
      </c>
      <c r="CN103" s="313">
        <f t="shared" si="7"/>
        <v>290</v>
      </c>
      <c r="CO103" s="313">
        <f t="shared" si="7"/>
        <v>0</v>
      </c>
      <c r="CP103" s="313">
        <f t="shared" si="7"/>
        <v>0</v>
      </c>
      <c r="CQ103" s="313">
        <f t="shared" si="7"/>
        <v>0</v>
      </c>
      <c r="CR103" s="313">
        <f t="shared" si="7"/>
        <v>0</v>
      </c>
      <c r="CS103" s="313">
        <f t="shared" si="7"/>
        <v>0</v>
      </c>
      <c r="CT103" s="313">
        <f t="shared" si="7"/>
        <v>0</v>
      </c>
      <c r="CU103" s="313">
        <f t="shared" si="7"/>
        <v>0</v>
      </c>
      <c r="CV103" s="313">
        <f t="shared" si="7"/>
        <v>0</v>
      </c>
      <c r="CW103" s="313">
        <f t="shared" si="7"/>
        <v>30</v>
      </c>
      <c r="CX103" s="313">
        <f t="shared" si="7"/>
        <v>0</v>
      </c>
      <c r="CY103" s="313">
        <f t="shared" si="7"/>
        <v>0</v>
      </c>
      <c r="CZ103" s="313">
        <f t="shared" si="7"/>
        <v>15</v>
      </c>
      <c r="DA103" s="313">
        <f t="shared" si="7"/>
        <v>0</v>
      </c>
      <c r="DB103" s="313">
        <f t="shared" si="7"/>
        <v>35</v>
      </c>
      <c r="DC103" s="313">
        <f t="shared" si="7"/>
        <v>420</v>
      </c>
      <c r="DD103" s="313">
        <f t="shared" si="7"/>
        <v>0</v>
      </c>
      <c r="DE103" s="313">
        <f t="shared" si="7"/>
        <v>0</v>
      </c>
      <c r="DF103" s="313">
        <f t="shared" si="7"/>
        <v>0</v>
      </c>
      <c r="DG103" s="313">
        <f t="shared" si="7"/>
        <v>30</v>
      </c>
      <c r="DH103" s="313">
        <f t="shared" si="7"/>
        <v>0</v>
      </c>
      <c r="DI103" s="313">
        <f t="shared" si="7"/>
        <v>0</v>
      </c>
      <c r="DJ103" s="313">
        <f t="shared" si="7"/>
        <v>0</v>
      </c>
      <c r="DK103" s="313">
        <f t="shared" si="7"/>
        <v>8</v>
      </c>
      <c r="DL103" s="313">
        <f t="shared" si="7"/>
        <v>0</v>
      </c>
      <c r="DM103" s="313">
        <f t="shared" si="7"/>
        <v>0</v>
      </c>
      <c r="DN103" s="313">
        <f t="shared" si="7"/>
        <v>0</v>
      </c>
      <c r="DO103" s="313">
        <f t="shared" si="7"/>
        <v>0</v>
      </c>
      <c r="DP103" s="313">
        <f t="shared" si="7"/>
        <v>0</v>
      </c>
      <c r="DQ103" s="313">
        <f t="shared" si="7"/>
        <v>0</v>
      </c>
      <c r="DR103" s="313">
        <f t="shared" si="7"/>
        <v>0</v>
      </c>
      <c r="DS103" s="313">
        <f t="shared" si="7"/>
        <v>0</v>
      </c>
      <c r="DT103" s="313">
        <f t="shared" si="7"/>
        <v>0</v>
      </c>
      <c r="DU103" s="313">
        <f t="shared" si="7"/>
        <v>0</v>
      </c>
      <c r="DV103" s="313">
        <f t="shared" si="7"/>
        <v>0</v>
      </c>
      <c r="DW103" s="313">
        <f t="shared" si="7"/>
        <v>0</v>
      </c>
      <c r="DX103" s="313">
        <f t="shared" si="7"/>
        <v>0</v>
      </c>
      <c r="DY103" s="313">
        <f t="shared" si="7"/>
        <v>0</v>
      </c>
      <c r="DZ103" s="313">
        <f t="shared" si="7"/>
        <v>5150</v>
      </c>
      <c r="EA103" s="313">
        <f t="shared" si="7"/>
        <v>0</v>
      </c>
      <c r="EB103" s="313">
        <f t="shared" si="7"/>
        <v>0</v>
      </c>
      <c r="EC103" s="313">
        <f t="shared" si="7"/>
        <v>620</v>
      </c>
      <c r="ED103" s="313">
        <f t="shared" si="7"/>
        <v>0</v>
      </c>
      <c r="EE103" s="313">
        <f t="shared" si="7"/>
        <v>0</v>
      </c>
      <c r="EF103" s="313">
        <f t="shared" ref="EF103:FP103" si="8">SUM(EF7:EF102)</f>
        <v>0</v>
      </c>
      <c r="EG103" s="313">
        <f t="shared" si="8"/>
        <v>0</v>
      </c>
      <c r="EH103" s="313">
        <f t="shared" si="8"/>
        <v>0</v>
      </c>
      <c r="EI103" s="313">
        <f t="shared" si="8"/>
        <v>0</v>
      </c>
      <c r="EJ103" s="313">
        <f t="shared" si="8"/>
        <v>0</v>
      </c>
      <c r="EK103" s="313">
        <f t="shared" si="8"/>
        <v>0</v>
      </c>
      <c r="EL103" s="313">
        <f t="shared" si="8"/>
        <v>0</v>
      </c>
      <c r="EM103" s="313">
        <f t="shared" si="8"/>
        <v>0</v>
      </c>
      <c r="EN103" s="313">
        <f t="shared" si="8"/>
        <v>0</v>
      </c>
      <c r="EO103" s="313">
        <f t="shared" si="8"/>
        <v>0</v>
      </c>
      <c r="EP103" s="313">
        <f t="shared" si="8"/>
        <v>0</v>
      </c>
      <c r="EQ103" s="313">
        <f t="shared" si="8"/>
        <v>0</v>
      </c>
      <c r="ER103" s="313">
        <f t="shared" si="8"/>
        <v>0</v>
      </c>
      <c r="ES103" s="313">
        <f t="shared" si="8"/>
        <v>0</v>
      </c>
      <c r="ET103" s="313">
        <f t="shared" si="8"/>
        <v>0</v>
      </c>
      <c r="EU103" s="313">
        <f t="shared" si="8"/>
        <v>0</v>
      </c>
      <c r="EV103" s="313">
        <f t="shared" si="8"/>
        <v>180</v>
      </c>
      <c r="EW103" s="313">
        <f t="shared" si="8"/>
        <v>40</v>
      </c>
      <c r="EX103" s="313">
        <f t="shared" si="8"/>
        <v>0</v>
      </c>
      <c r="EY103" s="313">
        <f t="shared" si="8"/>
        <v>0</v>
      </c>
      <c r="EZ103" s="313">
        <f t="shared" si="8"/>
        <v>180</v>
      </c>
      <c r="FA103" s="313">
        <f t="shared" si="8"/>
        <v>0</v>
      </c>
      <c r="FB103" s="313">
        <f t="shared" si="8"/>
        <v>0</v>
      </c>
      <c r="FC103" s="313">
        <f t="shared" si="8"/>
        <v>0</v>
      </c>
      <c r="FD103" s="313">
        <f t="shared" si="8"/>
        <v>1</v>
      </c>
      <c r="FE103" s="313">
        <f t="shared" si="8"/>
        <v>0</v>
      </c>
      <c r="FF103" s="313">
        <f t="shared" si="8"/>
        <v>0</v>
      </c>
      <c r="FG103" s="313">
        <f t="shared" si="8"/>
        <v>0</v>
      </c>
      <c r="FH103" s="313">
        <f t="shared" si="8"/>
        <v>14</v>
      </c>
      <c r="FI103" s="313">
        <f t="shared" si="8"/>
        <v>0</v>
      </c>
      <c r="FJ103" s="313">
        <f t="shared" si="8"/>
        <v>0</v>
      </c>
      <c r="FK103" s="313">
        <f t="shared" si="8"/>
        <v>20</v>
      </c>
      <c r="FL103" s="313">
        <f t="shared" si="8"/>
        <v>0</v>
      </c>
      <c r="FM103" s="313">
        <f t="shared" si="8"/>
        <v>400</v>
      </c>
      <c r="FN103" s="313">
        <f t="shared" si="8"/>
        <v>660</v>
      </c>
      <c r="FO103" s="313">
        <f t="shared" si="8"/>
        <v>0</v>
      </c>
      <c r="FP103" s="313">
        <f t="shared" si="8"/>
        <v>0</v>
      </c>
      <c r="FQ103" s="314"/>
      <c r="FR103" s="315">
        <f>SUM(H103:FP103)</f>
        <v>26487</v>
      </c>
      <c r="FS103" s="316"/>
      <c r="FT103" s="317"/>
      <c r="FU103" s="317"/>
      <c r="FV103" s="313">
        <f>SUM(FV7:FV102)</f>
        <v>26487</v>
      </c>
      <c r="FW103" s="260"/>
    </row>
    <row r="105" spans="1:179">
      <c r="E105" s="194" t="s">
        <v>770</v>
      </c>
      <c r="AW105" s="273">
        <v>500</v>
      </c>
      <c r="BG105" s="273">
        <v>200</v>
      </c>
      <c r="BN105" s="273">
        <v>30</v>
      </c>
      <c r="BP105" s="273">
        <v>180</v>
      </c>
      <c r="BQ105" s="273">
        <v>60</v>
      </c>
      <c r="BR105" s="273">
        <v>20</v>
      </c>
      <c r="BV105" s="273">
        <v>32</v>
      </c>
      <c r="CB105" s="273">
        <v>70</v>
      </c>
      <c r="CD105" s="273">
        <v>170</v>
      </c>
      <c r="CE105" s="273">
        <v>50</v>
      </c>
      <c r="CF105" s="273">
        <v>2</v>
      </c>
      <c r="CG105" s="273">
        <v>10</v>
      </c>
      <c r="CK105" s="273">
        <v>10</v>
      </c>
      <c r="CL105" s="273">
        <v>10</v>
      </c>
      <c r="CN105" s="273">
        <v>30</v>
      </c>
      <c r="CW105" s="273">
        <v>5</v>
      </c>
      <c r="DB105" s="273">
        <v>10</v>
      </c>
      <c r="DC105" s="273">
        <v>45</v>
      </c>
      <c r="DG105" s="273">
        <v>10</v>
      </c>
      <c r="EV105" s="273">
        <v>10</v>
      </c>
      <c r="EW105" s="273">
        <v>10</v>
      </c>
      <c r="EZ105" s="273">
        <v>30</v>
      </c>
      <c r="FV105" s="273">
        <f t="shared" ref="FV105:FV109" si="9">SUM(H105:FP105)</f>
        <v>1494</v>
      </c>
    </row>
    <row r="106" spans="1:179">
      <c r="E106" s="194" t="s">
        <v>769</v>
      </c>
      <c r="AW106" s="273">
        <v>200</v>
      </c>
      <c r="BG106" s="273">
        <v>1000</v>
      </c>
      <c r="BN106" s="273">
        <v>5</v>
      </c>
      <c r="BQ106" s="273">
        <v>40</v>
      </c>
      <c r="BR106" s="273">
        <v>10</v>
      </c>
      <c r="BX106" s="273">
        <v>5</v>
      </c>
      <c r="CB106" s="273">
        <v>10</v>
      </c>
      <c r="CE106" s="273">
        <v>70</v>
      </c>
      <c r="CK106" s="273">
        <v>5</v>
      </c>
      <c r="CN106" s="273">
        <v>5</v>
      </c>
      <c r="CW106" s="273">
        <v>3</v>
      </c>
      <c r="DC106" s="273">
        <v>10</v>
      </c>
      <c r="EV106" s="273">
        <v>10</v>
      </c>
      <c r="EZ106" s="273">
        <v>5</v>
      </c>
      <c r="FV106" s="273">
        <f t="shared" si="9"/>
        <v>1378</v>
      </c>
    </row>
    <row r="107" spans="1:179">
      <c r="E107" s="194" t="s">
        <v>768</v>
      </c>
      <c r="AW107" s="273">
        <v>180</v>
      </c>
      <c r="BG107" s="273">
        <v>120</v>
      </c>
      <c r="BN107" s="273">
        <v>5</v>
      </c>
      <c r="BQ107" s="273">
        <v>40</v>
      </c>
      <c r="BR107" s="273">
        <v>10</v>
      </c>
      <c r="BX107" s="273">
        <v>10</v>
      </c>
      <c r="CB107" s="273">
        <v>20</v>
      </c>
      <c r="CE107" s="273">
        <v>20</v>
      </c>
      <c r="CF107" s="273">
        <v>2</v>
      </c>
      <c r="CG107" s="273">
        <v>5</v>
      </c>
      <c r="CK107" s="273">
        <v>5</v>
      </c>
      <c r="CN107" s="273">
        <v>10</v>
      </c>
      <c r="CW107" s="273">
        <v>5</v>
      </c>
      <c r="DC107" s="273">
        <v>10</v>
      </c>
      <c r="EV107" s="273">
        <v>10</v>
      </c>
      <c r="EZ107" s="273">
        <v>5</v>
      </c>
      <c r="FV107" s="273">
        <f t="shared" si="9"/>
        <v>457</v>
      </c>
    </row>
    <row r="108" spans="1:179">
      <c r="E108" s="194" t="s">
        <v>766</v>
      </c>
      <c r="AW108" s="273">
        <v>260</v>
      </c>
      <c r="BG108" s="273">
        <v>160</v>
      </c>
      <c r="BN108" s="273">
        <v>5</v>
      </c>
      <c r="BQ108" s="273">
        <v>40</v>
      </c>
      <c r="BR108" s="273">
        <v>10</v>
      </c>
      <c r="BX108" s="273">
        <v>10</v>
      </c>
      <c r="CB108" s="273">
        <v>20</v>
      </c>
      <c r="CC108" s="273">
        <v>12</v>
      </c>
      <c r="CE108" s="273">
        <v>30</v>
      </c>
      <c r="CG108" s="273">
        <v>5</v>
      </c>
      <c r="CK108" s="273">
        <v>5</v>
      </c>
      <c r="CN108" s="273">
        <v>10</v>
      </c>
      <c r="CW108" s="273">
        <v>5</v>
      </c>
      <c r="DC108" s="273">
        <v>10</v>
      </c>
      <c r="EV108" s="273">
        <v>5</v>
      </c>
      <c r="FV108" s="273">
        <f t="shared" si="9"/>
        <v>587</v>
      </c>
    </row>
    <row r="109" spans="1:179">
      <c r="A109" s="274"/>
      <c r="B109" s="274"/>
      <c r="C109" s="274"/>
      <c r="D109" s="274"/>
      <c r="E109" s="291" t="s">
        <v>767</v>
      </c>
      <c r="F109" s="274"/>
      <c r="G109" s="274"/>
      <c r="H109" s="274"/>
      <c r="I109" s="274"/>
      <c r="J109" s="274"/>
      <c r="K109" s="274"/>
      <c r="L109" s="274"/>
      <c r="M109" s="274"/>
      <c r="N109" s="274"/>
      <c r="O109" s="274"/>
      <c r="P109" s="274"/>
      <c r="Q109" s="274"/>
      <c r="R109" s="274"/>
      <c r="S109" s="274"/>
      <c r="T109" s="274"/>
      <c r="U109" s="274"/>
      <c r="V109" s="274"/>
      <c r="W109" s="274"/>
      <c r="X109" s="274"/>
      <c r="Y109" s="274"/>
      <c r="Z109" s="274"/>
      <c r="AA109" s="274"/>
      <c r="AB109" s="274"/>
      <c r="AC109" s="274"/>
      <c r="AD109" s="274"/>
      <c r="AE109" s="274"/>
      <c r="AF109" s="274"/>
      <c r="AG109" s="274"/>
      <c r="AH109" s="274"/>
      <c r="AI109" s="274"/>
      <c r="AJ109" s="274"/>
      <c r="AK109" s="274"/>
      <c r="AL109" s="274"/>
      <c r="AM109" s="274"/>
      <c r="AN109" s="274"/>
      <c r="AO109" s="274"/>
      <c r="AP109" s="274"/>
      <c r="AQ109" s="274"/>
      <c r="AR109" s="274"/>
      <c r="AS109" s="274"/>
      <c r="AT109" s="274"/>
      <c r="AU109" s="274"/>
      <c r="AV109" s="274"/>
      <c r="AW109" s="274">
        <v>120</v>
      </c>
      <c r="AX109" s="274"/>
      <c r="AY109" s="274"/>
      <c r="AZ109" s="274"/>
      <c r="BA109" s="274"/>
      <c r="BB109" s="274"/>
      <c r="BC109" s="274"/>
      <c r="BD109" s="274"/>
      <c r="BE109" s="274"/>
      <c r="BF109" s="274"/>
      <c r="BG109" s="274">
        <v>100</v>
      </c>
      <c r="BH109" s="274"/>
      <c r="BI109" s="274"/>
      <c r="BJ109" s="274"/>
      <c r="BK109" s="274"/>
      <c r="BL109" s="274"/>
      <c r="BM109" s="274"/>
      <c r="BN109" s="274">
        <v>5</v>
      </c>
      <c r="BO109" s="274"/>
      <c r="BP109" s="274"/>
      <c r="BQ109" s="274">
        <v>20</v>
      </c>
      <c r="BR109" s="274">
        <v>10</v>
      </c>
      <c r="BS109" s="274"/>
      <c r="BT109" s="274"/>
      <c r="BU109" s="274"/>
      <c r="BV109" s="274"/>
      <c r="BW109" s="274"/>
      <c r="BX109" s="274">
        <v>5</v>
      </c>
      <c r="BY109" s="274"/>
      <c r="BZ109" s="274"/>
      <c r="CA109" s="274"/>
      <c r="CB109" s="274">
        <v>9</v>
      </c>
      <c r="CC109" s="274"/>
      <c r="CD109" s="274"/>
      <c r="CE109" s="274">
        <v>20</v>
      </c>
      <c r="CF109" s="274"/>
      <c r="CG109" s="274"/>
      <c r="CH109" s="274"/>
      <c r="CI109" s="274"/>
      <c r="CJ109" s="274"/>
      <c r="CK109" s="274">
        <v>5</v>
      </c>
      <c r="CL109" s="274"/>
      <c r="CM109" s="274"/>
      <c r="CN109" s="274">
        <v>5</v>
      </c>
      <c r="CO109" s="274"/>
      <c r="CP109" s="274"/>
      <c r="CQ109" s="274"/>
      <c r="CR109" s="274"/>
      <c r="CS109" s="274"/>
      <c r="CT109" s="274"/>
      <c r="CU109" s="274"/>
      <c r="CV109" s="274"/>
      <c r="CW109" s="274">
        <v>2</v>
      </c>
      <c r="CX109" s="274"/>
      <c r="CY109" s="274"/>
      <c r="CZ109" s="274"/>
      <c r="DA109" s="274"/>
      <c r="DB109" s="274"/>
      <c r="DC109" s="274">
        <v>5</v>
      </c>
      <c r="DD109" s="274"/>
      <c r="DE109" s="274"/>
      <c r="DF109" s="274"/>
      <c r="DG109" s="274"/>
      <c r="DH109" s="274"/>
      <c r="DI109" s="274"/>
      <c r="DJ109" s="274"/>
      <c r="DK109" s="274"/>
      <c r="DL109" s="274"/>
      <c r="DM109" s="274"/>
      <c r="DN109" s="274"/>
      <c r="DO109" s="274"/>
      <c r="DP109" s="274"/>
      <c r="DQ109" s="274"/>
      <c r="DR109" s="274"/>
      <c r="DS109" s="274"/>
      <c r="DT109" s="274"/>
      <c r="DU109" s="274"/>
      <c r="DV109" s="274"/>
      <c r="DW109" s="274"/>
      <c r="DX109" s="274"/>
      <c r="DY109" s="274"/>
      <c r="DZ109" s="274"/>
      <c r="EA109" s="274"/>
      <c r="EB109" s="274"/>
      <c r="EC109" s="274"/>
      <c r="ED109" s="274"/>
      <c r="EE109" s="274"/>
      <c r="EF109" s="274"/>
      <c r="EG109" s="274"/>
      <c r="EH109" s="274"/>
      <c r="EI109" s="274"/>
      <c r="EJ109" s="274"/>
      <c r="EK109" s="274"/>
      <c r="EL109" s="274"/>
      <c r="EM109" s="274"/>
      <c r="EN109" s="274"/>
      <c r="EO109" s="274"/>
      <c r="EP109" s="274"/>
      <c r="EQ109" s="274"/>
      <c r="ER109" s="274"/>
      <c r="ES109" s="274"/>
      <c r="ET109" s="274"/>
      <c r="EU109" s="274"/>
      <c r="EV109" s="274">
        <v>5</v>
      </c>
      <c r="EW109" s="274"/>
      <c r="EX109" s="274"/>
      <c r="EY109" s="274"/>
      <c r="EZ109" s="274"/>
      <c r="FA109" s="274"/>
      <c r="FB109" s="274"/>
      <c r="FC109" s="274"/>
      <c r="FD109" s="274"/>
      <c r="FE109" s="274"/>
      <c r="FF109" s="274"/>
      <c r="FG109" s="274"/>
      <c r="FH109" s="274"/>
      <c r="FI109" s="274"/>
      <c r="FJ109" s="274"/>
      <c r="FK109" s="274"/>
      <c r="FL109" s="274"/>
      <c r="FM109" s="274"/>
      <c r="FN109" s="274"/>
      <c r="FO109" s="274"/>
      <c r="FP109" s="274"/>
      <c r="FQ109" s="274"/>
      <c r="FR109" s="274"/>
      <c r="FS109" s="274"/>
      <c r="FT109" s="274"/>
      <c r="FU109" s="274"/>
      <c r="FV109" s="274">
        <f t="shared" si="9"/>
        <v>311</v>
      </c>
      <c r="FW109" s="274"/>
    </row>
    <row r="110" spans="1:179">
      <c r="E110" s="318" t="s">
        <v>771</v>
      </c>
      <c r="AW110" s="273">
        <f>SUBTOTAL(9,AW105:AW109)</f>
        <v>1260</v>
      </c>
      <c r="BG110" s="273">
        <f>SUBTOTAL(9,BG105:BG109)</f>
        <v>1580</v>
      </c>
      <c r="BN110" s="273">
        <f>SUBTOTAL(9,BN105:BN109)</f>
        <v>50</v>
      </c>
      <c r="BP110" s="273">
        <f>SUBTOTAL(9,BP105:BP109)</f>
        <v>180</v>
      </c>
      <c r="BQ110" s="273">
        <f>SUBTOTAL(9,BQ105:BQ109)</f>
        <v>200</v>
      </c>
      <c r="BR110" s="273">
        <f>SUBTOTAL(9,BR105:BR109)</f>
        <v>60</v>
      </c>
      <c r="BV110" s="273">
        <f>SUBTOTAL(9,BV105:BV109)</f>
        <v>32</v>
      </c>
      <c r="BX110" s="273">
        <f>SUBTOTAL(9,BX105:BX109)</f>
        <v>30</v>
      </c>
      <c r="CB110" s="273">
        <f t="shared" ref="CB110:CG110" si="10">SUBTOTAL(9,CB105:CB109)</f>
        <v>129</v>
      </c>
      <c r="CC110" s="273">
        <f t="shared" si="10"/>
        <v>12</v>
      </c>
      <c r="CD110" s="273">
        <f t="shared" si="10"/>
        <v>170</v>
      </c>
      <c r="CE110" s="273">
        <f t="shared" si="10"/>
        <v>190</v>
      </c>
      <c r="CF110" s="273">
        <f t="shared" si="10"/>
        <v>4</v>
      </c>
      <c r="CG110" s="273">
        <f t="shared" si="10"/>
        <v>20</v>
      </c>
      <c r="CK110" s="273">
        <f>SUBTOTAL(9,CK105:CK109)</f>
        <v>30</v>
      </c>
      <c r="CL110" s="273">
        <f>SUBTOTAL(9,CL105:CL109)</f>
        <v>10</v>
      </c>
      <c r="CN110" s="273">
        <f>SUBTOTAL(9,CN105:CN109)</f>
        <v>60</v>
      </c>
      <c r="CW110" s="273">
        <f>SUBTOTAL(9,CW105:CW109)</f>
        <v>20</v>
      </c>
      <c r="DB110" s="273">
        <f>SUBTOTAL(9,DB105:DB109)</f>
        <v>10</v>
      </c>
      <c r="DC110" s="273">
        <f>SUBTOTAL(9,DC105:DC109)</f>
        <v>80</v>
      </c>
      <c r="DG110" s="273">
        <f>SUBTOTAL(9,DG105:DG109)</f>
        <v>10</v>
      </c>
      <c r="EV110" s="273">
        <f>SUBTOTAL(9,EV105:EV109)</f>
        <v>40</v>
      </c>
      <c r="EW110" s="273">
        <f>SUBTOTAL(9,EW105:EW109)</f>
        <v>10</v>
      </c>
      <c r="EZ110" s="273">
        <f>SUBTOTAL(9,EZ105:EZ109)</f>
        <v>40</v>
      </c>
      <c r="FV110" s="273">
        <f>SUM(H110:FP110)</f>
        <v>4227</v>
      </c>
    </row>
  </sheetData>
  <autoFilter ref="A6:FW97">
    <filterColumn colId="2">
      <filters>
        <filter val="UA1J"/>
        <filter val="UA1K"/>
      </filters>
    </filterColumn>
  </autoFilter>
  <phoneticPr fontId="1" type="noConversion"/>
  <conditionalFormatting sqref="F103 F5:F6">
    <cfRule type="cellIs" dxfId="1328" priority="269" stopIfTrue="1" operator="equal">
      <formula>"E7"</formula>
    </cfRule>
    <cfRule type="cellIs" dxfId="1327" priority="270" stopIfTrue="1" operator="equal">
      <formula>"E7A"</formula>
    </cfRule>
  </conditionalFormatting>
  <conditionalFormatting sqref="F102">
    <cfRule type="cellIs" dxfId="1326" priority="267" stopIfTrue="1" operator="equal">
      <formula>"E7"</formula>
    </cfRule>
    <cfRule type="cellIs" dxfId="1325" priority="268" stopIfTrue="1" operator="equal">
      <formula>"E7A"</formula>
    </cfRule>
  </conditionalFormatting>
  <conditionalFormatting sqref="F7">
    <cfRule type="cellIs" dxfId="1324" priority="265" stopIfTrue="1" operator="equal">
      <formula>"E7"</formula>
    </cfRule>
    <cfRule type="cellIs" dxfId="1323" priority="266" stopIfTrue="1" operator="equal">
      <formula>"E7A"</formula>
    </cfRule>
  </conditionalFormatting>
  <conditionalFormatting sqref="F8">
    <cfRule type="cellIs" dxfId="1322" priority="263" stopIfTrue="1" operator="equal">
      <formula>"E7"</formula>
    </cfRule>
    <cfRule type="cellIs" dxfId="1321" priority="264" stopIfTrue="1" operator="equal">
      <formula>"E7A"</formula>
    </cfRule>
  </conditionalFormatting>
  <conditionalFormatting sqref="F88">
    <cfRule type="cellIs" dxfId="1320" priority="261" stopIfTrue="1" operator="equal">
      <formula>"E7"</formula>
    </cfRule>
    <cfRule type="cellIs" dxfId="1319" priority="262" stopIfTrue="1" operator="equal">
      <formula>"E7A"</formula>
    </cfRule>
  </conditionalFormatting>
  <conditionalFormatting sqref="F9">
    <cfRule type="cellIs" dxfId="1318" priority="257" stopIfTrue="1" operator="equal">
      <formula>"E7"</formula>
    </cfRule>
    <cfRule type="cellIs" dxfId="1317" priority="258" stopIfTrue="1" operator="equal">
      <formula>"E7A"</formula>
    </cfRule>
  </conditionalFormatting>
  <conditionalFormatting sqref="F87">
    <cfRule type="cellIs" dxfId="1316" priority="259" stopIfTrue="1" operator="equal">
      <formula>"E7"</formula>
    </cfRule>
    <cfRule type="cellIs" dxfId="1315" priority="260" stopIfTrue="1" operator="equal">
      <formula>"E7A"</formula>
    </cfRule>
  </conditionalFormatting>
  <conditionalFormatting sqref="F86">
    <cfRule type="cellIs" dxfId="1314" priority="255" stopIfTrue="1" operator="equal">
      <formula>"E7"</formula>
    </cfRule>
    <cfRule type="cellIs" dxfId="1313" priority="256" stopIfTrue="1" operator="equal">
      <formula>"E7A"</formula>
    </cfRule>
  </conditionalFormatting>
  <conditionalFormatting sqref="F89">
    <cfRule type="cellIs" dxfId="1312" priority="253" stopIfTrue="1" operator="equal">
      <formula>"E7"</formula>
    </cfRule>
    <cfRule type="cellIs" dxfId="1311" priority="254" stopIfTrue="1" operator="equal">
      <formula>"E7A"</formula>
    </cfRule>
  </conditionalFormatting>
  <conditionalFormatting sqref="B7 B97:B100 B102">
    <cfRule type="expression" dxfId="1310" priority="252">
      <formula>$B7="A"</formula>
    </cfRule>
  </conditionalFormatting>
  <conditionalFormatting sqref="B8:B9 B86:B89">
    <cfRule type="expression" dxfId="1309" priority="251">
      <formula>$B8="A"</formula>
    </cfRule>
  </conditionalFormatting>
  <conditionalFormatting sqref="H6 AW6:BK6 FI6:FP6 BM6:CF6 CH6:FD6 AB6:AK6 P6 R6:Y6">
    <cfRule type="expression" dxfId="1308" priority="232">
      <formula>H269=0</formula>
    </cfRule>
  </conditionalFormatting>
  <conditionalFormatting sqref="F97:F100">
    <cfRule type="cellIs" dxfId="1307" priority="249" stopIfTrue="1" operator="equal">
      <formula>"E7"</formula>
    </cfRule>
    <cfRule type="cellIs" dxfId="1306" priority="250" stopIfTrue="1" operator="equal">
      <formula>"E7A"</formula>
    </cfRule>
  </conditionalFormatting>
  <conditionalFormatting sqref="B90">
    <cfRule type="expression" dxfId="1305" priority="248">
      <formula>$B90="A"</formula>
    </cfRule>
  </conditionalFormatting>
  <conditionalFormatting sqref="F90">
    <cfRule type="cellIs" dxfId="1304" priority="246" stopIfTrue="1" operator="equal">
      <formula>"E7"</formula>
    </cfRule>
    <cfRule type="cellIs" dxfId="1303" priority="247" stopIfTrue="1" operator="equal">
      <formula>"E7A"</formula>
    </cfRule>
  </conditionalFormatting>
  <conditionalFormatting sqref="F94">
    <cfRule type="cellIs" dxfId="1302" priority="244" stopIfTrue="1" operator="equal">
      <formula>"E7"</formula>
    </cfRule>
    <cfRule type="cellIs" dxfId="1301" priority="245" stopIfTrue="1" operator="equal">
      <formula>"E7A"</formula>
    </cfRule>
  </conditionalFormatting>
  <conditionalFormatting sqref="F95">
    <cfRule type="cellIs" dxfId="1300" priority="242" stopIfTrue="1" operator="equal">
      <formula>"E7"</formula>
    </cfRule>
    <cfRule type="cellIs" dxfId="1299" priority="243" stopIfTrue="1" operator="equal">
      <formula>"E7A"</formula>
    </cfRule>
  </conditionalFormatting>
  <conditionalFormatting sqref="F96">
    <cfRule type="cellIs" dxfId="1298" priority="240" stopIfTrue="1" operator="equal">
      <formula>"E7"</formula>
    </cfRule>
    <cfRule type="cellIs" dxfId="1297" priority="241" stopIfTrue="1" operator="equal">
      <formula>"E7A"</formula>
    </cfRule>
  </conditionalFormatting>
  <conditionalFormatting sqref="B91:B96">
    <cfRule type="expression" dxfId="1296" priority="239">
      <formula>$B91="A"</formula>
    </cfRule>
  </conditionalFormatting>
  <conditionalFormatting sqref="F91">
    <cfRule type="cellIs" dxfId="1295" priority="237" stopIfTrue="1" operator="equal">
      <formula>"E7"</formula>
    </cfRule>
    <cfRule type="cellIs" dxfId="1294" priority="238" stopIfTrue="1" operator="equal">
      <formula>"E7A"</formula>
    </cfRule>
  </conditionalFormatting>
  <conditionalFormatting sqref="F92">
    <cfRule type="cellIs" dxfId="1293" priority="235" stopIfTrue="1" operator="equal">
      <formula>"E7"</formula>
    </cfRule>
    <cfRule type="cellIs" dxfId="1292" priority="236" stopIfTrue="1" operator="equal">
      <formula>"E7A"</formula>
    </cfRule>
  </conditionalFormatting>
  <conditionalFormatting sqref="F93">
    <cfRule type="cellIs" dxfId="1291" priority="233" stopIfTrue="1" operator="equal">
      <formula>"E7"</formula>
    </cfRule>
    <cfRule type="cellIs" dxfId="1290" priority="234" stopIfTrue="1" operator="equal">
      <formula>"E7A"</formula>
    </cfRule>
  </conditionalFormatting>
  <conditionalFormatting sqref="I6:L6">
    <cfRule type="expression" dxfId="1289" priority="231">
      <formula>I269=0</formula>
    </cfRule>
  </conditionalFormatting>
  <conditionalFormatting sqref="H1:L1 AW1:BK1 FI1:FP1 BM1:CF1 CH1:FD1">
    <cfRule type="duplicateValues" dxfId="1288" priority="230"/>
  </conditionalFormatting>
  <conditionalFormatting sqref="I1:K1">
    <cfRule type="duplicateValues" dxfId="1287" priority="229"/>
  </conditionalFormatting>
  <conditionalFormatting sqref="AY1">
    <cfRule type="duplicateValues" dxfId="1286" priority="228"/>
  </conditionalFormatting>
  <conditionalFormatting sqref="F12">
    <cfRule type="cellIs" dxfId="1285" priority="226" stopIfTrue="1" operator="equal">
      <formula>"E7"</formula>
    </cfRule>
    <cfRule type="cellIs" dxfId="1284" priority="227" stopIfTrue="1" operator="equal">
      <formula>"E7A"</formula>
    </cfRule>
  </conditionalFormatting>
  <conditionalFormatting sqref="F11">
    <cfRule type="cellIs" dxfId="1283" priority="224" stopIfTrue="1" operator="equal">
      <formula>"E7"</formula>
    </cfRule>
    <cfRule type="cellIs" dxfId="1282" priority="225" stopIfTrue="1" operator="equal">
      <formula>"E7A"</formula>
    </cfRule>
  </conditionalFormatting>
  <conditionalFormatting sqref="F10">
    <cfRule type="cellIs" dxfId="1281" priority="222" stopIfTrue="1" operator="equal">
      <formula>"E7"</formula>
    </cfRule>
    <cfRule type="cellIs" dxfId="1280" priority="223" stopIfTrue="1" operator="equal">
      <formula>"E7A"</formula>
    </cfRule>
  </conditionalFormatting>
  <conditionalFormatting sqref="F13">
    <cfRule type="cellIs" dxfId="1279" priority="220" stopIfTrue="1" operator="equal">
      <formula>"E7"</formula>
    </cfRule>
    <cfRule type="cellIs" dxfId="1278" priority="221" stopIfTrue="1" operator="equal">
      <formula>"E7A"</formula>
    </cfRule>
  </conditionalFormatting>
  <conditionalFormatting sqref="B10:B13">
    <cfRule type="expression" dxfId="1277" priority="219">
      <formula>$B10="A"</formula>
    </cfRule>
  </conditionalFormatting>
  <conditionalFormatting sqref="B14">
    <cfRule type="expression" dxfId="1276" priority="218">
      <formula>$B14="A"</formula>
    </cfRule>
  </conditionalFormatting>
  <conditionalFormatting sqref="F14">
    <cfRule type="cellIs" dxfId="1275" priority="216" stopIfTrue="1" operator="equal">
      <formula>"E7"</formula>
    </cfRule>
    <cfRule type="cellIs" dxfId="1274" priority="217" stopIfTrue="1" operator="equal">
      <formula>"E7A"</formula>
    </cfRule>
  </conditionalFormatting>
  <conditionalFormatting sqref="F84">
    <cfRule type="cellIs" dxfId="1273" priority="214" stopIfTrue="1" operator="equal">
      <formula>"E7"</formula>
    </cfRule>
    <cfRule type="cellIs" dxfId="1272" priority="215" stopIfTrue="1" operator="equal">
      <formula>"E7A"</formula>
    </cfRule>
  </conditionalFormatting>
  <conditionalFormatting sqref="F85">
    <cfRule type="cellIs" dxfId="1271" priority="212" stopIfTrue="1" operator="equal">
      <formula>"E7"</formula>
    </cfRule>
    <cfRule type="cellIs" dxfId="1270" priority="213" stopIfTrue="1" operator="equal">
      <formula>"E7A"</formula>
    </cfRule>
  </conditionalFormatting>
  <conditionalFormatting sqref="B15:B17 B84:B85">
    <cfRule type="expression" dxfId="1269" priority="211">
      <formula>$B15="A"</formula>
    </cfRule>
  </conditionalFormatting>
  <conditionalFormatting sqref="F15">
    <cfRule type="cellIs" dxfId="1268" priority="209" stopIfTrue="1" operator="equal">
      <formula>"E7"</formula>
    </cfRule>
    <cfRule type="cellIs" dxfId="1267" priority="210" stopIfTrue="1" operator="equal">
      <formula>"E7A"</formula>
    </cfRule>
  </conditionalFormatting>
  <conditionalFormatting sqref="F16">
    <cfRule type="cellIs" dxfId="1266" priority="207" stopIfTrue="1" operator="equal">
      <formula>"E7"</formula>
    </cfRule>
    <cfRule type="cellIs" dxfId="1265" priority="208" stopIfTrue="1" operator="equal">
      <formula>"E7A"</formula>
    </cfRule>
  </conditionalFormatting>
  <conditionalFormatting sqref="F17">
    <cfRule type="cellIs" dxfId="1264" priority="205" stopIfTrue="1" operator="equal">
      <formula>"E7"</formula>
    </cfRule>
    <cfRule type="cellIs" dxfId="1263" priority="206" stopIfTrue="1" operator="equal">
      <formula>"E7A"</formula>
    </cfRule>
  </conditionalFormatting>
  <conditionalFormatting sqref="H4">
    <cfRule type="duplicateValues" dxfId="1262" priority="204"/>
  </conditionalFormatting>
  <conditionalFormatting sqref="I4:L4 AW4:BK4 FI4:FP4 BM4:CF4 CH4:FD4">
    <cfRule type="duplicateValues" dxfId="1261" priority="203"/>
  </conditionalFormatting>
  <conditionalFormatting sqref="AL6:AV6">
    <cfRule type="expression" dxfId="1260" priority="202">
      <formula>AL269=0</formula>
    </cfRule>
  </conditionalFormatting>
  <conditionalFormatting sqref="AL1:AV1">
    <cfRule type="duplicateValues" dxfId="1259" priority="201"/>
  </conditionalFormatting>
  <conditionalFormatting sqref="AN1">
    <cfRule type="duplicateValues" dxfId="1258" priority="200"/>
  </conditionalFormatting>
  <conditionalFormatting sqref="AL4:AV4">
    <cfRule type="duplicateValues" dxfId="1257" priority="199"/>
  </conditionalFormatting>
  <conditionalFormatting sqref="Z6">
    <cfRule type="expression" dxfId="1256" priority="198">
      <formula>Z269=0</formula>
    </cfRule>
  </conditionalFormatting>
  <conditionalFormatting sqref="Z1 AB1:AK1">
    <cfRule type="duplicateValues" dxfId="1255" priority="197"/>
  </conditionalFormatting>
  <conditionalFormatting sqref="AC1">
    <cfRule type="duplicateValues" dxfId="1254" priority="196"/>
  </conditionalFormatting>
  <conditionalFormatting sqref="Z4 AB4:AK4">
    <cfRule type="duplicateValues" dxfId="1253" priority="195"/>
  </conditionalFormatting>
  <conditionalFormatting sqref="M6:N6">
    <cfRule type="expression" dxfId="1252" priority="194">
      <formula>M269=0</formula>
    </cfRule>
  </conditionalFormatting>
  <conditionalFormatting sqref="M1:N1 P1 R1:Y1">
    <cfRule type="duplicateValues" dxfId="1251" priority="193"/>
  </conditionalFormatting>
  <conditionalFormatting sqref="P1">
    <cfRule type="duplicateValues" dxfId="1250" priority="192"/>
  </conditionalFormatting>
  <conditionalFormatting sqref="M4:N4 P4 R4:Y4">
    <cfRule type="duplicateValues" dxfId="1249" priority="191"/>
  </conditionalFormatting>
  <conditionalFormatting sqref="FE6:FH6">
    <cfRule type="expression" dxfId="1248" priority="190">
      <formula>FE269=0</formula>
    </cfRule>
  </conditionalFormatting>
  <conditionalFormatting sqref="FE1:FH1">
    <cfRule type="duplicateValues" dxfId="1247" priority="189"/>
  </conditionalFormatting>
  <conditionalFormatting sqref="FE4:FH4">
    <cfRule type="duplicateValues" dxfId="1246" priority="188"/>
  </conditionalFormatting>
  <conditionalFormatting sqref="F72">
    <cfRule type="cellIs" dxfId="1245" priority="186" stopIfTrue="1" operator="equal">
      <formula>"E7"</formula>
    </cfRule>
    <cfRule type="cellIs" dxfId="1244" priority="187" stopIfTrue="1" operator="equal">
      <formula>"E7A"</formula>
    </cfRule>
  </conditionalFormatting>
  <conditionalFormatting sqref="F71">
    <cfRule type="cellIs" dxfId="1243" priority="184" stopIfTrue="1" operator="equal">
      <formula>"E7"</formula>
    </cfRule>
    <cfRule type="cellIs" dxfId="1242" priority="185" stopIfTrue="1" operator="equal">
      <formula>"E7A"</formula>
    </cfRule>
  </conditionalFormatting>
  <conditionalFormatting sqref="F70">
    <cfRule type="cellIs" dxfId="1241" priority="182" stopIfTrue="1" operator="equal">
      <formula>"E7"</formula>
    </cfRule>
    <cfRule type="cellIs" dxfId="1240" priority="183" stopIfTrue="1" operator="equal">
      <formula>"E7A"</formula>
    </cfRule>
  </conditionalFormatting>
  <conditionalFormatting sqref="F73">
    <cfRule type="cellIs" dxfId="1239" priority="180" stopIfTrue="1" operator="equal">
      <formula>"E7"</formula>
    </cfRule>
    <cfRule type="cellIs" dxfId="1238" priority="181" stopIfTrue="1" operator="equal">
      <formula>"E7A"</formula>
    </cfRule>
  </conditionalFormatting>
  <conditionalFormatting sqref="B81">
    <cfRule type="expression" dxfId="1237" priority="179">
      <formula>$B81="A"</formula>
    </cfRule>
  </conditionalFormatting>
  <conditionalFormatting sqref="B70:B73">
    <cfRule type="expression" dxfId="1236" priority="178">
      <formula>$B70="A"</formula>
    </cfRule>
  </conditionalFormatting>
  <conditionalFormatting sqref="F81">
    <cfRule type="cellIs" dxfId="1235" priority="176" stopIfTrue="1" operator="equal">
      <formula>"E7"</formula>
    </cfRule>
    <cfRule type="cellIs" dxfId="1234" priority="177" stopIfTrue="1" operator="equal">
      <formula>"E7A"</formula>
    </cfRule>
  </conditionalFormatting>
  <conditionalFormatting sqref="B82:B83">
    <cfRule type="expression" dxfId="1233" priority="175">
      <formula>$B82="A"</formula>
    </cfRule>
  </conditionalFormatting>
  <conditionalFormatting sqref="F82">
    <cfRule type="cellIs" dxfId="1232" priority="173" stopIfTrue="1" operator="equal">
      <formula>"E7"</formula>
    </cfRule>
    <cfRule type="cellIs" dxfId="1231" priority="174" stopIfTrue="1" operator="equal">
      <formula>"E7A"</formula>
    </cfRule>
  </conditionalFormatting>
  <conditionalFormatting sqref="F83">
    <cfRule type="cellIs" dxfId="1230" priority="171" stopIfTrue="1" operator="equal">
      <formula>"E7"</formula>
    </cfRule>
    <cfRule type="cellIs" dxfId="1229" priority="172" stopIfTrue="1" operator="equal">
      <formula>"E7A"</formula>
    </cfRule>
  </conditionalFormatting>
  <conditionalFormatting sqref="B74">
    <cfRule type="expression" dxfId="1228" priority="170">
      <formula>$B74="A"</formula>
    </cfRule>
  </conditionalFormatting>
  <conditionalFormatting sqref="F74">
    <cfRule type="cellIs" dxfId="1227" priority="168" stopIfTrue="1" operator="equal">
      <formula>"E7"</formula>
    </cfRule>
    <cfRule type="cellIs" dxfId="1226" priority="169" stopIfTrue="1" operator="equal">
      <formula>"E7A"</formula>
    </cfRule>
  </conditionalFormatting>
  <conditionalFormatting sqref="F78">
    <cfRule type="cellIs" dxfId="1225" priority="166" stopIfTrue="1" operator="equal">
      <formula>"E7"</formula>
    </cfRule>
    <cfRule type="cellIs" dxfId="1224" priority="167" stopIfTrue="1" operator="equal">
      <formula>"E7A"</formula>
    </cfRule>
  </conditionalFormatting>
  <conditionalFormatting sqref="F79">
    <cfRule type="cellIs" dxfId="1223" priority="164" stopIfTrue="1" operator="equal">
      <formula>"E7"</formula>
    </cfRule>
    <cfRule type="cellIs" dxfId="1222" priority="165" stopIfTrue="1" operator="equal">
      <formula>"E7A"</formula>
    </cfRule>
  </conditionalFormatting>
  <conditionalFormatting sqref="F80">
    <cfRule type="cellIs" dxfId="1221" priority="162" stopIfTrue="1" operator="equal">
      <formula>"E7"</formula>
    </cfRule>
    <cfRule type="cellIs" dxfId="1220" priority="163" stopIfTrue="1" operator="equal">
      <formula>"E7A"</formula>
    </cfRule>
  </conditionalFormatting>
  <conditionalFormatting sqref="B75:B80">
    <cfRule type="expression" dxfId="1219" priority="161">
      <formula>$B75="A"</formula>
    </cfRule>
  </conditionalFormatting>
  <conditionalFormatting sqref="F75">
    <cfRule type="cellIs" dxfId="1218" priority="159" stopIfTrue="1" operator="equal">
      <formula>"E7"</formula>
    </cfRule>
    <cfRule type="cellIs" dxfId="1217" priority="160" stopIfTrue="1" operator="equal">
      <formula>"E7A"</formula>
    </cfRule>
  </conditionalFormatting>
  <conditionalFormatting sqref="F76">
    <cfRule type="cellIs" dxfId="1216" priority="157" stopIfTrue="1" operator="equal">
      <formula>"E7"</formula>
    </cfRule>
    <cfRule type="cellIs" dxfId="1215" priority="158" stopIfTrue="1" operator="equal">
      <formula>"E7A"</formula>
    </cfRule>
  </conditionalFormatting>
  <conditionalFormatting sqref="F77">
    <cfRule type="cellIs" dxfId="1214" priority="155" stopIfTrue="1" operator="equal">
      <formula>"E7"</formula>
    </cfRule>
    <cfRule type="cellIs" dxfId="1213" priority="156" stopIfTrue="1" operator="equal">
      <formula>"E7A"</formula>
    </cfRule>
  </conditionalFormatting>
  <conditionalFormatting sqref="F68">
    <cfRule type="cellIs" dxfId="1212" priority="153" stopIfTrue="1" operator="equal">
      <formula>"E7"</formula>
    </cfRule>
    <cfRule type="cellIs" dxfId="1211" priority="154" stopIfTrue="1" operator="equal">
      <formula>"E7A"</formula>
    </cfRule>
  </conditionalFormatting>
  <conditionalFormatting sqref="F69">
    <cfRule type="cellIs" dxfId="1210" priority="151" stopIfTrue="1" operator="equal">
      <formula>"E7"</formula>
    </cfRule>
    <cfRule type="cellIs" dxfId="1209" priority="152" stopIfTrue="1" operator="equal">
      <formula>"E7A"</formula>
    </cfRule>
  </conditionalFormatting>
  <conditionalFormatting sqref="B68:B69">
    <cfRule type="expression" dxfId="1208" priority="150">
      <formula>$B68="A"</formula>
    </cfRule>
  </conditionalFormatting>
  <conditionalFormatting sqref="F56">
    <cfRule type="cellIs" dxfId="1207" priority="148" stopIfTrue="1" operator="equal">
      <formula>"E7"</formula>
    </cfRule>
    <cfRule type="cellIs" dxfId="1206" priority="149" stopIfTrue="1" operator="equal">
      <formula>"E7A"</formula>
    </cfRule>
  </conditionalFormatting>
  <conditionalFormatting sqref="F55">
    <cfRule type="cellIs" dxfId="1205" priority="146" stopIfTrue="1" operator="equal">
      <formula>"E7"</formula>
    </cfRule>
    <cfRule type="cellIs" dxfId="1204" priority="147" stopIfTrue="1" operator="equal">
      <formula>"E7A"</formula>
    </cfRule>
  </conditionalFormatting>
  <conditionalFormatting sqref="F54">
    <cfRule type="cellIs" dxfId="1203" priority="144" stopIfTrue="1" operator="equal">
      <formula>"E7"</formula>
    </cfRule>
    <cfRule type="cellIs" dxfId="1202" priority="145" stopIfTrue="1" operator="equal">
      <formula>"E7A"</formula>
    </cfRule>
  </conditionalFormatting>
  <conditionalFormatting sqref="F57">
    <cfRule type="cellIs" dxfId="1201" priority="142" stopIfTrue="1" operator="equal">
      <formula>"E7"</formula>
    </cfRule>
    <cfRule type="cellIs" dxfId="1200" priority="143" stopIfTrue="1" operator="equal">
      <formula>"E7A"</formula>
    </cfRule>
  </conditionalFormatting>
  <conditionalFormatting sqref="B65">
    <cfRule type="expression" dxfId="1199" priority="141">
      <formula>$B65="A"</formula>
    </cfRule>
  </conditionalFormatting>
  <conditionalFormatting sqref="B54:B57">
    <cfRule type="expression" dxfId="1198" priority="140">
      <formula>$B54="A"</formula>
    </cfRule>
  </conditionalFormatting>
  <conditionalFormatting sqref="F65">
    <cfRule type="cellIs" dxfId="1197" priority="138" stopIfTrue="1" operator="equal">
      <formula>"E7"</formula>
    </cfRule>
    <cfRule type="cellIs" dxfId="1196" priority="139" stopIfTrue="1" operator="equal">
      <formula>"E7A"</formula>
    </cfRule>
  </conditionalFormatting>
  <conditionalFormatting sqref="B66:B67">
    <cfRule type="expression" dxfId="1195" priority="137">
      <formula>$B66="A"</formula>
    </cfRule>
  </conditionalFormatting>
  <conditionalFormatting sqref="F66">
    <cfRule type="cellIs" dxfId="1194" priority="135" stopIfTrue="1" operator="equal">
      <formula>"E7"</formula>
    </cfRule>
    <cfRule type="cellIs" dxfId="1193" priority="136" stopIfTrue="1" operator="equal">
      <formula>"E7A"</formula>
    </cfRule>
  </conditionalFormatting>
  <conditionalFormatting sqref="F67">
    <cfRule type="cellIs" dxfId="1192" priority="133" stopIfTrue="1" operator="equal">
      <formula>"E7"</formula>
    </cfRule>
    <cfRule type="cellIs" dxfId="1191" priority="134" stopIfTrue="1" operator="equal">
      <formula>"E7A"</formula>
    </cfRule>
  </conditionalFormatting>
  <conditionalFormatting sqref="B58">
    <cfRule type="expression" dxfId="1190" priority="132">
      <formula>$B58="A"</formula>
    </cfRule>
  </conditionalFormatting>
  <conditionalFormatting sqref="F58">
    <cfRule type="cellIs" dxfId="1189" priority="130" stopIfTrue="1" operator="equal">
      <formula>"E7"</formula>
    </cfRule>
    <cfRule type="cellIs" dxfId="1188" priority="131" stopIfTrue="1" operator="equal">
      <formula>"E7A"</formula>
    </cfRule>
  </conditionalFormatting>
  <conditionalFormatting sqref="F62">
    <cfRule type="cellIs" dxfId="1187" priority="128" stopIfTrue="1" operator="equal">
      <formula>"E7"</formula>
    </cfRule>
    <cfRule type="cellIs" dxfId="1186" priority="129" stopIfTrue="1" operator="equal">
      <formula>"E7A"</formula>
    </cfRule>
  </conditionalFormatting>
  <conditionalFormatting sqref="F63">
    <cfRule type="cellIs" dxfId="1185" priority="126" stopIfTrue="1" operator="equal">
      <formula>"E7"</formula>
    </cfRule>
    <cfRule type="cellIs" dxfId="1184" priority="127" stopIfTrue="1" operator="equal">
      <formula>"E7A"</formula>
    </cfRule>
  </conditionalFormatting>
  <conditionalFormatting sqref="F64">
    <cfRule type="cellIs" dxfId="1183" priority="124" stopIfTrue="1" operator="equal">
      <formula>"E7"</formula>
    </cfRule>
    <cfRule type="cellIs" dxfId="1182" priority="125" stopIfTrue="1" operator="equal">
      <formula>"E7A"</formula>
    </cfRule>
  </conditionalFormatting>
  <conditionalFormatting sqref="B59:B64">
    <cfRule type="expression" dxfId="1181" priority="123">
      <formula>$B59="A"</formula>
    </cfRule>
  </conditionalFormatting>
  <conditionalFormatting sqref="F59">
    <cfRule type="cellIs" dxfId="1180" priority="121" stopIfTrue="1" operator="equal">
      <formula>"E7"</formula>
    </cfRule>
    <cfRule type="cellIs" dxfId="1179" priority="122" stopIfTrue="1" operator="equal">
      <formula>"E7A"</formula>
    </cfRule>
  </conditionalFormatting>
  <conditionalFormatting sqref="F60">
    <cfRule type="cellIs" dxfId="1178" priority="119" stopIfTrue="1" operator="equal">
      <formula>"E7"</formula>
    </cfRule>
    <cfRule type="cellIs" dxfId="1177" priority="120" stopIfTrue="1" operator="equal">
      <formula>"E7A"</formula>
    </cfRule>
  </conditionalFormatting>
  <conditionalFormatting sqref="F61">
    <cfRule type="cellIs" dxfId="1176" priority="117" stopIfTrue="1" operator="equal">
      <formula>"E7"</formula>
    </cfRule>
    <cfRule type="cellIs" dxfId="1175" priority="118" stopIfTrue="1" operator="equal">
      <formula>"E7A"</formula>
    </cfRule>
  </conditionalFormatting>
  <conditionalFormatting sqref="F52">
    <cfRule type="cellIs" dxfId="1174" priority="115" stopIfTrue="1" operator="equal">
      <formula>"E7"</formula>
    </cfRule>
    <cfRule type="cellIs" dxfId="1173" priority="116" stopIfTrue="1" operator="equal">
      <formula>"E7A"</formula>
    </cfRule>
  </conditionalFormatting>
  <conditionalFormatting sqref="F53">
    <cfRule type="cellIs" dxfId="1172" priority="113" stopIfTrue="1" operator="equal">
      <formula>"E7"</formula>
    </cfRule>
    <cfRule type="cellIs" dxfId="1171" priority="114" stopIfTrue="1" operator="equal">
      <formula>"E7A"</formula>
    </cfRule>
  </conditionalFormatting>
  <conditionalFormatting sqref="B52:B53">
    <cfRule type="expression" dxfId="1170" priority="112">
      <formula>$B52="A"</formula>
    </cfRule>
  </conditionalFormatting>
  <conditionalFormatting sqref="F38">
    <cfRule type="cellIs" dxfId="1169" priority="110" stopIfTrue="1" operator="equal">
      <formula>"E7"</formula>
    </cfRule>
    <cfRule type="cellIs" dxfId="1168" priority="111" stopIfTrue="1" operator="equal">
      <formula>"E7A"</formula>
    </cfRule>
  </conditionalFormatting>
  <conditionalFormatting sqref="F37">
    <cfRule type="cellIs" dxfId="1167" priority="108" stopIfTrue="1" operator="equal">
      <formula>"E7"</formula>
    </cfRule>
    <cfRule type="cellIs" dxfId="1166" priority="109" stopIfTrue="1" operator="equal">
      <formula>"E7A"</formula>
    </cfRule>
  </conditionalFormatting>
  <conditionalFormatting sqref="F36">
    <cfRule type="cellIs" dxfId="1165" priority="106" stopIfTrue="1" operator="equal">
      <formula>"E7"</formula>
    </cfRule>
    <cfRule type="cellIs" dxfId="1164" priority="107" stopIfTrue="1" operator="equal">
      <formula>"E7A"</formula>
    </cfRule>
  </conditionalFormatting>
  <conditionalFormatting sqref="F40">
    <cfRule type="cellIs" dxfId="1163" priority="104" stopIfTrue="1" operator="equal">
      <formula>"E7"</formula>
    </cfRule>
    <cfRule type="cellIs" dxfId="1162" priority="105" stopIfTrue="1" operator="equal">
      <formula>"E7A"</formula>
    </cfRule>
  </conditionalFormatting>
  <conditionalFormatting sqref="B49">
    <cfRule type="expression" dxfId="1161" priority="103">
      <formula>$B49="A"</formula>
    </cfRule>
  </conditionalFormatting>
  <conditionalFormatting sqref="B36:B38 B40">
    <cfRule type="expression" dxfId="1160" priority="102">
      <formula>$B36="A"</formula>
    </cfRule>
  </conditionalFormatting>
  <conditionalFormatting sqref="F49">
    <cfRule type="cellIs" dxfId="1159" priority="100" stopIfTrue="1" operator="equal">
      <formula>"E7"</formula>
    </cfRule>
    <cfRule type="cellIs" dxfId="1158" priority="101" stopIfTrue="1" operator="equal">
      <formula>"E7A"</formula>
    </cfRule>
  </conditionalFormatting>
  <conditionalFormatting sqref="B50:B51">
    <cfRule type="expression" dxfId="1157" priority="99">
      <formula>$B50="A"</formula>
    </cfRule>
  </conditionalFormatting>
  <conditionalFormatting sqref="F50">
    <cfRule type="cellIs" dxfId="1156" priority="97" stopIfTrue="1" operator="equal">
      <formula>"E7"</formula>
    </cfRule>
    <cfRule type="cellIs" dxfId="1155" priority="98" stopIfTrue="1" operator="equal">
      <formula>"E7A"</formula>
    </cfRule>
  </conditionalFormatting>
  <conditionalFormatting sqref="F51">
    <cfRule type="cellIs" dxfId="1154" priority="95" stopIfTrue="1" operator="equal">
      <formula>"E7"</formula>
    </cfRule>
    <cfRule type="cellIs" dxfId="1153" priority="96" stopIfTrue="1" operator="equal">
      <formula>"E7A"</formula>
    </cfRule>
  </conditionalFormatting>
  <conditionalFormatting sqref="B41">
    <cfRule type="expression" dxfId="1152" priority="94">
      <formula>$B41="A"</formula>
    </cfRule>
  </conditionalFormatting>
  <conditionalFormatting sqref="F41">
    <cfRule type="cellIs" dxfId="1151" priority="92" stopIfTrue="1" operator="equal">
      <formula>"E7"</formula>
    </cfRule>
    <cfRule type="cellIs" dxfId="1150" priority="93" stopIfTrue="1" operator="equal">
      <formula>"E7A"</formula>
    </cfRule>
  </conditionalFormatting>
  <conditionalFormatting sqref="F45">
    <cfRule type="cellIs" dxfId="1149" priority="90" stopIfTrue="1" operator="equal">
      <formula>"E7"</formula>
    </cfRule>
    <cfRule type="cellIs" dxfId="1148" priority="91" stopIfTrue="1" operator="equal">
      <formula>"E7A"</formula>
    </cfRule>
  </conditionalFormatting>
  <conditionalFormatting sqref="F47">
    <cfRule type="cellIs" dxfId="1147" priority="88" stopIfTrue="1" operator="equal">
      <formula>"E7"</formula>
    </cfRule>
    <cfRule type="cellIs" dxfId="1146" priority="89" stopIfTrue="1" operator="equal">
      <formula>"E7A"</formula>
    </cfRule>
  </conditionalFormatting>
  <conditionalFormatting sqref="F48">
    <cfRule type="cellIs" dxfId="1145" priority="86" stopIfTrue="1" operator="equal">
      <formula>"E7"</formula>
    </cfRule>
    <cfRule type="cellIs" dxfId="1144" priority="87" stopIfTrue="1" operator="equal">
      <formula>"E7A"</formula>
    </cfRule>
  </conditionalFormatting>
  <conditionalFormatting sqref="B42:B45 B47:B48">
    <cfRule type="expression" dxfId="1143" priority="85">
      <formula>$B42="A"</formula>
    </cfRule>
  </conditionalFormatting>
  <conditionalFormatting sqref="F42">
    <cfRule type="cellIs" dxfId="1142" priority="83" stopIfTrue="1" operator="equal">
      <formula>"E7"</formula>
    </cfRule>
    <cfRule type="cellIs" dxfId="1141" priority="84" stopIfTrue="1" operator="equal">
      <formula>"E7A"</formula>
    </cfRule>
  </conditionalFormatting>
  <conditionalFormatting sqref="F43">
    <cfRule type="cellIs" dxfId="1140" priority="81" stopIfTrue="1" operator="equal">
      <formula>"E7"</formula>
    </cfRule>
    <cfRule type="cellIs" dxfId="1139" priority="82" stopIfTrue="1" operator="equal">
      <formula>"E7A"</formula>
    </cfRule>
  </conditionalFormatting>
  <conditionalFormatting sqref="F44">
    <cfRule type="cellIs" dxfId="1138" priority="79" stopIfTrue="1" operator="equal">
      <formula>"E7"</formula>
    </cfRule>
    <cfRule type="cellIs" dxfId="1137" priority="80" stopIfTrue="1" operator="equal">
      <formula>"E7A"</formula>
    </cfRule>
  </conditionalFormatting>
  <conditionalFormatting sqref="F34">
    <cfRule type="cellIs" dxfId="1136" priority="77" stopIfTrue="1" operator="equal">
      <formula>"E7"</formula>
    </cfRule>
    <cfRule type="cellIs" dxfId="1135" priority="78" stopIfTrue="1" operator="equal">
      <formula>"E7A"</formula>
    </cfRule>
  </conditionalFormatting>
  <conditionalFormatting sqref="F35">
    <cfRule type="cellIs" dxfId="1134" priority="75" stopIfTrue="1" operator="equal">
      <formula>"E7"</formula>
    </cfRule>
    <cfRule type="cellIs" dxfId="1133" priority="76" stopIfTrue="1" operator="equal">
      <formula>"E7A"</formula>
    </cfRule>
  </conditionalFormatting>
  <conditionalFormatting sqref="B34:B35">
    <cfRule type="expression" dxfId="1132" priority="74">
      <formula>$B34="A"</formula>
    </cfRule>
  </conditionalFormatting>
  <conditionalFormatting sqref="F22">
    <cfRule type="cellIs" dxfId="1131" priority="72" stopIfTrue="1" operator="equal">
      <formula>"E7"</formula>
    </cfRule>
    <cfRule type="cellIs" dxfId="1130" priority="73" stopIfTrue="1" operator="equal">
      <formula>"E7A"</formula>
    </cfRule>
  </conditionalFormatting>
  <conditionalFormatting sqref="F21">
    <cfRule type="cellIs" dxfId="1129" priority="70" stopIfTrue="1" operator="equal">
      <formula>"E7"</formula>
    </cfRule>
    <cfRule type="cellIs" dxfId="1128" priority="71" stopIfTrue="1" operator="equal">
      <formula>"E7A"</formula>
    </cfRule>
  </conditionalFormatting>
  <conditionalFormatting sqref="F20">
    <cfRule type="cellIs" dxfId="1127" priority="68" stopIfTrue="1" operator="equal">
      <formula>"E7"</formula>
    </cfRule>
    <cfRule type="cellIs" dxfId="1126" priority="69" stopIfTrue="1" operator="equal">
      <formula>"E7A"</formula>
    </cfRule>
  </conditionalFormatting>
  <conditionalFormatting sqref="F23">
    <cfRule type="cellIs" dxfId="1125" priority="66" stopIfTrue="1" operator="equal">
      <formula>"E7"</formula>
    </cfRule>
    <cfRule type="cellIs" dxfId="1124" priority="67" stopIfTrue="1" operator="equal">
      <formula>"E7A"</formula>
    </cfRule>
  </conditionalFormatting>
  <conditionalFormatting sqref="B31">
    <cfRule type="expression" dxfId="1123" priority="65">
      <formula>$B31="A"</formula>
    </cfRule>
  </conditionalFormatting>
  <conditionalFormatting sqref="B20:B23">
    <cfRule type="expression" dxfId="1122" priority="64">
      <formula>$B20="A"</formula>
    </cfRule>
  </conditionalFormatting>
  <conditionalFormatting sqref="F31">
    <cfRule type="cellIs" dxfId="1121" priority="62" stopIfTrue="1" operator="equal">
      <formula>"E7"</formula>
    </cfRule>
    <cfRule type="cellIs" dxfId="1120" priority="63" stopIfTrue="1" operator="equal">
      <formula>"E7A"</formula>
    </cfRule>
  </conditionalFormatting>
  <conditionalFormatting sqref="B32:B33">
    <cfRule type="expression" dxfId="1119" priority="61">
      <formula>$B32="A"</formula>
    </cfRule>
  </conditionalFormatting>
  <conditionalFormatting sqref="F32">
    <cfRule type="cellIs" dxfId="1118" priority="59" stopIfTrue="1" operator="equal">
      <formula>"E7"</formula>
    </cfRule>
    <cfRule type="cellIs" dxfId="1117" priority="60" stopIfTrue="1" operator="equal">
      <formula>"E7A"</formula>
    </cfRule>
  </conditionalFormatting>
  <conditionalFormatting sqref="F33">
    <cfRule type="cellIs" dxfId="1116" priority="57" stopIfTrue="1" operator="equal">
      <formula>"E7"</formula>
    </cfRule>
    <cfRule type="cellIs" dxfId="1115" priority="58" stopIfTrue="1" operator="equal">
      <formula>"E7A"</formula>
    </cfRule>
  </conditionalFormatting>
  <conditionalFormatting sqref="B24">
    <cfRule type="expression" dxfId="1114" priority="56">
      <formula>$B24="A"</formula>
    </cfRule>
  </conditionalFormatting>
  <conditionalFormatting sqref="F24">
    <cfRule type="cellIs" dxfId="1113" priority="54" stopIfTrue="1" operator="equal">
      <formula>"E7"</formula>
    </cfRule>
    <cfRule type="cellIs" dxfId="1112" priority="55" stopIfTrue="1" operator="equal">
      <formula>"E7A"</formula>
    </cfRule>
  </conditionalFormatting>
  <conditionalFormatting sqref="F28">
    <cfRule type="cellIs" dxfId="1111" priority="52" stopIfTrue="1" operator="equal">
      <formula>"E7"</formula>
    </cfRule>
    <cfRule type="cellIs" dxfId="1110" priority="53" stopIfTrue="1" operator="equal">
      <formula>"E7A"</formula>
    </cfRule>
  </conditionalFormatting>
  <conditionalFormatting sqref="F29">
    <cfRule type="cellIs" dxfId="1109" priority="50" stopIfTrue="1" operator="equal">
      <formula>"E7"</formula>
    </cfRule>
    <cfRule type="cellIs" dxfId="1108" priority="51" stopIfTrue="1" operator="equal">
      <formula>"E7A"</formula>
    </cfRule>
  </conditionalFormatting>
  <conditionalFormatting sqref="F30">
    <cfRule type="cellIs" dxfId="1107" priority="48" stopIfTrue="1" operator="equal">
      <formula>"E7"</formula>
    </cfRule>
    <cfRule type="cellIs" dxfId="1106" priority="49" stopIfTrue="1" operator="equal">
      <formula>"E7A"</formula>
    </cfRule>
  </conditionalFormatting>
  <conditionalFormatting sqref="B25:B30">
    <cfRule type="expression" dxfId="1105" priority="47">
      <formula>$B25="A"</formula>
    </cfRule>
  </conditionalFormatting>
  <conditionalFormatting sqref="F25">
    <cfRule type="cellIs" dxfId="1104" priority="45" stopIfTrue="1" operator="equal">
      <formula>"E7"</formula>
    </cfRule>
    <cfRule type="cellIs" dxfId="1103" priority="46" stopIfTrue="1" operator="equal">
      <formula>"E7A"</formula>
    </cfRule>
  </conditionalFormatting>
  <conditionalFormatting sqref="F26">
    <cfRule type="cellIs" dxfId="1102" priority="43" stopIfTrue="1" operator="equal">
      <formula>"E7"</formula>
    </cfRule>
    <cfRule type="cellIs" dxfId="1101" priority="44" stopIfTrue="1" operator="equal">
      <formula>"E7A"</formula>
    </cfRule>
  </conditionalFormatting>
  <conditionalFormatting sqref="F27">
    <cfRule type="cellIs" dxfId="1100" priority="41" stopIfTrue="1" operator="equal">
      <formula>"E7"</formula>
    </cfRule>
    <cfRule type="cellIs" dxfId="1099" priority="42" stopIfTrue="1" operator="equal">
      <formula>"E7A"</formula>
    </cfRule>
  </conditionalFormatting>
  <conditionalFormatting sqref="F18">
    <cfRule type="cellIs" dxfId="1098" priority="39" stopIfTrue="1" operator="equal">
      <formula>"E7"</formula>
    </cfRule>
    <cfRule type="cellIs" dxfId="1097" priority="40" stopIfTrue="1" operator="equal">
      <formula>"E7A"</formula>
    </cfRule>
  </conditionalFormatting>
  <conditionalFormatting sqref="F19">
    <cfRule type="cellIs" dxfId="1096" priority="37" stopIfTrue="1" operator="equal">
      <formula>"E7"</formula>
    </cfRule>
    <cfRule type="cellIs" dxfId="1095" priority="38" stopIfTrue="1" operator="equal">
      <formula>"E7A"</formula>
    </cfRule>
  </conditionalFormatting>
  <conditionalFormatting sqref="B18:B19">
    <cfRule type="expression" dxfId="1094" priority="36">
      <formula>$B18="A"</formula>
    </cfRule>
  </conditionalFormatting>
  <conditionalFormatting sqref="F101">
    <cfRule type="cellIs" dxfId="1093" priority="34" stopIfTrue="1" operator="equal">
      <formula>"E7"</formula>
    </cfRule>
    <cfRule type="cellIs" dxfId="1092" priority="35" stopIfTrue="1" operator="equal">
      <formula>"E7A"</formula>
    </cfRule>
  </conditionalFormatting>
  <conditionalFormatting sqref="B101">
    <cfRule type="expression" dxfId="1091" priority="33">
      <formula>$B101="A"</formula>
    </cfRule>
  </conditionalFormatting>
  <conditionalFormatting sqref="AA6">
    <cfRule type="expression" dxfId="1090" priority="30">
      <formula>AA269=0</formula>
    </cfRule>
  </conditionalFormatting>
  <conditionalFormatting sqref="AA1">
    <cfRule type="duplicateValues" dxfId="1089" priority="29"/>
  </conditionalFormatting>
  <conditionalFormatting sqref="AA4">
    <cfRule type="duplicateValues" dxfId="1088" priority="28"/>
  </conditionalFormatting>
  <conditionalFormatting sqref="BL6">
    <cfRule type="expression" dxfId="1087" priority="25">
      <formula>BL269=0</formula>
    </cfRule>
  </conditionalFormatting>
  <conditionalFormatting sqref="BL1">
    <cfRule type="duplicateValues" dxfId="1086" priority="24"/>
  </conditionalFormatting>
  <conditionalFormatting sqref="BL4">
    <cfRule type="duplicateValues" dxfId="1085" priority="23"/>
  </conditionalFormatting>
  <conditionalFormatting sqref="CG6">
    <cfRule type="expression" dxfId="1084" priority="20">
      <formula>CG269=0</formula>
    </cfRule>
  </conditionalFormatting>
  <conditionalFormatting sqref="CG1">
    <cfRule type="duplicateValues" dxfId="1083" priority="19"/>
  </conditionalFormatting>
  <conditionalFormatting sqref="CG4">
    <cfRule type="duplicateValues" dxfId="1082" priority="18"/>
  </conditionalFormatting>
  <conditionalFormatting sqref="O6">
    <cfRule type="expression" dxfId="1081" priority="15">
      <formula>O269=0</formula>
    </cfRule>
  </conditionalFormatting>
  <conditionalFormatting sqref="O1">
    <cfRule type="duplicateValues" dxfId="1080" priority="14"/>
  </conditionalFormatting>
  <conditionalFormatting sqref="O1">
    <cfRule type="duplicateValues" dxfId="1079" priority="13"/>
  </conditionalFormatting>
  <conditionalFormatting sqref="O4">
    <cfRule type="duplicateValues" dxfId="1078" priority="12"/>
  </conditionalFormatting>
  <conditionalFormatting sqref="F39">
    <cfRule type="cellIs" dxfId="1077" priority="10" stopIfTrue="1" operator="equal">
      <formula>"E7"</formula>
    </cfRule>
    <cfRule type="cellIs" dxfId="1076" priority="11" stopIfTrue="1" operator="equal">
      <formula>"E7A"</formula>
    </cfRule>
  </conditionalFormatting>
  <conditionalFormatting sqref="B39">
    <cfRule type="expression" dxfId="1075" priority="9">
      <formula>$B39="A"</formula>
    </cfRule>
  </conditionalFormatting>
  <conditionalFormatting sqref="F46">
    <cfRule type="cellIs" dxfId="1074" priority="7" stopIfTrue="1" operator="equal">
      <formula>"E7"</formula>
    </cfRule>
    <cfRule type="cellIs" dxfId="1073" priority="8" stopIfTrue="1" operator="equal">
      <formula>"E7A"</formula>
    </cfRule>
  </conditionalFormatting>
  <conditionalFormatting sqref="B46">
    <cfRule type="expression" dxfId="1072" priority="6">
      <formula>$B46="A"</formula>
    </cfRule>
  </conditionalFormatting>
  <conditionalFormatting sqref="Q6">
    <cfRule type="expression" dxfId="1071" priority="3">
      <formula>Q269=0</formula>
    </cfRule>
  </conditionalFormatting>
  <conditionalFormatting sqref="Q1">
    <cfRule type="duplicateValues" dxfId="1070" priority="2"/>
  </conditionalFormatting>
  <conditionalFormatting sqref="Q4">
    <cfRule type="duplicateValues" dxfId="1069" priority="1"/>
  </conditionalFormatting>
  <conditionalFormatting sqref="H6">
    <cfRule type="expression" dxfId="1068" priority="290">
      <formula>H$270&gt;0</formula>
    </cfRule>
    <cfRule type="duplicateValues" dxfId="1067" priority="291"/>
  </conditionalFormatting>
  <conditionalFormatting sqref="I6:L6 AW6:BK6 FI6:FP6 BM6:CF6 CH6:FD6">
    <cfRule type="expression" dxfId="1066" priority="292">
      <formula>I$270&gt;0</formula>
    </cfRule>
    <cfRule type="duplicateValues" dxfId="1065" priority="293"/>
  </conditionalFormatting>
  <conditionalFormatting sqref="AL6:AV6">
    <cfRule type="expression" dxfId="1064" priority="302">
      <formula>AL$270&gt;0</formula>
    </cfRule>
    <cfRule type="duplicateValues" dxfId="1063" priority="303"/>
  </conditionalFormatting>
  <conditionalFormatting sqref="Z6 AB6:AK6">
    <cfRule type="expression" dxfId="1062" priority="304">
      <formula>Z$270&gt;0</formula>
    </cfRule>
    <cfRule type="duplicateValues" dxfId="1061" priority="305"/>
  </conditionalFormatting>
  <conditionalFormatting sqref="M6:N6 P6 R6:Y6">
    <cfRule type="expression" dxfId="1060" priority="308">
      <formula>M$270&gt;0</formula>
    </cfRule>
    <cfRule type="duplicateValues" dxfId="1059" priority="309"/>
  </conditionalFormatting>
  <conditionalFormatting sqref="FE6:FH6">
    <cfRule type="expression" dxfId="1058" priority="314">
      <formula>FE$270&gt;0</formula>
    </cfRule>
    <cfRule type="duplicateValues" dxfId="1057" priority="315"/>
  </conditionalFormatting>
  <conditionalFormatting sqref="AA6">
    <cfRule type="expression" dxfId="1056" priority="316">
      <formula>AA$270&gt;0</formula>
    </cfRule>
    <cfRule type="duplicateValues" dxfId="1055" priority="317"/>
  </conditionalFormatting>
  <conditionalFormatting sqref="BL6">
    <cfRule type="expression" dxfId="1054" priority="318">
      <formula>BL$270&gt;0</formula>
    </cfRule>
    <cfRule type="duplicateValues" dxfId="1053" priority="319"/>
  </conditionalFormatting>
  <conditionalFormatting sqref="CG6">
    <cfRule type="expression" dxfId="1052" priority="320">
      <formula>CG$270&gt;0</formula>
    </cfRule>
    <cfRule type="duplicateValues" dxfId="1051" priority="321"/>
  </conditionalFormatting>
  <conditionalFormatting sqref="O6">
    <cfRule type="expression" dxfId="1050" priority="322">
      <formula>O$270&gt;0</formula>
    </cfRule>
    <cfRule type="duplicateValues" dxfId="1049" priority="323"/>
  </conditionalFormatting>
  <conditionalFormatting sqref="Q6">
    <cfRule type="expression" dxfId="1048" priority="324">
      <formula>Q$270&gt;0</formula>
    </cfRule>
    <cfRule type="duplicateValues" dxfId="1047" priority="325"/>
  </conditionalFormatting>
  <pageMargins left="0.7" right="0.7" top="0.75" bottom="0.75" header="0.3" footer="0.3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FW108"/>
  <sheetViews>
    <sheetView zoomScaleNormal="100" workbookViewId="0">
      <pane xSplit="7" ySplit="6" topLeftCell="H91" activePane="bottomRight" state="frozen"/>
      <selection pane="topRight" activeCell="H1" sqref="H1"/>
      <selection pane="bottomLeft" activeCell="A7" sqref="A7"/>
      <selection pane="bottomRight" activeCell="N108" sqref="N108"/>
    </sheetView>
  </sheetViews>
  <sheetFormatPr defaultRowHeight="10.199999999999999"/>
  <cols>
    <col min="1" max="3" width="8.88671875" style="273"/>
    <col min="4" max="4" width="11.6640625" style="273" bestFit="1" customWidth="1"/>
    <col min="5" max="16384" width="8.88671875" style="273"/>
  </cols>
  <sheetData>
    <row r="1" spans="1:175" ht="11.4">
      <c r="A1" s="220"/>
      <c r="B1" s="221"/>
      <c r="C1" s="221"/>
      <c r="D1" s="222"/>
      <c r="E1" s="223"/>
      <c r="F1" s="223"/>
      <c r="G1" s="229" t="s">
        <v>875</v>
      </c>
      <c r="H1" s="223"/>
      <c r="I1" s="223"/>
      <c r="J1" s="223"/>
      <c r="K1" s="223"/>
      <c r="L1" s="223"/>
      <c r="M1" s="223"/>
      <c r="N1" s="223"/>
      <c r="O1" s="223"/>
      <c r="P1" s="223"/>
      <c r="Q1" s="223"/>
      <c r="R1" s="223"/>
      <c r="S1" s="223"/>
      <c r="T1" s="223"/>
      <c r="U1" s="223"/>
      <c r="V1" s="223"/>
      <c r="W1" s="223"/>
      <c r="X1" s="223"/>
      <c r="Y1" s="223"/>
      <c r="Z1" s="223"/>
      <c r="AA1" s="223"/>
      <c r="AB1" s="223"/>
      <c r="AC1" s="223"/>
      <c r="AD1" s="223"/>
      <c r="AE1" s="223"/>
      <c r="AF1" s="223"/>
      <c r="AG1" s="223"/>
      <c r="AH1" s="223"/>
      <c r="AI1" s="223"/>
      <c r="AJ1" s="223"/>
      <c r="AK1" s="223"/>
      <c r="AL1" s="223"/>
      <c r="AM1" s="223"/>
      <c r="AN1" s="223"/>
      <c r="AO1" s="223"/>
      <c r="AP1" s="223"/>
      <c r="AQ1" s="223"/>
      <c r="AR1" s="223"/>
      <c r="AS1" s="223"/>
      <c r="AT1" s="223"/>
      <c r="AU1" s="223"/>
      <c r="AV1" s="223"/>
      <c r="AW1" s="223"/>
      <c r="AX1" s="223"/>
      <c r="AY1" s="223"/>
      <c r="AZ1" s="223"/>
      <c r="BA1" s="223"/>
      <c r="BB1" s="223"/>
      <c r="BC1" s="223"/>
      <c r="BD1" s="223"/>
      <c r="BE1" s="223"/>
      <c r="BF1" s="223"/>
      <c r="BG1" s="223"/>
      <c r="BH1" s="223"/>
      <c r="BI1" s="223"/>
      <c r="BJ1" s="223"/>
      <c r="BK1" s="223"/>
      <c r="BL1" s="223"/>
      <c r="BM1" s="352" t="s">
        <v>1178</v>
      </c>
      <c r="BN1" s="223"/>
      <c r="BO1" s="223"/>
      <c r="BP1" s="223"/>
      <c r="BQ1" s="223"/>
      <c r="BR1" s="223"/>
      <c r="BS1" s="223"/>
      <c r="BT1" s="223"/>
      <c r="BU1" s="223"/>
      <c r="BV1" s="223"/>
      <c r="BW1" s="223"/>
      <c r="BX1" s="223"/>
      <c r="BY1" s="223"/>
      <c r="BZ1" s="223"/>
      <c r="CA1" s="223"/>
      <c r="CB1" s="223"/>
      <c r="CC1" s="223"/>
      <c r="CD1" s="223"/>
      <c r="CE1" s="223"/>
      <c r="CF1" s="223"/>
      <c r="CG1" s="223"/>
      <c r="CH1" s="223"/>
      <c r="CI1" s="223"/>
      <c r="CJ1" s="223"/>
      <c r="CK1" s="223"/>
      <c r="CL1" s="223"/>
      <c r="CM1" s="223"/>
      <c r="CN1" s="223"/>
      <c r="CO1" s="223"/>
      <c r="CP1" s="223"/>
      <c r="CQ1" s="223"/>
      <c r="CR1" s="223"/>
      <c r="CS1" s="223"/>
      <c r="CT1" s="223"/>
      <c r="CU1" s="223"/>
      <c r="CV1" s="223"/>
      <c r="CW1" s="223"/>
      <c r="CX1" s="223"/>
      <c r="CY1" s="223"/>
      <c r="CZ1" s="223"/>
      <c r="DA1" s="223"/>
      <c r="DB1" s="223"/>
      <c r="DC1" s="223"/>
      <c r="DD1" s="223"/>
      <c r="DE1" s="223"/>
      <c r="DF1" s="223"/>
      <c r="DG1" s="223"/>
      <c r="DH1" s="223"/>
      <c r="DI1" s="223"/>
      <c r="DJ1" s="223"/>
      <c r="DK1" s="223"/>
      <c r="DL1" s="223"/>
      <c r="DM1" s="223"/>
      <c r="DN1" s="223"/>
      <c r="DO1" s="223"/>
      <c r="DP1" s="223"/>
      <c r="DQ1" s="223"/>
      <c r="DR1" s="223"/>
      <c r="DS1" s="223"/>
      <c r="DT1" s="223"/>
      <c r="DU1" s="223"/>
      <c r="DV1" s="223"/>
      <c r="DW1" s="223"/>
      <c r="DX1" s="223"/>
      <c r="DY1" s="223"/>
      <c r="DZ1" s="223"/>
      <c r="EA1" s="223"/>
      <c r="EB1" s="223"/>
      <c r="EC1" s="223"/>
      <c r="ED1" s="223"/>
      <c r="EE1" s="223"/>
      <c r="EF1" s="223"/>
      <c r="EG1" s="223"/>
      <c r="EH1" s="223"/>
      <c r="EI1" s="223"/>
      <c r="EJ1" s="223"/>
      <c r="EK1" s="223"/>
      <c r="EL1" s="223"/>
      <c r="EM1" s="223"/>
      <c r="EN1" s="223"/>
      <c r="EO1" s="223"/>
      <c r="EP1" s="223"/>
      <c r="EQ1" s="223"/>
      <c r="ER1" s="223"/>
      <c r="ES1" s="223"/>
      <c r="ET1" s="223"/>
      <c r="EU1" s="223"/>
      <c r="EV1" s="223"/>
      <c r="EW1" s="223"/>
      <c r="EX1" s="223"/>
      <c r="EY1" s="223"/>
      <c r="EZ1" s="223"/>
      <c r="FA1" s="223"/>
      <c r="FB1" s="223"/>
      <c r="FC1" s="223"/>
      <c r="FD1" s="223"/>
      <c r="FE1" s="223"/>
      <c r="FF1" s="223"/>
      <c r="FG1" s="223"/>
      <c r="FH1" s="223"/>
      <c r="FI1" s="223"/>
      <c r="FJ1" s="223"/>
      <c r="FK1" s="223"/>
      <c r="FL1" s="275"/>
      <c r="FM1" s="225"/>
      <c r="FN1" s="226"/>
      <c r="FO1" s="221"/>
      <c r="FP1" s="221"/>
      <c r="FQ1" s="221"/>
      <c r="FR1" s="221"/>
      <c r="FS1" s="221"/>
    </row>
    <row r="2" spans="1:175" ht="11.4">
      <c r="A2" s="227"/>
      <c r="B2" s="228"/>
      <c r="C2" s="228"/>
      <c r="D2" s="228"/>
      <c r="E2" s="229"/>
      <c r="F2" s="229"/>
      <c r="G2" s="229" t="s">
        <v>876</v>
      </c>
      <c r="H2" s="230" t="s">
        <v>1</v>
      </c>
      <c r="I2" s="230" t="s">
        <v>291</v>
      </c>
      <c r="J2" s="230" t="s">
        <v>293</v>
      </c>
      <c r="K2" s="230" t="s">
        <v>291</v>
      </c>
      <c r="L2" s="230" t="s">
        <v>1</v>
      </c>
      <c r="M2" s="231" t="s">
        <v>777</v>
      </c>
      <c r="N2" s="231" t="s">
        <v>772</v>
      </c>
      <c r="O2" s="230" t="s">
        <v>1</v>
      </c>
      <c r="P2" s="230" t="s">
        <v>1</v>
      </c>
      <c r="Q2" s="231" t="s">
        <v>777</v>
      </c>
      <c r="R2" s="230" t="s">
        <v>291</v>
      </c>
      <c r="S2" s="230" t="s">
        <v>1</v>
      </c>
      <c r="T2" s="231" t="s">
        <v>776</v>
      </c>
      <c r="U2" s="230" t="s">
        <v>1</v>
      </c>
      <c r="V2" s="230" t="s">
        <v>1</v>
      </c>
      <c r="W2" s="230" t="s">
        <v>1</v>
      </c>
      <c r="X2" s="230" t="s">
        <v>1</v>
      </c>
      <c r="Y2" s="230" t="s">
        <v>1</v>
      </c>
      <c r="Z2" s="230" t="s">
        <v>1</v>
      </c>
      <c r="AA2" s="230" t="s">
        <v>1</v>
      </c>
      <c r="AB2" s="230" t="s">
        <v>1</v>
      </c>
      <c r="AC2" s="230" t="s">
        <v>1</v>
      </c>
      <c r="AD2" s="230" t="s">
        <v>291</v>
      </c>
      <c r="AE2" s="230" t="s">
        <v>1</v>
      </c>
      <c r="AF2" s="230" t="s">
        <v>291</v>
      </c>
      <c r="AG2" s="231" t="s">
        <v>772</v>
      </c>
      <c r="AH2" s="230" t="s">
        <v>1</v>
      </c>
      <c r="AI2" s="230" t="s">
        <v>1</v>
      </c>
      <c r="AJ2" s="230" t="s">
        <v>1</v>
      </c>
      <c r="AK2" s="231" t="s">
        <v>773</v>
      </c>
      <c r="AL2" s="231" t="s">
        <v>775</v>
      </c>
      <c r="AM2" s="230" t="s">
        <v>1</v>
      </c>
      <c r="AN2" s="230" t="s">
        <v>291</v>
      </c>
      <c r="AO2" s="230" t="s">
        <v>291</v>
      </c>
      <c r="AP2" s="230" t="s">
        <v>291</v>
      </c>
      <c r="AQ2" s="230" t="s">
        <v>291</v>
      </c>
      <c r="AR2" s="231" t="s">
        <v>775</v>
      </c>
      <c r="AS2" s="230" t="s">
        <v>1</v>
      </c>
      <c r="AT2" s="231" t="s">
        <v>776</v>
      </c>
      <c r="AU2" s="230" t="s">
        <v>1</v>
      </c>
      <c r="AV2" s="231" t="s">
        <v>775</v>
      </c>
      <c r="AW2" s="231" t="s">
        <v>772</v>
      </c>
      <c r="AX2" s="230" t="s">
        <v>291</v>
      </c>
      <c r="AY2" s="230" t="s">
        <v>1</v>
      </c>
      <c r="AZ2" s="230" t="s">
        <v>1</v>
      </c>
      <c r="BA2" s="230" t="s">
        <v>1</v>
      </c>
      <c r="BB2" s="230" t="s">
        <v>1</v>
      </c>
      <c r="BC2" s="231" t="s">
        <v>882</v>
      </c>
      <c r="BD2" s="230" t="s">
        <v>1</v>
      </c>
      <c r="BE2" s="230" t="s">
        <v>1</v>
      </c>
      <c r="BF2" s="230" t="s">
        <v>1</v>
      </c>
      <c r="BG2" s="230" t="s">
        <v>1</v>
      </c>
      <c r="BH2" s="230" t="s">
        <v>1</v>
      </c>
      <c r="BI2" s="231" t="s">
        <v>777</v>
      </c>
      <c r="BJ2" s="230" t="s">
        <v>1</v>
      </c>
      <c r="BK2" s="230" t="s">
        <v>1</v>
      </c>
      <c r="BL2" s="230" t="s">
        <v>1</v>
      </c>
      <c r="BM2" s="231" t="s">
        <v>776</v>
      </c>
      <c r="BN2" s="230" t="s">
        <v>1</v>
      </c>
      <c r="BO2" s="230" t="s">
        <v>1</v>
      </c>
      <c r="BP2" s="230" t="s">
        <v>1</v>
      </c>
      <c r="BQ2" s="230" t="s">
        <v>1</v>
      </c>
      <c r="BR2" s="230" t="s">
        <v>1</v>
      </c>
      <c r="BS2" s="230" t="s">
        <v>1</v>
      </c>
      <c r="BT2" s="230" t="s">
        <v>1</v>
      </c>
      <c r="BU2" s="230" t="s">
        <v>1</v>
      </c>
      <c r="BV2" s="230" t="s">
        <v>1</v>
      </c>
      <c r="BW2" s="230" t="s">
        <v>1</v>
      </c>
      <c r="BX2" s="230" t="s">
        <v>1</v>
      </c>
      <c r="BY2" s="231" t="s">
        <v>776</v>
      </c>
      <c r="BZ2" s="230" t="s">
        <v>1</v>
      </c>
      <c r="CA2" s="230" t="s">
        <v>1</v>
      </c>
      <c r="CB2" s="231" t="s">
        <v>776</v>
      </c>
      <c r="CC2" s="231" t="s">
        <v>776</v>
      </c>
      <c r="CD2" s="230" t="s">
        <v>1</v>
      </c>
      <c r="CE2" s="231" t="s">
        <v>776</v>
      </c>
      <c r="CF2" s="230" t="s">
        <v>1</v>
      </c>
      <c r="CG2" s="230" t="s">
        <v>1</v>
      </c>
      <c r="CH2" s="230" t="s">
        <v>1</v>
      </c>
      <c r="CI2" s="230" t="s">
        <v>1</v>
      </c>
      <c r="CJ2" s="230" t="s">
        <v>1</v>
      </c>
      <c r="CK2" s="230" t="s">
        <v>1</v>
      </c>
      <c r="CL2" s="230" t="s">
        <v>1</v>
      </c>
      <c r="CM2" s="230" t="s">
        <v>1</v>
      </c>
      <c r="CN2" s="230" t="s">
        <v>1</v>
      </c>
      <c r="CO2" s="230" t="s">
        <v>1</v>
      </c>
      <c r="CP2" s="230" t="s">
        <v>1</v>
      </c>
      <c r="CQ2" s="230" t="s">
        <v>1</v>
      </c>
      <c r="CR2" s="230" t="s">
        <v>1</v>
      </c>
      <c r="CS2" s="230" t="s">
        <v>1</v>
      </c>
      <c r="CT2" s="230" t="s">
        <v>1</v>
      </c>
      <c r="CU2" s="230" t="s">
        <v>1</v>
      </c>
      <c r="CV2" s="230" t="s">
        <v>1</v>
      </c>
      <c r="CW2" s="230" t="s">
        <v>1</v>
      </c>
      <c r="CX2" s="231" t="s">
        <v>776</v>
      </c>
      <c r="CY2" s="231" t="s">
        <v>776</v>
      </c>
      <c r="CZ2" s="231" t="s">
        <v>776</v>
      </c>
      <c r="DA2" s="230" t="s">
        <v>1</v>
      </c>
      <c r="DB2" s="230" t="s">
        <v>1</v>
      </c>
      <c r="DC2" s="230" t="s">
        <v>1</v>
      </c>
      <c r="DD2" s="231" t="s">
        <v>777</v>
      </c>
      <c r="DE2" s="231" t="s">
        <v>777</v>
      </c>
      <c r="DF2" s="231" t="s">
        <v>777</v>
      </c>
      <c r="DG2" s="231" t="s">
        <v>777</v>
      </c>
      <c r="DH2" s="231" t="s">
        <v>777</v>
      </c>
      <c r="DI2" s="230" t="s">
        <v>1</v>
      </c>
      <c r="DJ2" s="230" t="s">
        <v>1</v>
      </c>
      <c r="DK2" s="230" t="s">
        <v>1</v>
      </c>
      <c r="DL2" s="230" t="s">
        <v>291</v>
      </c>
      <c r="DM2" s="230" t="s">
        <v>1</v>
      </c>
      <c r="DN2" s="230" t="s">
        <v>1</v>
      </c>
      <c r="DO2" s="230" t="s">
        <v>1</v>
      </c>
      <c r="DP2" s="230" t="s">
        <v>1</v>
      </c>
      <c r="DQ2" s="231" t="s">
        <v>777</v>
      </c>
      <c r="DR2" s="230" t="s">
        <v>1</v>
      </c>
      <c r="DS2" s="230" t="s">
        <v>1</v>
      </c>
      <c r="DT2" s="230" t="s">
        <v>1</v>
      </c>
      <c r="DU2" s="230" t="s">
        <v>1</v>
      </c>
      <c r="DV2" s="231" t="s">
        <v>772</v>
      </c>
      <c r="DW2" s="231" t="s">
        <v>775</v>
      </c>
      <c r="DX2" s="230" t="s">
        <v>291</v>
      </c>
      <c r="DY2" s="230" t="s">
        <v>1</v>
      </c>
      <c r="DZ2" s="230" t="s">
        <v>291</v>
      </c>
      <c r="EA2" s="230" t="s">
        <v>291</v>
      </c>
      <c r="EB2" s="230" t="s">
        <v>291</v>
      </c>
      <c r="EC2" s="230" t="s">
        <v>1</v>
      </c>
      <c r="ED2" s="230" t="s">
        <v>1</v>
      </c>
      <c r="EE2" s="230" t="s">
        <v>1</v>
      </c>
      <c r="EF2" s="230" t="s">
        <v>1</v>
      </c>
      <c r="EG2" s="230" t="s">
        <v>1</v>
      </c>
      <c r="EH2" s="230" t="s">
        <v>1</v>
      </c>
      <c r="EI2" s="230" t="s">
        <v>1</v>
      </c>
      <c r="EJ2" s="230" t="s">
        <v>1</v>
      </c>
      <c r="EK2" s="230" t="s">
        <v>1</v>
      </c>
      <c r="EL2" s="230" t="s">
        <v>1</v>
      </c>
      <c r="EM2" s="230" t="s">
        <v>1</v>
      </c>
      <c r="EN2" s="230" t="s">
        <v>1</v>
      </c>
      <c r="EO2" s="230" t="s">
        <v>1</v>
      </c>
      <c r="EP2" s="230" t="s">
        <v>1</v>
      </c>
      <c r="EQ2" s="230" t="s">
        <v>1</v>
      </c>
      <c r="ER2" s="230" t="s">
        <v>293</v>
      </c>
      <c r="ES2" s="230" t="s">
        <v>1</v>
      </c>
      <c r="ET2" s="230" t="s">
        <v>1</v>
      </c>
      <c r="EU2" s="230" t="s">
        <v>1</v>
      </c>
      <c r="EV2" s="230" t="s">
        <v>293</v>
      </c>
      <c r="EW2" s="230" t="s">
        <v>1</v>
      </c>
      <c r="EX2" s="230" t="s">
        <v>1</v>
      </c>
      <c r="EY2" s="230" t="s">
        <v>1</v>
      </c>
      <c r="EZ2" s="230" t="s">
        <v>293</v>
      </c>
      <c r="FA2" s="230" t="s">
        <v>1</v>
      </c>
      <c r="FB2" s="230" t="s">
        <v>1</v>
      </c>
      <c r="FC2" s="230" t="s">
        <v>1</v>
      </c>
      <c r="FD2" s="230" t="s">
        <v>293</v>
      </c>
      <c r="FE2" s="230" t="s">
        <v>1</v>
      </c>
      <c r="FF2" s="230" t="s">
        <v>291</v>
      </c>
      <c r="FG2" s="230" t="s">
        <v>1</v>
      </c>
      <c r="FH2" s="230" t="s">
        <v>1</v>
      </c>
      <c r="FI2" s="230" t="s">
        <v>1</v>
      </c>
      <c r="FJ2" s="230" t="s">
        <v>1</v>
      </c>
      <c r="FK2" s="230" t="s">
        <v>1</v>
      </c>
      <c r="FL2" s="275"/>
      <c r="FM2" s="232"/>
      <c r="FN2" s="233"/>
      <c r="FO2" s="228"/>
      <c r="FP2" s="228"/>
      <c r="FQ2" s="228"/>
      <c r="FR2" s="228"/>
      <c r="FS2" s="228"/>
    </row>
    <row r="3" spans="1:175">
      <c r="A3" s="227"/>
      <c r="B3" s="228"/>
      <c r="C3" s="228"/>
      <c r="D3" s="228"/>
      <c r="E3" s="229"/>
      <c r="F3" s="229"/>
      <c r="G3" s="229" t="s">
        <v>296</v>
      </c>
      <c r="H3" s="230">
        <v>20</v>
      </c>
      <c r="I3" s="230">
        <v>20</v>
      </c>
      <c r="J3" s="230">
        <v>20</v>
      </c>
      <c r="K3" s="230">
        <v>20</v>
      </c>
      <c r="L3" s="230">
        <v>20</v>
      </c>
      <c r="M3" s="230">
        <v>20</v>
      </c>
      <c r="N3" s="230">
        <v>20</v>
      </c>
      <c r="O3" s="230">
        <v>20</v>
      </c>
      <c r="P3" s="230">
        <v>20</v>
      </c>
      <c r="Q3" s="230">
        <v>20</v>
      </c>
      <c r="R3" s="230">
        <v>10</v>
      </c>
      <c r="S3" s="230">
        <v>20</v>
      </c>
      <c r="T3" s="230">
        <v>20</v>
      </c>
      <c r="U3" s="230">
        <v>20</v>
      </c>
      <c r="V3" s="230">
        <v>20</v>
      </c>
      <c r="W3" s="230">
        <v>10</v>
      </c>
      <c r="X3" s="230">
        <v>20</v>
      </c>
      <c r="Y3" s="230">
        <v>20</v>
      </c>
      <c r="Z3" s="230">
        <v>10</v>
      </c>
      <c r="AA3" s="230">
        <v>20</v>
      </c>
      <c r="AB3" s="230">
        <v>20</v>
      </c>
      <c r="AC3" s="230">
        <v>20</v>
      </c>
      <c r="AD3" s="230">
        <v>20</v>
      </c>
      <c r="AE3" s="230">
        <v>20</v>
      </c>
      <c r="AF3" s="230">
        <v>20</v>
      </c>
      <c r="AG3" s="230">
        <v>10</v>
      </c>
      <c r="AH3" s="230">
        <v>10</v>
      </c>
      <c r="AI3" s="230">
        <v>10</v>
      </c>
      <c r="AJ3" s="230">
        <v>10</v>
      </c>
      <c r="AK3" s="230">
        <v>20</v>
      </c>
      <c r="AL3" s="230">
        <v>10</v>
      </c>
      <c r="AM3" s="230">
        <v>10</v>
      </c>
      <c r="AN3" s="230">
        <v>10</v>
      </c>
      <c r="AO3" s="230">
        <v>5</v>
      </c>
      <c r="AP3" s="230">
        <v>10</v>
      </c>
      <c r="AQ3" s="230">
        <v>10</v>
      </c>
      <c r="AR3" s="230">
        <v>20</v>
      </c>
      <c r="AS3" s="230">
        <v>20</v>
      </c>
      <c r="AT3" s="230">
        <v>10</v>
      </c>
      <c r="AU3" s="230">
        <v>20</v>
      </c>
      <c r="AV3" s="230">
        <v>20</v>
      </c>
      <c r="AW3" s="230">
        <v>10</v>
      </c>
      <c r="AX3" s="230">
        <v>10</v>
      </c>
      <c r="AY3" s="230">
        <v>10</v>
      </c>
      <c r="AZ3" s="230">
        <v>10</v>
      </c>
      <c r="BA3" s="230">
        <v>20</v>
      </c>
      <c r="BB3" s="230">
        <v>20</v>
      </c>
      <c r="BC3" s="230">
        <v>10</v>
      </c>
      <c r="BD3" s="230">
        <v>10</v>
      </c>
      <c r="BE3" s="230">
        <v>10</v>
      </c>
      <c r="BF3" s="230">
        <v>10</v>
      </c>
      <c r="BG3" s="230">
        <v>10</v>
      </c>
      <c r="BH3" s="230">
        <v>10</v>
      </c>
      <c r="BI3" s="230">
        <v>10</v>
      </c>
      <c r="BJ3" s="230">
        <v>10</v>
      </c>
      <c r="BK3" s="230">
        <v>10</v>
      </c>
      <c r="BL3" s="230">
        <v>10</v>
      </c>
      <c r="BM3" s="230">
        <v>10</v>
      </c>
      <c r="BN3" s="230">
        <v>10</v>
      </c>
      <c r="BO3" s="230">
        <v>10</v>
      </c>
      <c r="BP3" s="230">
        <v>5</v>
      </c>
      <c r="BQ3" s="230">
        <v>10</v>
      </c>
      <c r="BR3" s="230">
        <v>10</v>
      </c>
      <c r="BS3" s="230" t="s">
        <v>206</v>
      </c>
      <c r="BT3" s="230">
        <v>10</v>
      </c>
      <c r="BU3" s="230">
        <v>10</v>
      </c>
      <c r="BV3" s="230">
        <v>10</v>
      </c>
      <c r="BW3" s="230">
        <v>10</v>
      </c>
      <c r="BX3" s="230">
        <v>5</v>
      </c>
      <c r="BY3" s="230">
        <v>5</v>
      </c>
      <c r="BZ3" s="230">
        <v>10</v>
      </c>
      <c r="CA3" s="230">
        <v>10</v>
      </c>
      <c r="CB3" s="230">
        <v>10</v>
      </c>
      <c r="CC3" s="230">
        <v>10</v>
      </c>
      <c r="CD3" s="230">
        <v>5</v>
      </c>
      <c r="CE3" s="230">
        <v>5</v>
      </c>
      <c r="CF3" s="230">
        <v>4</v>
      </c>
      <c r="CG3" s="230">
        <v>5</v>
      </c>
      <c r="CH3" s="230">
        <v>5</v>
      </c>
      <c r="CI3" s="230">
        <v>10</v>
      </c>
      <c r="CJ3" s="230">
        <v>10</v>
      </c>
      <c r="CK3" s="230">
        <v>10</v>
      </c>
      <c r="CL3" s="230">
        <v>10</v>
      </c>
      <c r="CM3" s="230">
        <v>1</v>
      </c>
      <c r="CN3" s="230">
        <v>1</v>
      </c>
      <c r="CO3" s="230">
        <v>1</v>
      </c>
      <c r="CP3" s="230">
        <v>1</v>
      </c>
      <c r="CQ3" s="230">
        <v>1</v>
      </c>
      <c r="CR3" s="230">
        <v>1</v>
      </c>
      <c r="CS3" s="230">
        <v>10</v>
      </c>
      <c r="CT3" s="230">
        <v>10</v>
      </c>
      <c r="CU3" s="230">
        <v>5</v>
      </c>
      <c r="CV3" s="230">
        <v>10</v>
      </c>
      <c r="CW3" s="230">
        <v>5</v>
      </c>
      <c r="CX3" s="230">
        <v>4</v>
      </c>
      <c r="CY3" s="230">
        <v>5</v>
      </c>
      <c r="CZ3" s="230">
        <v>5</v>
      </c>
      <c r="DA3" s="230">
        <v>10</v>
      </c>
      <c r="DB3" s="230">
        <v>10</v>
      </c>
      <c r="DC3" s="230">
        <v>10</v>
      </c>
      <c r="DD3" s="230">
        <v>1</v>
      </c>
      <c r="DE3" s="230">
        <v>1</v>
      </c>
      <c r="DF3" s="230">
        <v>1</v>
      </c>
      <c r="DG3" s="230">
        <v>1</v>
      </c>
      <c r="DH3" s="230">
        <v>1</v>
      </c>
      <c r="DI3" s="230">
        <v>10</v>
      </c>
      <c r="DJ3" s="230">
        <v>5</v>
      </c>
      <c r="DK3" s="230">
        <v>10</v>
      </c>
      <c r="DL3" s="230">
        <v>5</v>
      </c>
      <c r="DM3" s="230" t="s">
        <v>206</v>
      </c>
      <c r="DN3" s="230">
        <v>4</v>
      </c>
      <c r="DO3" s="230">
        <v>5</v>
      </c>
      <c r="DP3" s="230">
        <v>5</v>
      </c>
      <c r="DQ3" s="230">
        <v>10</v>
      </c>
      <c r="DR3" s="230">
        <v>10</v>
      </c>
      <c r="DS3" s="230">
        <v>10</v>
      </c>
      <c r="DT3" s="230">
        <v>10</v>
      </c>
      <c r="DU3" s="230">
        <v>10</v>
      </c>
      <c r="DV3" s="230">
        <v>30</v>
      </c>
      <c r="DW3" s="230">
        <v>20</v>
      </c>
      <c r="DX3" s="230">
        <v>30</v>
      </c>
      <c r="DY3" s="230">
        <v>30</v>
      </c>
      <c r="DZ3" s="230">
        <v>30</v>
      </c>
      <c r="EA3" s="230">
        <v>20</v>
      </c>
      <c r="EB3" s="230">
        <v>30</v>
      </c>
      <c r="EC3" s="230">
        <v>10</v>
      </c>
      <c r="ED3" s="230">
        <v>10</v>
      </c>
      <c r="EE3" s="230">
        <v>10</v>
      </c>
      <c r="EF3" s="230">
        <v>10</v>
      </c>
      <c r="EG3" s="230">
        <v>10</v>
      </c>
      <c r="EH3" s="230">
        <v>10</v>
      </c>
      <c r="EI3" s="230">
        <v>10</v>
      </c>
      <c r="EJ3" s="230">
        <v>10</v>
      </c>
      <c r="EK3" s="230">
        <v>10</v>
      </c>
      <c r="EL3" s="230">
        <v>10</v>
      </c>
      <c r="EM3" s="230">
        <v>10</v>
      </c>
      <c r="EN3" s="230">
        <v>5</v>
      </c>
      <c r="EO3" s="230">
        <v>10</v>
      </c>
      <c r="EP3" s="230">
        <v>10</v>
      </c>
      <c r="EQ3" s="230">
        <v>10</v>
      </c>
      <c r="ER3" s="230">
        <v>10</v>
      </c>
      <c r="ES3" s="230">
        <v>10</v>
      </c>
      <c r="ET3" s="230">
        <v>10</v>
      </c>
      <c r="EU3" s="230">
        <v>5</v>
      </c>
      <c r="EV3" s="230">
        <v>10</v>
      </c>
      <c r="EW3" s="230">
        <v>10</v>
      </c>
      <c r="EX3" s="230">
        <v>5</v>
      </c>
      <c r="EY3" s="230">
        <v>5</v>
      </c>
      <c r="EZ3" s="230">
        <v>10</v>
      </c>
      <c r="FA3" s="230">
        <v>10</v>
      </c>
      <c r="FB3" s="230">
        <v>5</v>
      </c>
      <c r="FC3" s="230" t="s">
        <v>206</v>
      </c>
      <c r="FD3" s="230">
        <v>10</v>
      </c>
      <c r="FE3" s="230">
        <v>10</v>
      </c>
      <c r="FF3" s="230">
        <v>20</v>
      </c>
      <c r="FG3" s="230">
        <v>10</v>
      </c>
      <c r="FH3" s="230">
        <v>10</v>
      </c>
      <c r="FI3" s="230">
        <v>10</v>
      </c>
      <c r="FJ3" s="230">
        <v>10</v>
      </c>
      <c r="FK3" s="230">
        <v>10</v>
      </c>
      <c r="FL3" s="277"/>
      <c r="FM3" s="227"/>
      <c r="FN3" s="228"/>
      <c r="FO3" s="232"/>
      <c r="FP3" s="233"/>
      <c r="FQ3" s="228"/>
      <c r="FR3" s="228"/>
      <c r="FS3" s="228"/>
    </row>
    <row r="4" spans="1:175" ht="40.799999999999997">
      <c r="A4" s="234"/>
      <c r="B4" s="235"/>
      <c r="C4" s="235"/>
      <c r="D4" s="235"/>
      <c r="E4" s="234"/>
      <c r="F4" s="234"/>
      <c r="G4" s="234" t="s">
        <v>778</v>
      </c>
      <c r="H4" s="236" t="s">
        <v>453</v>
      </c>
      <c r="I4" s="236" t="s">
        <v>454</v>
      </c>
      <c r="J4" s="236" t="s">
        <v>455</v>
      </c>
      <c r="K4" s="236" t="s">
        <v>456</v>
      </c>
      <c r="L4" s="236" t="s">
        <v>297</v>
      </c>
      <c r="M4" s="236" t="s">
        <v>457</v>
      </c>
      <c r="N4" s="236" t="s">
        <v>1004</v>
      </c>
      <c r="O4" s="236" t="s">
        <v>458</v>
      </c>
      <c r="P4" s="236" t="s">
        <v>459</v>
      </c>
      <c r="Q4" s="236" t="s">
        <v>460</v>
      </c>
      <c r="R4" s="236" t="s">
        <v>461</v>
      </c>
      <c r="S4" s="236" t="s">
        <v>462</v>
      </c>
      <c r="T4" s="236" t="s">
        <v>463</v>
      </c>
      <c r="U4" s="236" t="s">
        <v>1179</v>
      </c>
      <c r="V4" s="236" t="s">
        <v>465</v>
      </c>
      <c r="W4" s="236" t="s">
        <v>466</v>
      </c>
      <c r="X4" s="236" t="s">
        <v>468</v>
      </c>
      <c r="Y4" s="236" t="s">
        <v>469</v>
      </c>
      <c r="Z4" s="236" t="s">
        <v>470</v>
      </c>
      <c r="AA4" s="236" t="s">
        <v>299</v>
      </c>
      <c r="AB4" s="236" t="s">
        <v>471</v>
      </c>
      <c r="AC4" s="236" t="s">
        <v>300</v>
      </c>
      <c r="AD4" s="236" t="s">
        <v>472</v>
      </c>
      <c r="AE4" s="236" t="s">
        <v>473</v>
      </c>
      <c r="AF4" s="236" t="s">
        <v>474</v>
      </c>
      <c r="AG4" s="236" t="s">
        <v>301</v>
      </c>
      <c r="AH4" s="236" t="s">
        <v>475</v>
      </c>
      <c r="AI4" s="236" t="s">
        <v>476</v>
      </c>
      <c r="AJ4" s="236" t="s">
        <v>477</v>
      </c>
      <c r="AK4" s="236" t="s">
        <v>478</v>
      </c>
      <c r="AL4" s="236" t="s">
        <v>479</v>
      </c>
      <c r="AM4" s="236" t="s">
        <v>480</v>
      </c>
      <c r="AN4" s="236" t="s">
        <v>302</v>
      </c>
      <c r="AO4" s="236" t="s">
        <v>481</v>
      </c>
      <c r="AP4" s="236" t="s">
        <v>482</v>
      </c>
      <c r="AQ4" s="236" t="s">
        <v>483</v>
      </c>
      <c r="AR4" s="236" t="s">
        <v>484</v>
      </c>
      <c r="AS4" s="236" t="s">
        <v>303</v>
      </c>
      <c r="AT4" s="236" t="s">
        <v>304</v>
      </c>
      <c r="AU4" s="236" t="s">
        <v>487</v>
      </c>
      <c r="AV4" s="236" t="s">
        <v>488</v>
      </c>
      <c r="AW4" s="350" t="s">
        <v>489</v>
      </c>
      <c r="AX4" s="236" t="s">
        <v>490</v>
      </c>
      <c r="AY4" s="236" t="s">
        <v>305</v>
      </c>
      <c r="AZ4" s="236" t="s">
        <v>491</v>
      </c>
      <c r="BA4" s="236" t="s">
        <v>492</v>
      </c>
      <c r="BB4" s="236" t="s">
        <v>493</v>
      </c>
      <c r="BC4" s="236" t="s">
        <v>306</v>
      </c>
      <c r="BD4" s="236" t="s">
        <v>494</v>
      </c>
      <c r="BE4" s="236" t="s">
        <v>495</v>
      </c>
      <c r="BF4" s="236" t="s">
        <v>497</v>
      </c>
      <c r="BG4" s="236" t="s">
        <v>307</v>
      </c>
      <c r="BH4" s="236" t="s">
        <v>784</v>
      </c>
      <c r="BI4" s="236" t="s">
        <v>788</v>
      </c>
      <c r="BJ4" s="236" t="s">
        <v>285</v>
      </c>
      <c r="BK4" s="236" t="s">
        <v>272</v>
      </c>
      <c r="BL4" s="236" t="s">
        <v>257</v>
      </c>
      <c r="BM4" s="236" t="s">
        <v>998</v>
      </c>
      <c r="BN4" s="236" t="s">
        <v>273</v>
      </c>
      <c r="BO4" s="236" t="s">
        <v>500</v>
      </c>
      <c r="BP4" s="236" t="s">
        <v>20</v>
      </c>
      <c r="BQ4" s="236" t="s">
        <v>11</v>
      </c>
      <c r="BR4" s="236" t="s">
        <v>12</v>
      </c>
      <c r="BS4" s="236" t="s">
        <v>1026</v>
      </c>
      <c r="BT4" s="236" t="s">
        <v>13</v>
      </c>
      <c r="BU4" s="236" t="s">
        <v>70</v>
      </c>
      <c r="BV4" s="236" t="s">
        <v>501</v>
      </c>
      <c r="BW4" s="236" t="s">
        <v>231</v>
      </c>
      <c r="BX4" s="238" t="s">
        <v>17</v>
      </c>
      <c r="BY4" s="238" t="s">
        <v>17</v>
      </c>
      <c r="BZ4" s="236" t="s">
        <v>14</v>
      </c>
      <c r="CA4" s="236" t="s">
        <v>6</v>
      </c>
      <c r="CB4" s="236" t="s">
        <v>176</v>
      </c>
      <c r="CC4" s="236" t="s">
        <v>18</v>
      </c>
      <c r="CD4" s="237" t="s">
        <v>8</v>
      </c>
      <c r="CE4" s="238" t="s">
        <v>8</v>
      </c>
      <c r="CF4" s="236" t="s">
        <v>87</v>
      </c>
      <c r="CG4" s="236" t="s">
        <v>71</v>
      </c>
      <c r="CH4" s="236" t="s">
        <v>16</v>
      </c>
      <c r="CI4" s="236" t="s">
        <v>72</v>
      </c>
      <c r="CJ4" s="236" t="s">
        <v>2</v>
      </c>
      <c r="CK4" s="236" t="s">
        <v>3</v>
      </c>
      <c r="CL4" s="236" t="s">
        <v>502</v>
      </c>
      <c r="CM4" s="236" t="s">
        <v>115</v>
      </c>
      <c r="CN4" s="236" t="s">
        <v>115</v>
      </c>
      <c r="CO4" s="236" t="s">
        <v>115</v>
      </c>
      <c r="CP4" s="236" t="s">
        <v>115</v>
      </c>
      <c r="CQ4" s="236" t="s">
        <v>115</v>
      </c>
      <c r="CR4" s="236" t="s">
        <v>115</v>
      </c>
      <c r="CS4" s="236" t="s">
        <v>308</v>
      </c>
      <c r="CT4" s="236" t="s">
        <v>9</v>
      </c>
      <c r="CU4" s="236" t="s">
        <v>506</v>
      </c>
      <c r="CV4" s="236" t="s">
        <v>509</v>
      </c>
      <c r="CW4" s="236" t="s">
        <v>15</v>
      </c>
      <c r="CX4" s="236" t="s">
        <v>167</v>
      </c>
      <c r="CY4" s="350" t="s">
        <v>240</v>
      </c>
      <c r="CZ4" s="236" t="s">
        <v>101</v>
      </c>
      <c r="DA4" s="236" t="s">
        <v>207</v>
      </c>
      <c r="DB4" s="236" t="s">
        <v>4</v>
      </c>
      <c r="DC4" s="350" t="s">
        <v>100</v>
      </c>
      <c r="DD4" s="236" t="s">
        <v>227</v>
      </c>
      <c r="DE4" s="236" t="s">
        <v>227</v>
      </c>
      <c r="DF4" s="236" t="s">
        <v>227</v>
      </c>
      <c r="DG4" s="236" t="s">
        <v>227</v>
      </c>
      <c r="DH4" s="236" t="s">
        <v>227</v>
      </c>
      <c r="DI4" s="350" t="s">
        <v>10</v>
      </c>
      <c r="DJ4" s="236" t="s">
        <v>10</v>
      </c>
      <c r="DK4" s="236" t="s">
        <v>19</v>
      </c>
      <c r="DL4" s="236" t="s">
        <v>1027</v>
      </c>
      <c r="DM4" s="236" t="s">
        <v>986</v>
      </c>
      <c r="DN4" s="236" t="s">
        <v>1028</v>
      </c>
      <c r="DO4" s="236" t="s">
        <v>1029</v>
      </c>
      <c r="DP4" s="236" t="s">
        <v>987</v>
      </c>
      <c r="DQ4" s="236" t="s">
        <v>1030</v>
      </c>
      <c r="DR4" s="236" t="s">
        <v>1031</v>
      </c>
      <c r="DS4" s="236" t="s">
        <v>1032</v>
      </c>
      <c r="DT4" s="236" t="s">
        <v>1033</v>
      </c>
      <c r="DU4" s="236" t="s">
        <v>1034</v>
      </c>
      <c r="DV4" s="236" t="s">
        <v>512</v>
      </c>
      <c r="DW4" s="236" t="s">
        <v>513</v>
      </c>
      <c r="DX4" s="236" t="s">
        <v>309</v>
      </c>
      <c r="DY4" s="236" t="s">
        <v>514</v>
      </c>
      <c r="DZ4" s="236" t="s">
        <v>310</v>
      </c>
      <c r="EA4" s="236" t="s">
        <v>515</v>
      </c>
      <c r="EB4" s="236" t="s">
        <v>516</v>
      </c>
      <c r="EC4" s="236" t="s">
        <v>517</v>
      </c>
      <c r="ED4" s="236" t="s">
        <v>311</v>
      </c>
      <c r="EE4" s="236" t="s">
        <v>518</v>
      </c>
      <c r="EF4" s="236" t="s">
        <v>519</v>
      </c>
      <c r="EG4" s="236" t="s">
        <v>312</v>
      </c>
      <c r="EH4" s="236" t="s">
        <v>520</v>
      </c>
      <c r="EI4" s="236" t="s">
        <v>521</v>
      </c>
      <c r="EJ4" s="236" t="s">
        <v>522</v>
      </c>
      <c r="EK4" s="236" t="s">
        <v>523</v>
      </c>
      <c r="EL4" s="236" t="s">
        <v>524</v>
      </c>
      <c r="EM4" s="236" t="s">
        <v>313</v>
      </c>
      <c r="EN4" s="236" t="s">
        <v>525</v>
      </c>
      <c r="EO4" s="236" t="s">
        <v>526</v>
      </c>
      <c r="EP4" s="236" t="s">
        <v>527</v>
      </c>
      <c r="EQ4" s="236" t="s">
        <v>530</v>
      </c>
      <c r="ER4" s="236" t="s">
        <v>531</v>
      </c>
      <c r="ES4" s="236" t="s">
        <v>287</v>
      </c>
      <c r="ET4" s="236" t="s">
        <v>314</v>
      </c>
      <c r="EU4" s="236" t="s">
        <v>261</v>
      </c>
      <c r="EV4" s="236" t="s">
        <v>532</v>
      </c>
      <c r="EW4" s="236" t="s">
        <v>208</v>
      </c>
      <c r="EX4" s="236" t="s">
        <v>228</v>
      </c>
      <c r="EY4" s="236" t="s">
        <v>209</v>
      </c>
      <c r="EZ4" s="236" t="s">
        <v>533</v>
      </c>
      <c r="FA4" s="236" t="s">
        <v>229</v>
      </c>
      <c r="FB4" s="236" t="s">
        <v>279</v>
      </c>
      <c r="FC4" s="236" t="s">
        <v>534</v>
      </c>
      <c r="FD4" s="236" t="s">
        <v>535</v>
      </c>
      <c r="FE4" s="236" t="s">
        <v>230</v>
      </c>
      <c r="FF4" s="236" t="s">
        <v>883</v>
      </c>
      <c r="FG4" s="236" t="s">
        <v>1140</v>
      </c>
      <c r="FH4" s="236" t="s">
        <v>536</v>
      </c>
      <c r="FI4" s="236" t="s">
        <v>315</v>
      </c>
      <c r="FJ4" s="236" t="s">
        <v>538</v>
      </c>
      <c r="FK4" s="236" t="s">
        <v>539</v>
      </c>
      <c r="FL4" s="278"/>
      <c r="FM4" s="234"/>
      <c r="FN4" s="235"/>
      <c r="FO4" s="240"/>
      <c r="FP4" s="235"/>
      <c r="FQ4" s="235"/>
      <c r="FR4" s="235"/>
      <c r="FS4" s="235"/>
    </row>
    <row r="5" spans="1:175" ht="20.399999999999999">
      <c r="A5" s="241"/>
      <c r="B5" s="221"/>
      <c r="C5" s="221"/>
      <c r="D5" s="222"/>
      <c r="E5" s="223" t="s">
        <v>316</v>
      </c>
      <c r="F5" s="242" t="s">
        <v>870</v>
      </c>
      <c r="G5" s="223" t="s">
        <v>317</v>
      </c>
      <c r="H5" s="243" t="s">
        <v>540</v>
      </c>
      <c r="I5" s="243" t="s">
        <v>541</v>
      </c>
      <c r="J5" s="243" t="s">
        <v>542</v>
      </c>
      <c r="K5" s="243" t="s">
        <v>543</v>
      </c>
      <c r="L5" s="243" t="s">
        <v>318</v>
      </c>
      <c r="M5" s="243" t="s">
        <v>544</v>
      </c>
      <c r="N5" s="243" t="s">
        <v>884</v>
      </c>
      <c r="O5" s="243" t="s">
        <v>789</v>
      </c>
      <c r="P5" s="243" t="s">
        <v>546</v>
      </c>
      <c r="Q5" s="243" t="s">
        <v>547</v>
      </c>
      <c r="R5" s="243" t="s">
        <v>548</v>
      </c>
      <c r="S5" s="243" t="s">
        <v>549</v>
      </c>
      <c r="T5" s="243" t="s">
        <v>550</v>
      </c>
      <c r="U5" s="243" t="s">
        <v>551</v>
      </c>
      <c r="V5" s="243" t="s">
        <v>552</v>
      </c>
      <c r="W5" s="243" t="s">
        <v>553</v>
      </c>
      <c r="X5" s="243" t="s">
        <v>885</v>
      </c>
      <c r="Y5" s="243" t="s">
        <v>556</v>
      </c>
      <c r="Z5" s="243" t="s">
        <v>557</v>
      </c>
      <c r="AA5" s="243" t="s">
        <v>320</v>
      </c>
      <c r="AB5" s="243" t="s">
        <v>558</v>
      </c>
      <c r="AC5" s="243" t="s">
        <v>321</v>
      </c>
      <c r="AD5" s="243" t="s">
        <v>790</v>
      </c>
      <c r="AE5" s="243" t="s">
        <v>560</v>
      </c>
      <c r="AF5" s="243" t="s">
        <v>561</v>
      </c>
      <c r="AG5" s="243" t="s">
        <v>322</v>
      </c>
      <c r="AH5" s="243" t="s">
        <v>562</v>
      </c>
      <c r="AI5" s="243" t="s">
        <v>563</v>
      </c>
      <c r="AJ5" s="243" t="s">
        <v>564</v>
      </c>
      <c r="AK5" s="243" t="s">
        <v>565</v>
      </c>
      <c r="AL5" s="243" t="s">
        <v>566</v>
      </c>
      <c r="AM5" s="243" t="s">
        <v>567</v>
      </c>
      <c r="AN5" s="243" t="s">
        <v>323</v>
      </c>
      <c r="AO5" s="243" t="s">
        <v>568</v>
      </c>
      <c r="AP5" s="243" t="s">
        <v>569</v>
      </c>
      <c r="AQ5" s="243" t="s">
        <v>570</v>
      </c>
      <c r="AR5" s="243" t="s">
        <v>571</v>
      </c>
      <c r="AS5" s="243" t="s">
        <v>324</v>
      </c>
      <c r="AT5" s="243" t="s">
        <v>325</v>
      </c>
      <c r="AU5" s="243" t="s">
        <v>575</v>
      </c>
      <c r="AV5" s="243" t="s">
        <v>576</v>
      </c>
      <c r="AW5" s="243" t="s">
        <v>577</v>
      </c>
      <c r="AX5" s="243" t="s">
        <v>578</v>
      </c>
      <c r="AY5" s="243" t="s">
        <v>326</v>
      </c>
      <c r="AZ5" s="243" t="s">
        <v>579</v>
      </c>
      <c r="BA5" s="243" t="s">
        <v>580</v>
      </c>
      <c r="BB5" s="243" t="s">
        <v>581</v>
      </c>
      <c r="BC5" s="243" t="s">
        <v>327</v>
      </c>
      <c r="BD5" s="243" t="s">
        <v>582</v>
      </c>
      <c r="BE5" s="243" t="s">
        <v>583</v>
      </c>
      <c r="BF5" s="243" t="s">
        <v>988</v>
      </c>
      <c r="BG5" s="243" t="s">
        <v>328</v>
      </c>
      <c r="BH5" s="243" t="s">
        <v>798</v>
      </c>
      <c r="BI5" s="243" t="s">
        <v>802</v>
      </c>
      <c r="BJ5" s="243" t="s">
        <v>286</v>
      </c>
      <c r="BK5" s="243" t="s">
        <v>274</v>
      </c>
      <c r="BL5" s="243" t="s">
        <v>259</v>
      </c>
      <c r="BM5" s="243" t="s">
        <v>260</v>
      </c>
      <c r="BN5" s="243" t="s">
        <v>275</v>
      </c>
      <c r="BO5" s="243" t="s">
        <v>588</v>
      </c>
      <c r="BP5" s="243" t="s">
        <v>40</v>
      </c>
      <c r="BQ5" s="243" t="s">
        <v>30</v>
      </c>
      <c r="BR5" s="243" t="s">
        <v>31</v>
      </c>
      <c r="BS5" s="243" t="s">
        <v>1041</v>
      </c>
      <c r="BT5" s="243" t="s">
        <v>32</v>
      </c>
      <c r="BU5" s="243" t="s">
        <v>249</v>
      </c>
      <c r="BV5" s="243" t="s">
        <v>589</v>
      </c>
      <c r="BW5" s="243" t="s">
        <v>232</v>
      </c>
      <c r="BX5" s="243" t="s">
        <v>36</v>
      </c>
      <c r="BY5" s="243" t="s">
        <v>37</v>
      </c>
      <c r="BZ5" s="243" t="s">
        <v>33</v>
      </c>
      <c r="CA5" s="243" t="s">
        <v>25</v>
      </c>
      <c r="CB5" s="243" t="s">
        <v>26</v>
      </c>
      <c r="CC5" s="243" t="s">
        <v>38</v>
      </c>
      <c r="CD5" s="243" t="s">
        <v>27</v>
      </c>
      <c r="CE5" s="243" t="s">
        <v>233</v>
      </c>
      <c r="CF5" s="243" t="s">
        <v>88</v>
      </c>
      <c r="CG5" s="243" t="s">
        <v>74</v>
      </c>
      <c r="CH5" s="243" t="s">
        <v>35</v>
      </c>
      <c r="CI5" s="243" t="s">
        <v>75</v>
      </c>
      <c r="CJ5" s="243" t="s">
        <v>21</v>
      </c>
      <c r="CK5" s="243" t="s">
        <v>22</v>
      </c>
      <c r="CL5" s="243" t="s">
        <v>590</v>
      </c>
      <c r="CM5" s="243" t="s">
        <v>188</v>
      </c>
      <c r="CN5" s="243" t="s">
        <v>591</v>
      </c>
      <c r="CO5" s="243" t="s">
        <v>592</v>
      </c>
      <c r="CP5" s="243" t="s">
        <v>594</v>
      </c>
      <c r="CQ5" s="243" t="s">
        <v>595</v>
      </c>
      <c r="CR5" s="243" t="s">
        <v>596</v>
      </c>
      <c r="CS5" s="243" t="s">
        <v>329</v>
      </c>
      <c r="CT5" s="243" t="s">
        <v>28</v>
      </c>
      <c r="CU5" s="243" t="s">
        <v>600</v>
      </c>
      <c r="CV5" s="243" t="s">
        <v>603</v>
      </c>
      <c r="CW5" s="243" t="s">
        <v>116</v>
      </c>
      <c r="CX5" s="243" t="s">
        <v>168</v>
      </c>
      <c r="CY5" s="243" t="s">
        <v>169</v>
      </c>
      <c r="CZ5" s="243" t="s">
        <v>102</v>
      </c>
      <c r="DA5" s="243" t="s">
        <v>189</v>
      </c>
      <c r="DB5" s="243" t="s">
        <v>23</v>
      </c>
      <c r="DC5" s="243" t="s">
        <v>24</v>
      </c>
      <c r="DD5" s="243" t="s">
        <v>170</v>
      </c>
      <c r="DE5" s="243" t="s">
        <v>803</v>
      </c>
      <c r="DF5" s="243" t="s">
        <v>606</v>
      </c>
      <c r="DG5" s="243" t="s">
        <v>608</v>
      </c>
      <c r="DH5" s="243" t="s">
        <v>609</v>
      </c>
      <c r="DI5" s="243" t="s">
        <v>29</v>
      </c>
      <c r="DJ5" s="243" t="s">
        <v>610</v>
      </c>
      <c r="DK5" s="243" t="s">
        <v>39</v>
      </c>
      <c r="DL5" s="243" t="s">
        <v>1042</v>
      </c>
      <c r="DM5" s="243" t="s">
        <v>989</v>
      </c>
      <c r="DN5" s="243" t="s">
        <v>1043</v>
      </c>
      <c r="DO5" s="243" t="s">
        <v>1044</v>
      </c>
      <c r="DP5" s="243" t="s">
        <v>990</v>
      </c>
      <c r="DQ5" s="243" t="s">
        <v>1045</v>
      </c>
      <c r="DR5" s="243" t="s">
        <v>1046</v>
      </c>
      <c r="DS5" s="243" t="s">
        <v>1047</v>
      </c>
      <c r="DT5" s="243" t="s">
        <v>1048</v>
      </c>
      <c r="DU5" s="243" t="s">
        <v>1049</v>
      </c>
      <c r="DV5" s="243" t="s">
        <v>611</v>
      </c>
      <c r="DW5" s="243" t="s">
        <v>612</v>
      </c>
      <c r="DX5" s="243" t="s">
        <v>330</v>
      </c>
      <c r="DY5" s="243" t="s">
        <v>613</v>
      </c>
      <c r="DZ5" s="243" t="s">
        <v>331</v>
      </c>
      <c r="EA5" s="243" t="s">
        <v>614</v>
      </c>
      <c r="EB5" s="243" t="s">
        <v>615</v>
      </c>
      <c r="EC5" s="243" t="s">
        <v>616</v>
      </c>
      <c r="ED5" s="243" t="s">
        <v>332</v>
      </c>
      <c r="EE5" s="243" t="s">
        <v>617</v>
      </c>
      <c r="EF5" s="243" t="s">
        <v>618</v>
      </c>
      <c r="EG5" s="243" t="s">
        <v>333</v>
      </c>
      <c r="EH5" s="243" t="s">
        <v>619</v>
      </c>
      <c r="EI5" s="243" t="s">
        <v>620</v>
      </c>
      <c r="EJ5" s="243" t="s">
        <v>621</v>
      </c>
      <c r="EK5" s="243" t="s">
        <v>622</v>
      </c>
      <c r="EL5" s="243" t="s">
        <v>623</v>
      </c>
      <c r="EM5" s="243" t="s">
        <v>335</v>
      </c>
      <c r="EN5" s="243" t="s">
        <v>624</v>
      </c>
      <c r="EO5" s="243" t="s">
        <v>625</v>
      </c>
      <c r="EP5" s="243" t="s">
        <v>626</v>
      </c>
      <c r="EQ5" s="243" t="s">
        <v>629</v>
      </c>
      <c r="ER5" s="243" t="s">
        <v>630</v>
      </c>
      <c r="ES5" s="243" t="s">
        <v>288</v>
      </c>
      <c r="ET5" s="243" t="s">
        <v>280</v>
      </c>
      <c r="EU5" s="243" t="s">
        <v>210</v>
      </c>
      <c r="EV5" s="243" t="s">
        <v>631</v>
      </c>
      <c r="EW5" s="243" t="s">
        <v>197</v>
      </c>
      <c r="EX5" s="243" t="s">
        <v>211</v>
      </c>
      <c r="EY5" s="243" t="s">
        <v>212</v>
      </c>
      <c r="EZ5" s="243" t="s">
        <v>632</v>
      </c>
      <c r="FA5" s="243" t="s">
        <v>213</v>
      </c>
      <c r="FB5" s="243" t="s">
        <v>281</v>
      </c>
      <c r="FC5" s="243" t="s">
        <v>633</v>
      </c>
      <c r="FD5" s="243" t="s">
        <v>198</v>
      </c>
      <c r="FE5" s="243" t="s">
        <v>214</v>
      </c>
      <c r="FF5" s="243" t="s">
        <v>889</v>
      </c>
      <c r="FG5" s="243" t="s">
        <v>1141</v>
      </c>
      <c r="FH5" s="243" t="s">
        <v>634</v>
      </c>
      <c r="FI5" s="243" t="s">
        <v>336</v>
      </c>
      <c r="FJ5" s="243" t="s">
        <v>636</v>
      </c>
      <c r="FK5" s="243" t="s">
        <v>637</v>
      </c>
      <c r="FL5" s="279"/>
      <c r="FM5" s="225"/>
      <c r="FN5" s="226"/>
      <c r="FO5" s="221"/>
      <c r="FP5" s="221"/>
      <c r="FQ5" s="221"/>
      <c r="FR5" s="221"/>
      <c r="FS5" s="221"/>
    </row>
    <row r="6" spans="1:175" ht="11.4">
      <c r="A6" s="245" t="s">
        <v>877</v>
      </c>
      <c r="B6" s="222" t="s">
        <v>878</v>
      </c>
      <c r="C6" s="222" t="s">
        <v>879</v>
      </c>
      <c r="D6" s="222" t="s">
        <v>880</v>
      </c>
      <c r="E6" s="246" t="s">
        <v>804</v>
      </c>
      <c r="F6" s="246"/>
      <c r="G6" s="247" t="s">
        <v>805</v>
      </c>
      <c r="H6" s="248" t="s">
        <v>638</v>
      </c>
      <c r="I6" s="248" t="s">
        <v>639</v>
      </c>
      <c r="J6" s="248" t="s">
        <v>640</v>
      </c>
      <c r="K6" s="248" t="s">
        <v>641</v>
      </c>
      <c r="L6" s="248" t="s">
        <v>339</v>
      </c>
      <c r="M6" s="248" t="s">
        <v>642</v>
      </c>
      <c r="N6" s="248" t="s">
        <v>1142</v>
      </c>
      <c r="O6" s="248" t="s">
        <v>643</v>
      </c>
      <c r="P6" s="248" t="s">
        <v>644</v>
      </c>
      <c r="Q6" s="248" t="s">
        <v>645</v>
      </c>
      <c r="R6" s="248" t="s">
        <v>646</v>
      </c>
      <c r="S6" s="248" t="s">
        <v>647</v>
      </c>
      <c r="T6" s="248" t="s">
        <v>648</v>
      </c>
      <c r="U6" s="248" t="s">
        <v>649</v>
      </c>
      <c r="V6" s="248" t="s">
        <v>650</v>
      </c>
      <c r="W6" s="248" t="s">
        <v>651</v>
      </c>
      <c r="X6" s="248" t="s">
        <v>653</v>
      </c>
      <c r="Y6" s="248" t="s">
        <v>654</v>
      </c>
      <c r="Z6" s="248" t="s">
        <v>655</v>
      </c>
      <c r="AA6" s="248" t="s">
        <v>341</v>
      </c>
      <c r="AB6" s="248" t="s">
        <v>656</v>
      </c>
      <c r="AC6" s="248" t="s">
        <v>342</v>
      </c>
      <c r="AD6" s="248" t="s">
        <v>657</v>
      </c>
      <c r="AE6" s="248" t="s">
        <v>658</v>
      </c>
      <c r="AF6" s="248" t="s">
        <v>659</v>
      </c>
      <c r="AG6" s="248" t="s">
        <v>343</v>
      </c>
      <c r="AH6" s="248" t="s">
        <v>660</v>
      </c>
      <c r="AI6" s="248" t="s">
        <v>661</v>
      </c>
      <c r="AJ6" s="248" t="s">
        <v>662</v>
      </c>
      <c r="AK6" s="248" t="s">
        <v>663</v>
      </c>
      <c r="AL6" s="248" t="s">
        <v>664</v>
      </c>
      <c r="AM6" s="248" t="s">
        <v>665</v>
      </c>
      <c r="AN6" s="248" t="s">
        <v>344</v>
      </c>
      <c r="AO6" s="248" t="s">
        <v>666</v>
      </c>
      <c r="AP6" s="248" t="s">
        <v>667</v>
      </c>
      <c r="AQ6" s="248" t="s">
        <v>668</v>
      </c>
      <c r="AR6" s="248" t="s">
        <v>669</v>
      </c>
      <c r="AS6" s="248" t="s">
        <v>345</v>
      </c>
      <c r="AT6" s="248" t="s">
        <v>346</v>
      </c>
      <c r="AU6" s="248" t="s">
        <v>673</v>
      </c>
      <c r="AV6" s="248" t="s">
        <v>674</v>
      </c>
      <c r="AW6" s="248" t="s">
        <v>675</v>
      </c>
      <c r="AX6" s="248" t="s">
        <v>676</v>
      </c>
      <c r="AY6" s="248" t="s">
        <v>347</v>
      </c>
      <c r="AZ6" s="248" t="s">
        <v>677</v>
      </c>
      <c r="BA6" s="248" t="s">
        <v>678</v>
      </c>
      <c r="BB6" s="248" t="s">
        <v>679</v>
      </c>
      <c r="BC6" s="248" t="s">
        <v>348</v>
      </c>
      <c r="BD6" s="248" t="s">
        <v>680</v>
      </c>
      <c r="BE6" s="248" t="s">
        <v>681</v>
      </c>
      <c r="BF6" s="248" t="s">
        <v>683</v>
      </c>
      <c r="BG6" s="248" t="s">
        <v>349</v>
      </c>
      <c r="BH6" s="248" t="s">
        <v>811</v>
      </c>
      <c r="BI6" s="248" t="s">
        <v>815</v>
      </c>
      <c r="BJ6" s="248" t="s">
        <v>350</v>
      </c>
      <c r="BK6" s="248" t="s">
        <v>686</v>
      </c>
      <c r="BL6" s="248" t="s">
        <v>351</v>
      </c>
      <c r="BM6" s="248" t="s">
        <v>352</v>
      </c>
      <c r="BN6" s="248" t="s">
        <v>687</v>
      </c>
      <c r="BO6" s="248" t="s">
        <v>688</v>
      </c>
      <c r="BP6" s="248" t="s">
        <v>353</v>
      </c>
      <c r="BQ6" s="248" t="s">
        <v>354</v>
      </c>
      <c r="BR6" s="248" t="s">
        <v>355</v>
      </c>
      <c r="BS6" s="248" t="s">
        <v>1052</v>
      </c>
      <c r="BT6" s="248" t="s">
        <v>689</v>
      </c>
      <c r="BU6" s="248" t="s">
        <v>356</v>
      </c>
      <c r="BV6" s="248" t="s">
        <v>690</v>
      </c>
      <c r="BW6" s="248" t="s">
        <v>691</v>
      </c>
      <c r="BX6" s="248" t="s">
        <v>357</v>
      </c>
      <c r="BY6" s="248" t="s">
        <v>357</v>
      </c>
      <c r="BZ6" s="248" t="s">
        <v>358</v>
      </c>
      <c r="CA6" s="248" t="s">
        <v>692</v>
      </c>
      <c r="CB6" s="248" t="s">
        <v>359</v>
      </c>
      <c r="CC6" s="248" t="s">
        <v>360</v>
      </c>
      <c r="CD6" s="248" t="s">
        <v>693</v>
      </c>
      <c r="CE6" s="248" t="s">
        <v>693</v>
      </c>
      <c r="CF6" s="248" t="s">
        <v>694</v>
      </c>
      <c r="CG6" s="248" t="s">
        <v>695</v>
      </c>
      <c r="CH6" s="248" t="s">
        <v>696</v>
      </c>
      <c r="CI6" s="248" t="s">
        <v>361</v>
      </c>
      <c r="CJ6" s="248" t="s">
        <v>362</v>
      </c>
      <c r="CK6" s="248" t="s">
        <v>363</v>
      </c>
      <c r="CL6" s="248" t="s">
        <v>697</v>
      </c>
      <c r="CM6" s="248" t="s">
        <v>698</v>
      </c>
      <c r="CN6" s="248" t="s">
        <v>699</v>
      </c>
      <c r="CO6" s="248" t="s">
        <v>700</v>
      </c>
      <c r="CP6" s="248" t="s">
        <v>702</v>
      </c>
      <c r="CQ6" s="248" t="s">
        <v>703</v>
      </c>
      <c r="CR6" s="248" t="s">
        <v>704</v>
      </c>
      <c r="CS6" s="248" t="s">
        <v>364</v>
      </c>
      <c r="CT6" s="248" t="s">
        <v>365</v>
      </c>
      <c r="CU6" s="248" t="s">
        <v>708</v>
      </c>
      <c r="CV6" s="248" t="s">
        <v>711</v>
      </c>
      <c r="CW6" s="248" t="s">
        <v>366</v>
      </c>
      <c r="CX6" s="248" t="s">
        <v>714</v>
      </c>
      <c r="CY6" s="248" t="s">
        <v>715</v>
      </c>
      <c r="CZ6" s="248" t="s">
        <v>716</v>
      </c>
      <c r="DA6" s="248" t="s">
        <v>367</v>
      </c>
      <c r="DB6" s="248" t="s">
        <v>717</v>
      </c>
      <c r="DC6" s="248" t="s">
        <v>368</v>
      </c>
      <c r="DD6" s="248" t="s">
        <v>369</v>
      </c>
      <c r="DE6" s="248" t="s">
        <v>816</v>
      </c>
      <c r="DF6" s="248" t="s">
        <v>718</v>
      </c>
      <c r="DG6" s="248" t="s">
        <v>720</v>
      </c>
      <c r="DH6" s="248" t="s">
        <v>721</v>
      </c>
      <c r="DI6" s="248" t="s">
        <v>722</v>
      </c>
      <c r="DJ6" s="248" t="s">
        <v>723</v>
      </c>
      <c r="DK6" s="248" t="s">
        <v>370</v>
      </c>
      <c r="DL6" s="248" t="s">
        <v>1053</v>
      </c>
      <c r="DM6" s="248" t="s">
        <v>991</v>
      </c>
      <c r="DN6" s="248" t="s">
        <v>1054</v>
      </c>
      <c r="DO6" s="248" t="s">
        <v>1055</v>
      </c>
      <c r="DP6" s="248" t="s">
        <v>992</v>
      </c>
      <c r="DQ6" s="248" t="s">
        <v>1056</v>
      </c>
      <c r="DR6" s="248" t="s">
        <v>1057</v>
      </c>
      <c r="DS6" s="248" t="s">
        <v>1058</v>
      </c>
      <c r="DT6" s="248" t="s">
        <v>1059</v>
      </c>
      <c r="DU6" s="248" t="s">
        <v>1060</v>
      </c>
      <c r="DV6" s="248" t="s">
        <v>724</v>
      </c>
      <c r="DW6" s="248" t="s">
        <v>725</v>
      </c>
      <c r="DX6" s="248" t="s">
        <v>1143</v>
      </c>
      <c r="DY6" s="248" t="s">
        <v>726</v>
      </c>
      <c r="DZ6" s="248" t="s">
        <v>372</v>
      </c>
      <c r="EA6" s="248" t="s">
        <v>727</v>
      </c>
      <c r="EB6" s="248" t="s">
        <v>728</v>
      </c>
      <c r="EC6" s="248" t="s">
        <v>729</v>
      </c>
      <c r="ED6" s="248" t="s">
        <v>373</v>
      </c>
      <c r="EE6" s="248" t="s">
        <v>730</v>
      </c>
      <c r="EF6" s="248" t="s">
        <v>731</v>
      </c>
      <c r="EG6" s="248" t="s">
        <v>374</v>
      </c>
      <c r="EH6" s="248" t="s">
        <v>732</v>
      </c>
      <c r="EI6" s="248" t="s">
        <v>733</v>
      </c>
      <c r="EJ6" s="248" t="s">
        <v>734</v>
      </c>
      <c r="EK6" s="248" t="s">
        <v>735</v>
      </c>
      <c r="EL6" s="248" t="s">
        <v>736</v>
      </c>
      <c r="EM6" s="248" t="s">
        <v>375</v>
      </c>
      <c r="EN6" s="248" t="s">
        <v>737</v>
      </c>
      <c r="EO6" s="248" t="s">
        <v>738</v>
      </c>
      <c r="EP6" s="248" t="s">
        <v>739</v>
      </c>
      <c r="EQ6" s="248" t="s">
        <v>742</v>
      </c>
      <c r="ER6" s="248" t="s">
        <v>743</v>
      </c>
      <c r="ES6" s="248" t="s">
        <v>376</v>
      </c>
      <c r="ET6" s="248" t="s">
        <v>377</v>
      </c>
      <c r="EU6" s="248" t="s">
        <v>744</v>
      </c>
      <c r="EV6" s="248" t="s">
        <v>745</v>
      </c>
      <c r="EW6" s="248" t="s">
        <v>378</v>
      </c>
      <c r="EX6" s="248" t="s">
        <v>746</v>
      </c>
      <c r="EY6" s="248" t="s">
        <v>747</v>
      </c>
      <c r="EZ6" s="248" t="s">
        <v>748</v>
      </c>
      <c r="FA6" s="248" t="s">
        <v>379</v>
      </c>
      <c r="FB6" s="248" t="s">
        <v>749</v>
      </c>
      <c r="FC6" s="248" t="s">
        <v>750</v>
      </c>
      <c r="FD6" s="248" t="s">
        <v>751</v>
      </c>
      <c r="FE6" s="248" t="s">
        <v>380</v>
      </c>
      <c r="FF6" s="248" t="s">
        <v>891</v>
      </c>
      <c r="FG6" s="248" t="s">
        <v>1144</v>
      </c>
      <c r="FH6" s="248" t="s">
        <v>752</v>
      </c>
      <c r="FI6" s="248" t="s">
        <v>381</v>
      </c>
      <c r="FJ6" s="248" t="s">
        <v>754</v>
      </c>
      <c r="FK6" s="248" t="s">
        <v>755</v>
      </c>
      <c r="FL6" s="250" t="s">
        <v>872</v>
      </c>
      <c r="FM6" s="250" t="s">
        <v>382</v>
      </c>
      <c r="FN6" s="250" t="s">
        <v>383</v>
      </c>
      <c r="FO6" s="250" t="s">
        <v>873</v>
      </c>
      <c r="FP6" s="250" t="s">
        <v>874</v>
      </c>
      <c r="FQ6" s="228"/>
      <c r="FR6" s="227" t="s">
        <v>881</v>
      </c>
      <c r="FS6" s="227"/>
    </row>
    <row r="7" spans="1:175">
      <c r="A7" s="251" t="s">
        <v>385</v>
      </c>
      <c r="B7" s="251" t="s">
        <v>385</v>
      </c>
      <c r="C7" s="251" t="s">
        <v>386</v>
      </c>
      <c r="D7" s="251" t="s">
        <v>291</v>
      </c>
      <c r="E7" s="252" t="s">
        <v>387</v>
      </c>
      <c r="F7" s="251" t="s">
        <v>388</v>
      </c>
      <c r="G7" s="251"/>
      <c r="H7" s="253"/>
      <c r="I7" s="253"/>
      <c r="J7" s="253"/>
      <c r="K7" s="253"/>
      <c r="L7" s="253"/>
      <c r="M7" s="253"/>
      <c r="N7" s="253"/>
      <c r="O7" s="253"/>
      <c r="P7" s="253"/>
      <c r="Q7" s="253"/>
      <c r="R7" s="253"/>
      <c r="S7" s="253"/>
      <c r="T7" s="253"/>
      <c r="U7" s="253"/>
      <c r="V7" s="253"/>
      <c r="W7" s="253"/>
      <c r="X7" s="253"/>
      <c r="Y7" s="253"/>
      <c r="Z7" s="253"/>
      <c r="AA7" s="253"/>
      <c r="AB7" s="253"/>
      <c r="AC7" s="253"/>
      <c r="AD7" s="254">
        <f>3000-3000+300-100</f>
        <v>200</v>
      </c>
      <c r="AE7" s="253"/>
      <c r="AF7" s="255">
        <f>3000-3000</f>
        <v>0</v>
      </c>
      <c r="AG7" s="253"/>
      <c r="AH7" s="253"/>
      <c r="AI7" s="253"/>
      <c r="AJ7" s="253"/>
      <c r="AK7" s="255">
        <f>300-300+1</f>
        <v>1</v>
      </c>
      <c r="AL7" s="254">
        <f>3000-3000+730-250</f>
        <v>480</v>
      </c>
      <c r="AM7" s="253"/>
      <c r="AN7" s="255">
        <f>1000-1000</f>
        <v>0</v>
      </c>
      <c r="AO7" s="253"/>
      <c r="AP7" s="255">
        <f>300-300</f>
        <v>0</v>
      </c>
      <c r="AQ7" s="255">
        <f>5000-5000</f>
        <v>0</v>
      </c>
      <c r="AR7" s="253"/>
      <c r="AS7" s="253"/>
      <c r="AT7" s="253"/>
      <c r="AU7" s="253"/>
      <c r="AV7" s="253"/>
      <c r="AW7" s="255">
        <f>500-500</f>
        <v>0</v>
      </c>
      <c r="AX7" s="255">
        <f>100-100+1</f>
        <v>1</v>
      </c>
      <c r="AY7" s="253"/>
      <c r="AZ7" s="253"/>
      <c r="BA7" s="253"/>
      <c r="BB7" s="253"/>
      <c r="BC7" s="254">
        <f>12000-12000+3620-800</f>
        <v>2820</v>
      </c>
      <c r="BD7" s="253"/>
      <c r="BE7" s="253"/>
      <c r="BF7" s="253"/>
      <c r="BG7" s="253"/>
      <c r="BH7" s="253"/>
      <c r="BI7" s="253"/>
      <c r="BJ7" s="253"/>
      <c r="BK7" s="253"/>
      <c r="BL7" s="253"/>
      <c r="BM7" s="253"/>
      <c r="BN7" s="253"/>
      <c r="BO7" s="253"/>
      <c r="BP7" s="253"/>
      <c r="BQ7" s="253"/>
      <c r="BR7" s="253"/>
      <c r="BS7" s="253"/>
      <c r="BT7" s="253"/>
      <c r="BU7" s="253"/>
      <c r="BV7" s="253"/>
      <c r="BW7" s="253"/>
      <c r="BX7" s="253"/>
      <c r="BY7" s="253"/>
      <c r="BZ7" s="253"/>
      <c r="CA7" s="253"/>
      <c r="CB7" s="253"/>
      <c r="CC7" s="253"/>
      <c r="CD7" s="253"/>
      <c r="CE7" s="253"/>
      <c r="CF7" s="253"/>
      <c r="CG7" s="253"/>
      <c r="CH7" s="253"/>
      <c r="CI7" s="253"/>
      <c r="CJ7" s="253"/>
      <c r="CK7" s="253"/>
      <c r="CL7" s="253"/>
      <c r="CM7" s="253"/>
      <c r="CN7" s="253"/>
      <c r="CO7" s="253"/>
      <c r="CP7" s="253"/>
      <c r="CQ7" s="253"/>
      <c r="CR7" s="253"/>
      <c r="CS7" s="253"/>
      <c r="CT7" s="253"/>
      <c r="CU7" s="253"/>
      <c r="CV7" s="253"/>
      <c r="CW7" s="253"/>
      <c r="CX7" s="253"/>
      <c r="CY7" s="253"/>
      <c r="CZ7" s="253"/>
      <c r="DA7" s="253"/>
      <c r="DB7" s="253"/>
      <c r="DC7" s="253"/>
      <c r="DD7" s="253"/>
      <c r="DE7" s="253"/>
      <c r="DF7" s="253"/>
      <c r="DG7" s="253"/>
      <c r="DH7" s="253"/>
      <c r="DI7" s="253"/>
      <c r="DJ7" s="253"/>
      <c r="DK7" s="253"/>
      <c r="DL7" s="255">
        <f>3900-3900</f>
        <v>0</v>
      </c>
      <c r="DM7" s="253"/>
      <c r="DN7" s="253"/>
      <c r="DO7" s="253"/>
      <c r="DP7" s="253"/>
      <c r="DQ7" s="253"/>
      <c r="DR7" s="253"/>
      <c r="DS7" s="253"/>
      <c r="DT7" s="253"/>
      <c r="DU7" s="253"/>
      <c r="DV7" s="253"/>
      <c r="DW7" s="253"/>
      <c r="DX7" s="253"/>
      <c r="DY7" s="253"/>
      <c r="DZ7" s="253"/>
      <c r="EA7" s="253"/>
      <c r="EB7" s="253"/>
      <c r="EC7" s="253"/>
      <c r="ED7" s="253"/>
      <c r="EE7" s="253"/>
      <c r="EF7" s="253"/>
      <c r="EG7" s="253"/>
      <c r="EH7" s="253"/>
      <c r="EI7" s="253"/>
      <c r="EJ7" s="253"/>
      <c r="EK7" s="253"/>
      <c r="EL7" s="253"/>
      <c r="EM7" s="253"/>
      <c r="EN7" s="253"/>
      <c r="EO7" s="253"/>
      <c r="EP7" s="253"/>
      <c r="EQ7" s="253"/>
      <c r="ER7" s="253"/>
      <c r="ES7" s="253"/>
      <c r="ET7" s="253"/>
      <c r="EU7" s="253"/>
      <c r="EV7" s="253"/>
      <c r="EW7" s="253"/>
      <c r="EX7" s="253"/>
      <c r="EY7" s="253"/>
      <c r="EZ7" s="253"/>
      <c r="FA7" s="253"/>
      <c r="FB7" s="253"/>
      <c r="FC7" s="253"/>
      <c r="FD7" s="253"/>
      <c r="FE7" s="253"/>
      <c r="FF7" s="253"/>
      <c r="FG7" s="253"/>
      <c r="FH7" s="253"/>
      <c r="FI7" s="253"/>
      <c r="FJ7" s="253"/>
      <c r="FK7" s="253"/>
      <c r="FL7" s="256"/>
      <c r="FM7" s="257" t="s">
        <v>1145</v>
      </c>
      <c r="FN7" s="258" t="s">
        <v>389</v>
      </c>
      <c r="FO7" s="258"/>
      <c r="FP7" s="258" t="s">
        <v>390</v>
      </c>
      <c r="FQ7" s="259">
        <f t="shared" ref="FQ7:FQ38" si="0">SUM(H7:FK7)</f>
        <v>3502</v>
      </c>
      <c r="FR7" s="260" t="s">
        <v>410</v>
      </c>
      <c r="FS7" s="260"/>
    </row>
    <row r="8" spans="1:175">
      <c r="A8" s="251" t="s">
        <v>385</v>
      </c>
      <c r="B8" s="251" t="s">
        <v>385</v>
      </c>
      <c r="C8" s="251" t="s">
        <v>386</v>
      </c>
      <c r="D8" s="251" t="s">
        <v>1</v>
      </c>
      <c r="E8" s="252" t="s">
        <v>387</v>
      </c>
      <c r="F8" s="251" t="s">
        <v>388</v>
      </c>
      <c r="G8" s="251"/>
      <c r="H8" s="253">
        <v>100</v>
      </c>
      <c r="I8" s="253"/>
      <c r="J8" s="253"/>
      <c r="K8" s="253"/>
      <c r="L8" s="253"/>
      <c r="M8" s="253"/>
      <c r="N8" s="253"/>
      <c r="O8" s="253"/>
      <c r="P8" s="253"/>
      <c r="Q8" s="253"/>
      <c r="R8" s="253"/>
      <c r="S8" s="255">
        <f>500-500</f>
        <v>0</v>
      </c>
      <c r="T8" s="253"/>
      <c r="U8" s="255">
        <f>1000-1000+1000</f>
        <v>1000</v>
      </c>
      <c r="V8" s="255">
        <f>200-200</f>
        <v>0</v>
      </c>
      <c r="W8" s="253"/>
      <c r="X8" s="253"/>
      <c r="Y8" s="255">
        <f>300-300</f>
        <v>0</v>
      </c>
      <c r="Z8" s="255">
        <f>1000-1000</f>
        <v>0</v>
      </c>
      <c r="AA8" s="255">
        <f>5000-5000</f>
        <v>0</v>
      </c>
      <c r="AB8" s="254">
        <f>1000-1000+340-100</f>
        <v>240</v>
      </c>
      <c r="AC8" s="255">
        <f>500-500</f>
        <v>0</v>
      </c>
      <c r="AD8" s="253"/>
      <c r="AE8" s="253"/>
      <c r="AF8" s="253"/>
      <c r="AG8" s="254">
        <f>5000-5000+10-10</f>
        <v>0</v>
      </c>
      <c r="AH8" s="255">
        <f>500-500</f>
        <v>0</v>
      </c>
      <c r="AI8" s="255">
        <f>300-300</f>
        <v>0</v>
      </c>
      <c r="AJ8" s="255">
        <f>500-500</f>
        <v>0</v>
      </c>
      <c r="AK8" s="253"/>
      <c r="AL8" s="253"/>
      <c r="AM8" s="255">
        <f>200-200</f>
        <v>0</v>
      </c>
      <c r="AN8" s="253"/>
      <c r="AO8" s="253"/>
      <c r="AP8" s="253"/>
      <c r="AQ8" s="253"/>
      <c r="AR8" s="254">
        <f>500-500+40-40</f>
        <v>0</v>
      </c>
      <c r="AS8" s="255">
        <f>300-300</f>
        <v>0</v>
      </c>
      <c r="AT8" s="254">
        <f>15000-15000+2410-820</f>
        <v>1590</v>
      </c>
      <c r="AU8" s="253"/>
      <c r="AV8" s="253"/>
      <c r="AW8" s="253"/>
      <c r="AX8" s="253"/>
      <c r="AY8" s="254">
        <f>2000-2000+440-90</f>
        <v>350</v>
      </c>
      <c r="AZ8" s="255">
        <f>500-500</f>
        <v>0</v>
      </c>
      <c r="BA8" s="255">
        <f>200-200</f>
        <v>0</v>
      </c>
      <c r="BB8" s="255">
        <f>100-100</f>
        <v>0</v>
      </c>
      <c r="BC8" s="253"/>
      <c r="BD8" s="255">
        <f>200-200</f>
        <v>0</v>
      </c>
      <c r="BE8" s="255">
        <f>1000-1000</f>
        <v>0</v>
      </c>
      <c r="BF8" s="253"/>
      <c r="BG8" s="255">
        <f>100-100+5</f>
        <v>5</v>
      </c>
      <c r="BH8" s="255">
        <f>30-30</f>
        <v>0</v>
      </c>
      <c r="BI8" s="253"/>
      <c r="BJ8" s="255">
        <f>2000-2000</f>
        <v>0</v>
      </c>
      <c r="BK8" s="254">
        <f>800-800+13-13</f>
        <v>0</v>
      </c>
      <c r="BL8" s="255">
        <f>3000-3000</f>
        <v>0</v>
      </c>
      <c r="BM8" s="254">
        <f>8000-8000+1170-245</f>
        <v>925</v>
      </c>
      <c r="BN8" s="255">
        <f>4000-4000</f>
        <v>0</v>
      </c>
      <c r="BO8" s="255">
        <f>1000-1000+2</f>
        <v>2</v>
      </c>
      <c r="BP8" s="255">
        <f>2000-2000+3</f>
        <v>3</v>
      </c>
      <c r="BQ8" s="255">
        <f>500-500+4</f>
        <v>4</v>
      </c>
      <c r="BR8" s="255">
        <f>5000-5000+5</f>
        <v>5</v>
      </c>
      <c r="BS8" s="253"/>
      <c r="BT8" s="255">
        <f>4000-4000</f>
        <v>0</v>
      </c>
      <c r="BU8" s="255">
        <f>4000-4000</f>
        <v>0</v>
      </c>
      <c r="BV8" s="255">
        <f>500-500</f>
        <v>0</v>
      </c>
      <c r="BW8" s="255">
        <f>2000-2000</f>
        <v>0</v>
      </c>
      <c r="BX8" s="253"/>
      <c r="BY8" s="254">
        <f>2000-2000+1230-220</f>
        <v>1010</v>
      </c>
      <c r="BZ8" s="255">
        <f>1000-1000+1</f>
        <v>1</v>
      </c>
      <c r="CA8" s="255">
        <f>3000-3000</f>
        <v>0</v>
      </c>
      <c r="CB8" s="254">
        <f>6000-6000+1270-225</f>
        <v>1045</v>
      </c>
      <c r="CC8" s="254">
        <f>4000-4000+440-80</f>
        <v>360</v>
      </c>
      <c r="CD8" s="261">
        <f>1500-1500+12+4</f>
        <v>16</v>
      </c>
      <c r="CE8" s="253"/>
      <c r="CF8" s="255">
        <f>400-400</f>
        <v>0</v>
      </c>
      <c r="CG8" s="255">
        <f>400-400</f>
        <v>0</v>
      </c>
      <c r="CH8" s="255">
        <f>500-500</f>
        <v>0</v>
      </c>
      <c r="CI8" s="255">
        <f>1000-1000+4</f>
        <v>4</v>
      </c>
      <c r="CJ8" s="255">
        <f>4000-4000</f>
        <v>0</v>
      </c>
      <c r="CK8" s="255">
        <f>4000-4000</f>
        <v>0</v>
      </c>
      <c r="CL8" s="254">
        <f>1000-1000+40-10</f>
        <v>30</v>
      </c>
      <c r="CM8" s="255">
        <f>100-100</f>
        <v>0</v>
      </c>
      <c r="CN8" s="253"/>
      <c r="CO8" s="253"/>
      <c r="CP8" s="253"/>
      <c r="CQ8" s="253"/>
      <c r="CR8" s="253"/>
      <c r="CS8" s="254">
        <f>2000-2000+40-10</f>
        <v>30</v>
      </c>
      <c r="CT8" s="255">
        <f>1500-1500</f>
        <v>0</v>
      </c>
      <c r="CU8" s="253"/>
      <c r="CV8" s="253"/>
      <c r="CW8" s="255">
        <f>500-500</f>
        <v>0</v>
      </c>
      <c r="CX8" s="254">
        <f>200-200+35-8</f>
        <v>27</v>
      </c>
      <c r="CY8" s="261">
        <f>200-200+50-50</f>
        <v>0</v>
      </c>
      <c r="CZ8" s="254">
        <f>300-300+305-50</f>
        <v>255</v>
      </c>
      <c r="DA8" s="255">
        <f>500-500</f>
        <v>0</v>
      </c>
      <c r="DB8" s="255">
        <f>1000-1000</f>
        <v>0</v>
      </c>
      <c r="DC8" s="254">
        <f>1000-1000+80-20</f>
        <v>60</v>
      </c>
      <c r="DD8" s="253"/>
      <c r="DE8" s="253"/>
      <c r="DF8" s="253"/>
      <c r="DG8" s="253"/>
      <c r="DH8" s="253"/>
      <c r="DI8" s="254">
        <f>1000-1000+20-10</f>
        <v>10</v>
      </c>
      <c r="DJ8" s="253"/>
      <c r="DK8" s="255">
        <f>500-500</f>
        <v>0</v>
      </c>
      <c r="DL8" s="253"/>
      <c r="DM8" s="253"/>
      <c r="DN8" s="253"/>
      <c r="DO8" s="253"/>
      <c r="DP8" s="253"/>
      <c r="DQ8" s="253"/>
      <c r="DR8" s="253"/>
      <c r="DS8" s="253"/>
      <c r="DT8" s="253"/>
      <c r="DU8" s="253"/>
      <c r="DV8" s="253"/>
      <c r="DW8" s="253"/>
      <c r="DX8" s="253"/>
      <c r="DY8" s="253"/>
      <c r="DZ8" s="253"/>
      <c r="EA8" s="253"/>
      <c r="EB8" s="253"/>
      <c r="EC8" s="255">
        <f>100-100</f>
        <v>0</v>
      </c>
      <c r="ED8" s="255">
        <f>100-100</f>
        <v>0</v>
      </c>
      <c r="EE8" s="253"/>
      <c r="EF8" s="253"/>
      <c r="EG8" s="255">
        <f>500-500</f>
        <v>0</v>
      </c>
      <c r="EH8" s="254">
        <f>300-300+10-10</f>
        <v>0</v>
      </c>
      <c r="EI8" s="253"/>
      <c r="EJ8" s="253"/>
      <c r="EK8" s="255">
        <f>500-500</f>
        <v>0</v>
      </c>
      <c r="EL8" s="255">
        <f>200-200</f>
        <v>0</v>
      </c>
      <c r="EM8" s="255">
        <f>1000-1000</f>
        <v>0</v>
      </c>
      <c r="EN8" s="255">
        <f>500-500</f>
        <v>0</v>
      </c>
      <c r="EO8" s="255">
        <f>500-500</f>
        <v>0</v>
      </c>
      <c r="EP8" s="255">
        <f>3000-3000</f>
        <v>0</v>
      </c>
      <c r="EQ8" s="255">
        <f>2000-2000</f>
        <v>0</v>
      </c>
      <c r="ER8" s="253"/>
      <c r="ES8" s="255">
        <f>3000-3000</f>
        <v>0</v>
      </c>
      <c r="ET8" s="255">
        <f>3000-3000</f>
        <v>0</v>
      </c>
      <c r="EU8" s="255">
        <f>800-800+8</f>
        <v>8</v>
      </c>
      <c r="EV8" s="253"/>
      <c r="EW8" s="255">
        <f>1000-1000+10</f>
        <v>10</v>
      </c>
      <c r="EX8" s="255">
        <f>1500-1500</f>
        <v>0</v>
      </c>
      <c r="EY8" s="255">
        <f>500-500</f>
        <v>0</v>
      </c>
      <c r="EZ8" s="253"/>
      <c r="FA8" s="255">
        <f>2000-2000</f>
        <v>0</v>
      </c>
      <c r="FB8" s="255">
        <f>500-500</f>
        <v>0</v>
      </c>
      <c r="FC8" s="255">
        <f>300-300</f>
        <v>0</v>
      </c>
      <c r="FD8" s="253"/>
      <c r="FE8" s="255">
        <f>800-800+13</f>
        <v>13</v>
      </c>
      <c r="FF8" s="253"/>
      <c r="FG8" s="253"/>
      <c r="FH8" s="255">
        <f>1000-1000</f>
        <v>0</v>
      </c>
      <c r="FI8" s="255">
        <f>1000-1000</f>
        <v>0</v>
      </c>
      <c r="FJ8" s="253"/>
      <c r="FK8" s="253"/>
      <c r="FL8" s="256"/>
      <c r="FM8" s="257" t="s">
        <v>1145</v>
      </c>
      <c r="FN8" s="258" t="s">
        <v>389</v>
      </c>
      <c r="FO8" s="258"/>
      <c r="FP8" s="258" t="s">
        <v>390</v>
      </c>
      <c r="FQ8" s="259">
        <f t="shared" si="0"/>
        <v>7103</v>
      </c>
      <c r="FR8" s="260" t="s">
        <v>410</v>
      </c>
      <c r="FS8" s="260"/>
    </row>
    <row r="9" spans="1:175">
      <c r="A9" s="251" t="s">
        <v>385</v>
      </c>
      <c r="B9" s="251" t="s">
        <v>385</v>
      </c>
      <c r="C9" s="251" t="s">
        <v>386</v>
      </c>
      <c r="D9" s="251" t="s">
        <v>293</v>
      </c>
      <c r="E9" s="252" t="s">
        <v>387</v>
      </c>
      <c r="F9" s="251" t="s">
        <v>388</v>
      </c>
      <c r="G9" s="251"/>
      <c r="H9" s="253"/>
      <c r="I9" s="253"/>
      <c r="J9" s="253"/>
      <c r="K9" s="253"/>
      <c r="L9" s="253"/>
      <c r="M9" s="253"/>
      <c r="N9" s="253"/>
      <c r="O9" s="253"/>
      <c r="P9" s="253"/>
      <c r="Q9" s="253"/>
      <c r="R9" s="253"/>
      <c r="S9" s="253"/>
      <c r="T9" s="253"/>
      <c r="U9" s="253"/>
      <c r="V9" s="253"/>
      <c r="W9" s="253"/>
      <c r="X9" s="253"/>
      <c r="Y9" s="253"/>
      <c r="Z9" s="253"/>
      <c r="AA9" s="253"/>
      <c r="AB9" s="253"/>
      <c r="AC9" s="253"/>
      <c r="AD9" s="253"/>
      <c r="AE9" s="253"/>
      <c r="AF9" s="253"/>
      <c r="AG9" s="253"/>
      <c r="AH9" s="253"/>
      <c r="AI9" s="253"/>
      <c r="AJ9" s="253"/>
      <c r="AK9" s="253"/>
      <c r="AL9" s="253"/>
      <c r="AM9" s="253"/>
      <c r="AN9" s="253"/>
      <c r="AO9" s="253"/>
      <c r="AP9" s="253"/>
      <c r="AQ9" s="253"/>
      <c r="AR9" s="253"/>
      <c r="AS9" s="253"/>
      <c r="AT9" s="253"/>
      <c r="AU9" s="253"/>
      <c r="AV9" s="253"/>
      <c r="AW9" s="253"/>
      <c r="AX9" s="253"/>
      <c r="AY9" s="253"/>
      <c r="AZ9" s="253"/>
      <c r="BA9" s="253"/>
      <c r="BB9" s="253"/>
      <c r="BC9" s="253"/>
      <c r="BD9" s="253"/>
      <c r="BE9" s="253"/>
      <c r="BF9" s="253"/>
      <c r="BG9" s="253"/>
      <c r="BH9" s="253"/>
      <c r="BI9" s="253"/>
      <c r="BJ9" s="253"/>
      <c r="BK9" s="253"/>
      <c r="BL9" s="253"/>
      <c r="BM9" s="253"/>
      <c r="BN9" s="253"/>
      <c r="BO9" s="253"/>
      <c r="BP9" s="253"/>
      <c r="BQ9" s="253"/>
      <c r="BR9" s="253"/>
      <c r="BS9" s="253"/>
      <c r="BT9" s="253"/>
      <c r="BU9" s="253"/>
      <c r="BV9" s="253"/>
      <c r="BW9" s="253"/>
      <c r="BX9" s="253"/>
      <c r="BY9" s="253"/>
      <c r="BZ9" s="253"/>
      <c r="CA9" s="253"/>
      <c r="CB9" s="253"/>
      <c r="CC9" s="253"/>
      <c r="CD9" s="253"/>
      <c r="CE9" s="253"/>
      <c r="CF9" s="253"/>
      <c r="CG9" s="253"/>
      <c r="CH9" s="253"/>
      <c r="CI9" s="253"/>
      <c r="CJ9" s="253"/>
      <c r="CK9" s="253"/>
      <c r="CL9" s="253"/>
      <c r="CM9" s="253"/>
      <c r="CN9" s="253"/>
      <c r="CO9" s="253"/>
      <c r="CP9" s="253"/>
      <c r="CQ9" s="253"/>
      <c r="CR9" s="253"/>
      <c r="CS9" s="253"/>
      <c r="CT9" s="253"/>
      <c r="CU9" s="253"/>
      <c r="CV9" s="253"/>
      <c r="CW9" s="253"/>
      <c r="CX9" s="255">
        <v>15</v>
      </c>
      <c r="CY9" s="261">
        <f>10-10</f>
        <v>0</v>
      </c>
      <c r="CZ9" s="253"/>
      <c r="DA9" s="253"/>
      <c r="DB9" s="253"/>
      <c r="DC9" s="253"/>
      <c r="DD9" s="254">
        <f>80-80+55-12</f>
        <v>43</v>
      </c>
      <c r="DE9" s="253"/>
      <c r="DF9" s="253"/>
      <c r="DG9" s="253"/>
      <c r="DH9" s="253"/>
      <c r="DI9" s="253"/>
      <c r="DJ9" s="253"/>
      <c r="DK9" s="253"/>
      <c r="DL9" s="253"/>
      <c r="DM9" s="253"/>
      <c r="DN9" s="253"/>
      <c r="DO9" s="253"/>
      <c r="DP9" s="253"/>
      <c r="DQ9" s="255">
        <v>150</v>
      </c>
      <c r="DR9" s="253"/>
      <c r="DS9" s="253"/>
      <c r="DT9" s="253"/>
      <c r="DU9" s="253"/>
      <c r="DV9" s="253"/>
      <c r="DW9" s="253"/>
      <c r="DX9" s="253"/>
      <c r="DY9" s="253"/>
      <c r="DZ9" s="253"/>
      <c r="EA9" s="253"/>
      <c r="EB9" s="253"/>
      <c r="EC9" s="253"/>
      <c r="ED9" s="253"/>
      <c r="EE9" s="253"/>
      <c r="EF9" s="253"/>
      <c r="EG9" s="253"/>
      <c r="EH9" s="253"/>
      <c r="EI9" s="253"/>
      <c r="EJ9" s="253"/>
      <c r="EK9" s="253"/>
      <c r="EL9" s="253"/>
      <c r="EM9" s="253"/>
      <c r="EN9" s="253"/>
      <c r="EO9" s="253"/>
      <c r="EP9" s="253"/>
      <c r="EQ9" s="253"/>
      <c r="ER9" s="255">
        <f>1000-1000</f>
        <v>0</v>
      </c>
      <c r="ES9" s="253"/>
      <c r="ET9" s="253"/>
      <c r="EU9" s="253"/>
      <c r="EV9" s="255">
        <f>100-100</f>
        <v>0</v>
      </c>
      <c r="EW9" s="253"/>
      <c r="EX9" s="253"/>
      <c r="EY9" s="253"/>
      <c r="EZ9" s="255">
        <f>100-100</f>
        <v>0</v>
      </c>
      <c r="FA9" s="253"/>
      <c r="FB9" s="253"/>
      <c r="FC9" s="253"/>
      <c r="FD9" s="255">
        <f>100-100</f>
        <v>0</v>
      </c>
      <c r="FE9" s="253"/>
      <c r="FF9" s="253"/>
      <c r="FG9" s="253"/>
      <c r="FH9" s="253"/>
      <c r="FI9" s="253"/>
      <c r="FJ9" s="253"/>
      <c r="FK9" s="253"/>
      <c r="FL9" s="256"/>
      <c r="FM9" s="257" t="s">
        <v>1145</v>
      </c>
      <c r="FN9" s="258" t="s">
        <v>389</v>
      </c>
      <c r="FO9" s="258"/>
      <c r="FP9" s="258" t="s">
        <v>390</v>
      </c>
      <c r="FQ9" s="259">
        <f t="shared" si="0"/>
        <v>208</v>
      </c>
      <c r="FR9" s="260" t="s">
        <v>410</v>
      </c>
      <c r="FS9" s="260"/>
    </row>
    <row r="10" spans="1:175">
      <c r="A10" s="251" t="s">
        <v>385</v>
      </c>
      <c r="B10" s="251" t="s">
        <v>392</v>
      </c>
      <c r="C10" s="251" t="s">
        <v>386</v>
      </c>
      <c r="D10" s="251" t="s">
        <v>291</v>
      </c>
      <c r="E10" s="252" t="s">
        <v>387</v>
      </c>
      <c r="F10" s="251" t="s">
        <v>388</v>
      </c>
      <c r="G10" s="251"/>
      <c r="H10" s="253"/>
      <c r="I10" s="255">
        <f>3000-3000</f>
        <v>0</v>
      </c>
      <c r="J10" s="253"/>
      <c r="K10" s="255">
        <f>3000-3000</f>
        <v>0</v>
      </c>
      <c r="L10" s="253"/>
      <c r="M10" s="253"/>
      <c r="N10" s="253"/>
      <c r="O10" s="253"/>
      <c r="P10" s="253"/>
      <c r="Q10" s="253"/>
      <c r="R10" s="253"/>
      <c r="S10" s="253"/>
      <c r="T10" s="253"/>
      <c r="U10" s="253"/>
      <c r="V10" s="253"/>
      <c r="W10" s="253"/>
      <c r="X10" s="253"/>
      <c r="Y10" s="253"/>
      <c r="Z10" s="253"/>
      <c r="AA10" s="253"/>
      <c r="AB10" s="253"/>
      <c r="AC10" s="253"/>
      <c r="AD10" s="253"/>
      <c r="AE10" s="253"/>
      <c r="AF10" s="253"/>
      <c r="AG10" s="253"/>
      <c r="AH10" s="253"/>
      <c r="AI10" s="253"/>
      <c r="AJ10" s="253"/>
      <c r="AK10" s="253"/>
      <c r="AL10" s="253"/>
      <c r="AM10" s="253"/>
      <c r="AN10" s="253"/>
      <c r="AO10" s="253"/>
      <c r="AP10" s="253"/>
      <c r="AQ10" s="253"/>
      <c r="AR10" s="253"/>
      <c r="AS10" s="253"/>
      <c r="AT10" s="253"/>
      <c r="AU10" s="253"/>
      <c r="AV10" s="253"/>
      <c r="AW10" s="253"/>
      <c r="AX10" s="253"/>
      <c r="AY10" s="253"/>
      <c r="AZ10" s="253"/>
      <c r="BA10" s="253"/>
      <c r="BB10" s="253"/>
      <c r="BC10" s="253"/>
      <c r="BD10" s="253"/>
      <c r="BE10" s="253"/>
      <c r="BF10" s="253"/>
      <c r="BG10" s="253"/>
      <c r="BH10" s="253"/>
      <c r="BI10" s="253"/>
      <c r="BJ10" s="253"/>
      <c r="BK10" s="253"/>
      <c r="BL10" s="253"/>
      <c r="BM10" s="253"/>
      <c r="BN10" s="253"/>
      <c r="BO10" s="253"/>
      <c r="BP10" s="253"/>
      <c r="BQ10" s="253"/>
      <c r="BR10" s="253"/>
      <c r="BS10" s="253"/>
      <c r="BT10" s="253"/>
      <c r="BU10" s="253"/>
      <c r="BV10" s="253"/>
      <c r="BW10" s="253"/>
      <c r="BX10" s="253"/>
      <c r="BY10" s="253"/>
      <c r="BZ10" s="253"/>
      <c r="CA10" s="253"/>
      <c r="CB10" s="253"/>
      <c r="CC10" s="253"/>
      <c r="CD10" s="253"/>
      <c r="CE10" s="253"/>
      <c r="CF10" s="253"/>
      <c r="CG10" s="253"/>
      <c r="CH10" s="253"/>
      <c r="CI10" s="253"/>
      <c r="CJ10" s="253"/>
      <c r="CK10" s="253"/>
      <c r="CL10" s="253"/>
      <c r="CM10" s="253"/>
      <c r="CN10" s="253"/>
      <c r="CO10" s="253"/>
      <c r="CP10" s="253"/>
      <c r="CQ10" s="253"/>
      <c r="CR10" s="253"/>
      <c r="CS10" s="253"/>
      <c r="CT10" s="253"/>
      <c r="CU10" s="253"/>
      <c r="CV10" s="253"/>
      <c r="CW10" s="253"/>
      <c r="CX10" s="253"/>
      <c r="CY10" s="253"/>
      <c r="CZ10" s="253"/>
      <c r="DA10" s="253"/>
      <c r="DB10" s="253"/>
      <c r="DC10" s="253"/>
      <c r="DD10" s="253"/>
      <c r="DE10" s="253"/>
      <c r="DF10" s="253"/>
      <c r="DG10" s="253"/>
      <c r="DH10" s="253"/>
      <c r="DI10" s="253"/>
      <c r="DJ10" s="253"/>
      <c r="DK10" s="253"/>
      <c r="DL10" s="253"/>
      <c r="DM10" s="253"/>
      <c r="DN10" s="253"/>
      <c r="DO10" s="253"/>
      <c r="DP10" s="253"/>
      <c r="DQ10" s="253"/>
      <c r="DR10" s="253"/>
      <c r="DS10" s="253"/>
      <c r="DT10" s="253"/>
      <c r="DU10" s="253"/>
      <c r="DV10" s="253"/>
      <c r="DW10" s="255">
        <f>1000-1000</f>
        <v>0</v>
      </c>
      <c r="DX10" s="254">
        <f>8000-8000+1650-600</f>
        <v>1050</v>
      </c>
      <c r="DY10" s="253"/>
      <c r="DZ10" s="255">
        <f>3000-3000</f>
        <v>0</v>
      </c>
      <c r="EA10" s="255">
        <f>1000-1000</f>
        <v>0</v>
      </c>
      <c r="EB10" s="255">
        <f>1000-1000</f>
        <v>0</v>
      </c>
      <c r="EC10" s="253"/>
      <c r="ED10" s="253"/>
      <c r="EE10" s="253"/>
      <c r="EF10" s="253"/>
      <c r="EG10" s="253"/>
      <c r="EH10" s="253"/>
      <c r="EI10" s="253"/>
      <c r="EJ10" s="253"/>
      <c r="EK10" s="253"/>
      <c r="EL10" s="253"/>
      <c r="EM10" s="253"/>
      <c r="EN10" s="253"/>
      <c r="EO10" s="253"/>
      <c r="EP10" s="253"/>
      <c r="EQ10" s="253"/>
      <c r="ER10" s="253"/>
      <c r="ES10" s="253"/>
      <c r="ET10" s="253"/>
      <c r="EU10" s="253"/>
      <c r="EV10" s="253"/>
      <c r="EW10" s="253"/>
      <c r="EX10" s="253"/>
      <c r="EY10" s="253"/>
      <c r="EZ10" s="253"/>
      <c r="FA10" s="253"/>
      <c r="FB10" s="253"/>
      <c r="FC10" s="253"/>
      <c r="FD10" s="253"/>
      <c r="FE10" s="253"/>
      <c r="FF10" s="253"/>
      <c r="FG10" s="253"/>
      <c r="FH10" s="253"/>
      <c r="FI10" s="253"/>
      <c r="FJ10" s="253"/>
      <c r="FK10" s="253"/>
      <c r="FL10" s="256"/>
      <c r="FM10" s="257" t="s">
        <v>1145</v>
      </c>
      <c r="FN10" s="258" t="s">
        <v>389</v>
      </c>
      <c r="FO10" s="258"/>
      <c r="FP10" s="258" t="s">
        <v>390</v>
      </c>
      <c r="FQ10" s="259">
        <f t="shared" si="0"/>
        <v>1050</v>
      </c>
      <c r="FR10" s="260" t="s">
        <v>410</v>
      </c>
      <c r="FS10" s="260"/>
    </row>
    <row r="11" spans="1:175">
      <c r="A11" s="251" t="s">
        <v>385</v>
      </c>
      <c r="B11" s="251" t="s">
        <v>392</v>
      </c>
      <c r="C11" s="251" t="s">
        <v>386</v>
      </c>
      <c r="D11" s="251" t="s">
        <v>1</v>
      </c>
      <c r="E11" s="252" t="s">
        <v>387</v>
      </c>
      <c r="F11" s="251" t="s">
        <v>388</v>
      </c>
      <c r="G11" s="251"/>
      <c r="H11" s="253"/>
      <c r="I11" s="253"/>
      <c r="J11" s="253"/>
      <c r="K11" s="253"/>
      <c r="L11" s="254">
        <f>10000-10000+1320-600</f>
        <v>720</v>
      </c>
      <c r="M11" s="253"/>
      <c r="N11" s="254">
        <f>10000-10000+640-180</f>
        <v>460</v>
      </c>
      <c r="O11" s="254">
        <f>10000-10000+300-100</f>
        <v>200</v>
      </c>
      <c r="P11" s="255">
        <f>10000-10000</f>
        <v>0</v>
      </c>
      <c r="Q11" s="253"/>
      <c r="R11" s="253"/>
      <c r="S11" s="253"/>
      <c r="T11" s="253"/>
      <c r="U11" s="253"/>
      <c r="V11" s="253"/>
      <c r="W11" s="253"/>
      <c r="X11" s="254">
        <f>20-20</f>
        <v>0</v>
      </c>
      <c r="Y11" s="253"/>
      <c r="Z11" s="253"/>
      <c r="AA11" s="253"/>
      <c r="AB11" s="253"/>
      <c r="AC11" s="253"/>
      <c r="AD11" s="253"/>
      <c r="AE11" s="253"/>
      <c r="AF11" s="253"/>
      <c r="AG11" s="253"/>
      <c r="AH11" s="253"/>
      <c r="AI11" s="253"/>
      <c r="AJ11" s="253"/>
      <c r="AK11" s="253"/>
      <c r="AL11" s="253"/>
      <c r="AM11" s="253"/>
      <c r="AN11" s="253"/>
      <c r="AO11" s="253"/>
      <c r="AP11" s="253"/>
      <c r="AQ11" s="253"/>
      <c r="AR11" s="253"/>
      <c r="AS11" s="253"/>
      <c r="AT11" s="253"/>
      <c r="AU11" s="253"/>
      <c r="AV11" s="253"/>
      <c r="AW11" s="253"/>
      <c r="AX11" s="253"/>
      <c r="AY11" s="253"/>
      <c r="AZ11" s="253"/>
      <c r="BA11" s="253"/>
      <c r="BB11" s="253"/>
      <c r="BC11" s="253"/>
      <c r="BD11" s="253"/>
      <c r="BE11" s="253"/>
      <c r="BF11" s="253"/>
      <c r="BG11" s="253"/>
      <c r="BH11" s="253"/>
      <c r="BI11" s="253"/>
      <c r="BJ11" s="253"/>
      <c r="BK11" s="253"/>
      <c r="BL11" s="253"/>
      <c r="BM11" s="253"/>
      <c r="BN11" s="253"/>
      <c r="BO11" s="253"/>
      <c r="BP11" s="253"/>
      <c r="BQ11" s="253"/>
      <c r="BR11" s="253"/>
      <c r="BS11" s="253"/>
      <c r="BT11" s="253"/>
      <c r="BU11" s="253"/>
      <c r="BV11" s="253"/>
      <c r="BW11" s="253"/>
      <c r="BX11" s="253"/>
      <c r="BY11" s="253"/>
      <c r="BZ11" s="253"/>
      <c r="CA11" s="253"/>
      <c r="CB11" s="253"/>
      <c r="CC11" s="253"/>
      <c r="CD11" s="253"/>
      <c r="CE11" s="253"/>
      <c r="CF11" s="253"/>
      <c r="CG11" s="253"/>
      <c r="CH11" s="253"/>
      <c r="CI11" s="253"/>
      <c r="CJ11" s="253"/>
      <c r="CK11" s="253"/>
      <c r="CL11" s="253"/>
      <c r="CM11" s="253"/>
      <c r="CN11" s="253"/>
      <c r="CO11" s="253"/>
      <c r="CP11" s="253"/>
      <c r="CQ11" s="253"/>
      <c r="CR11" s="253"/>
      <c r="CS11" s="253"/>
      <c r="CT11" s="253"/>
      <c r="CU11" s="253"/>
      <c r="CV11" s="253"/>
      <c r="CW11" s="253"/>
      <c r="CX11" s="253"/>
      <c r="CY11" s="253"/>
      <c r="CZ11" s="253"/>
      <c r="DA11" s="253"/>
      <c r="DB11" s="253"/>
      <c r="DC11" s="253"/>
      <c r="DD11" s="253"/>
      <c r="DE11" s="253"/>
      <c r="DF11" s="253"/>
      <c r="DG11" s="253"/>
      <c r="DH11" s="253"/>
      <c r="DI11" s="253"/>
      <c r="DJ11" s="253"/>
      <c r="DK11" s="253"/>
      <c r="DL11" s="253"/>
      <c r="DM11" s="253"/>
      <c r="DN11" s="253"/>
      <c r="DO11" s="253"/>
      <c r="DP11" s="253"/>
      <c r="DQ11" s="253"/>
      <c r="DR11" s="253"/>
      <c r="DS11" s="253"/>
      <c r="DT11" s="253"/>
      <c r="DU11" s="253"/>
      <c r="DV11" s="255">
        <f>2000-2000+8</f>
        <v>8</v>
      </c>
      <c r="DW11" s="253"/>
      <c r="DX11" s="253"/>
      <c r="DY11" s="255">
        <f>3000-3000</f>
        <v>0</v>
      </c>
      <c r="DZ11" s="253"/>
      <c r="EA11" s="253"/>
      <c r="EB11" s="253"/>
      <c r="EC11" s="253"/>
      <c r="ED11" s="253"/>
      <c r="EE11" s="253"/>
      <c r="EF11" s="253"/>
      <c r="EG11" s="253"/>
      <c r="EH11" s="253"/>
      <c r="EI11" s="253"/>
      <c r="EJ11" s="253"/>
      <c r="EK11" s="253"/>
      <c r="EL11" s="253"/>
      <c r="EM11" s="253"/>
      <c r="EN11" s="253"/>
      <c r="EO11" s="253"/>
      <c r="EP11" s="253"/>
      <c r="EQ11" s="253"/>
      <c r="ER11" s="253"/>
      <c r="ES11" s="253"/>
      <c r="ET11" s="253"/>
      <c r="EU11" s="253"/>
      <c r="EV11" s="253"/>
      <c r="EW11" s="253"/>
      <c r="EX11" s="253"/>
      <c r="EY11" s="253"/>
      <c r="EZ11" s="253"/>
      <c r="FA11" s="253"/>
      <c r="FB11" s="253"/>
      <c r="FC11" s="253"/>
      <c r="FD11" s="253"/>
      <c r="FE11" s="253"/>
      <c r="FF11" s="253"/>
      <c r="FG11" s="253"/>
      <c r="FH11" s="255">
        <f>1000-1000</f>
        <v>0</v>
      </c>
      <c r="FI11" s="255">
        <f>1000-1000</f>
        <v>0</v>
      </c>
      <c r="FJ11" s="253"/>
      <c r="FK11" s="253"/>
      <c r="FL11" s="256"/>
      <c r="FM11" s="257" t="s">
        <v>1145</v>
      </c>
      <c r="FN11" s="258" t="s">
        <v>389</v>
      </c>
      <c r="FO11" s="258"/>
      <c r="FP11" s="258" t="s">
        <v>390</v>
      </c>
      <c r="FQ11" s="259">
        <f t="shared" si="0"/>
        <v>1388</v>
      </c>
      <c r="FR11" s="260" t="s">
        <v>410</v>
      </c>
      <c r="FS11" s="260"/>
    </row>
    <row r="12" spans="1:175">
      <c r="A12" s="251" t="s">
        <v>385</v>
      </c>
      <c r="B12" s="251" t="s">
        <v>392</v>
      </c>
      <c r="C12" s="251" t="s">
        <v>386</v>
      </c>
      <c r="D12" s="251" t="s">
        <v>293</v>
      </c>
      <c r="E12" s="252" t="s">
        <v>387</v>
      </c>
      <c r="F12" s="251" t="s">
        <v>388</v>
      </c>
      <c r="G12" s="251"/>
      <c r="H12" s="253"/>
      <c r="I12" s="253"/>
      <c r="J12" s="255">
        <f>3000-3000</f>
        <v>0</v>
      </c>
      <c r="K12" s="253"/>
      <c r="L12" s="253"/>
      <c r="M12" s="253"/>
      <c r="N12" s="253"/>
      <c r="O12" s="253"/>
      <c r="P12" s="253"/>
      <c r="Q12" s="255">
        <v>1</v>
      </c>
      <c r="R12" s="253"/>
      <c r="S12" s="253"/>
      <c r="T12" s="253"/>
      <c r="U12" s="253"/>
      <c r="V12" s="253"/>
      <c r="W12" s="253"/>
      <c r="X12" s="253"/>
      <c r="Y12" s="253"/>
      <c r="Z12" s="253"/>
      <c r="AA12" s="253"/>
      <c r="AB12" s="253"/>
      <c r="AC12" s="253"/>
      <c r="AD12" s="253"/>
      <c r="AE12" s="253"/>
      <c r="AF12" s="253"/>
      <c r="AG12" s="253"/>
      <c r="AH12" s="253"/>
      <c r="AI12" s="253"/>
      <c r="AJ12" s="253"/>
      <c r="AK12" s="253"/>
      <c r="AL12" s="253"/>
      <c r="AM12" s="253"/>
      <c r="AN12" s="253"/>
      <c r="AO12" s="253"/>
      <c r="AP12" s="253"/>
      <c r="AQ12" s="253"/>
      <c r="AR12" s="253"/>
      <c r="AS12" s="253"/>
      <c r="AT12" s="253"/>
      <c r="AU12" s="253"/>
      <c r="AV12" s="253"/>
      <c r="AW12" s="253"/>
      <c r="AX12" s="253"/>
      <c r="AY12" s="253"/>
      <c r="AZ12" s="253"/>
      <c r="BA12" s="253"/>
      <c r="BB12" s="253"/>
      <c r="BC12" s="253"/>
      <c r="BD12" s="253"/>
      <c r="BE12" s="253"/>
      <c r="BF12" s="253"/>
      <c r="BG12" s="253"/>
      <c r="BH12" s="253"/>
      <c r="BI12" s="253"/>
      <c r="BJ12" s="253"/>
      <c r="BK12" s="253"/>
      <c r="BL12" s="253"/>
      <c r="BM12" s="253"/>
      <c r="BN12" s="253"/>
      <c r="BO12" s="253"/>
      <c r="BP12" s="253"/>
      <c r="BQ12" s="253"/>
      <c r="BR12" s="253"/>
      <c r="BS12" s="253"/>
      <c r="BT12" s="253"/>
      <c r="BU12" s="253"/>
      <c r="BV12" s="253"/>
      <c r="BW12" s="253"/>
      <c r="BX12" s="253"/>
      <c r="BY12" s="253"/>
      <c r="BZ12" s="253"/>
      <c r="CA12" s="253"/>
      <c r="CB12" s="253"/>
      <c r="CC12" s="253"/>
      <c r="CD12" s="253"/>
      <c r="CE12" s="253"/>
      <c r="CF12" s="253"/>
      <c r="CG12" s="253"/>
      <c r="CH12" s="253"/>
      <c r="CI12" s="253"/>
      <c r="CJ12" s="253"/>
      <c r="CK12" s="253"/>
      <c r="CL12" s="253"/>
      <c r="CM12" s="253"/>
      <c r="CN12" s="253"/>
      <c r="CO12" s="253"/>
      <c r="CP12" s="253"/>
      <c r="CQ12" s="253"/>
      <c r="CR12" s="253"/>
      <c r="CS12" s="253"/>
      <c r="CT12" s="253"/>
      <c r="CU12" s="253"/>
      <c r="CV12" s="253"/>
      <c r="CW12" s="253"/>
      <c r="CX12" s="253"/>
      <c r="CY12" s="253"/>
      <c r="CZ12" s="253"/>
      <c r="DA12" s="253"/>
      <c r="DB12" s="253"/>
      <c r="DC12" s="253"/>
      <c r="DD12" s="253"/>
      <c r="DE12" s="253"/>
      <c r="DF12" s="253"/>
      <c r="DG12" s="253"/>
      <c r="DH12" s="253"/>
      <c r="DI12" s="253"/>
      <c r="DJ12" s="253"/>
      <c r="DK12" s="253"/>
      <c r="DL12" s="253"/>
      <c r="DM12" s="253"/>
      <c r="DN12" s="253"/>
      <c r="DO12" s="253"/>
      <c r="DP12" s="253"/>
      <c r="DQ12" s="253"/>
      <c r="DR12" s="253"/>
      <c r="DS12" s="253"/>
      <c r="DT12" s="253"/>
      <c r="DU12" s="253"/>
      <c r="DV12" s="253"/>
      <c r="DW12" s="253"/>
      <c r="DX12" s="253"/>
      <c r="DY12" s="253"/>
      <c r="DZ12" s="253"/>
      <c r="EA12" s="253"/>
      <c r="EB12" s="253"/>
      <c r="EC12" s="253"/>
      <c r="ED12" s="253"/>
      <c r="EE12" s="253"/>
      <c r="EF12" s="253"/>
      <c r="EG12" s="253"/>
      <c r="EH12" s="253"/>
      <c r="EI12" s="253"/>
      <c r="EJ12" s="253"/>
      <c r="EK12" s="253"/>
      <c r="EL12" s="253"/>
      <c r="EM12" s="253"/>
      <c r="EN12" s="253"/>
      <c r="EO12" s="253"/>
      <c r="EP12" s="253"/>
      <c r="EQ12" s="253"/>
      <c r="ER12" s="253"/>
      <c r="ES12" s="253"/>
      <c r="ET12" s="253"/>
      <c r="EU12" s="253"/>
      <c r="EV12" s="253"/>
      <c r="EW12" s="253"/>
      <c r="EX12" s="253"/>
      <c r="EY12" s="253"/>
      <c r="EZ12" s="253"/>
      <c r="FA12" s="253"/>
      <c r="FB12" s="253"/>
      <c r="FC12" s="253"/>
      <c r="FD12" s="253"/>
      <c r="FE12" s="253"/>
      <c r="FF12" s="253"/>
      <c r="FG12" s="253"/>
      <c r="FH12" s="253"/>
      <c r="FI12" s="253"/>
      <c r="FJ12" s="253"/>
      <c r="FK12" s="253"/>
      <c r="FL12" s="256"/>
      <c r="FM12" s="257" t="s">
        <v>1145</v>
      </c>
      <c r="FN12" s="258" t="s">
        <v>389</v>
      </c>
      <c r="FO12" s="258"/>
      <c r="FP12" s="258" t="s">
        <v>390</v>
      </c>
      <c r="FQ12" s="259">
        <f t="shared" si="0"/>
        <v>1</v>
      </c>
      <c r="FR12" s="260" t="s">
        <v>410</v>
      </c>
      <c r="FS12" s="260"/>
    </row>
    <row r="13" spans="1:175" s="276" customFormat="1" ht="11.4" hidden="1">
      <c r="A13" s="251" t="s">
        <v>417</v>
      </c>
      <c r="B13" s="251" t="s">
        <v>385</v>
      </c>
      <c r="C13" s="251" t="s">
        <v>394</v>
      </c>
      <c r="D13" s="251" t="s">
        <v>1</v>
      </c>
      <c r="E13" s="252" t="s">
        <v>1146</v>
      </c>
      <c r="F13" s="251" t="s">
        <v>388</v>
      </c>
      <c r="G13" s="251" t="s">
        <v>842</v>
      </c>
      <c r="H13" s="253"/>
      <c r="I13" s="253"/>
      <c r="J13" s="253"/>
      <c r="K13" s="253"/>
      <c r="L13" s="254">
        <f>500-500+160</f>
        <v>160</v>
      </c>
      <c r="M13" s="253"/>
      <c r="N13" s="253"/>
      <c r="O13" s="253"/>
      <c r="P13" s="253"/>
      <c r="Q13" s="253"/>
      <c r="R13" s="253"/>
      <c r="S13" s="253"/>
      <c r="T13" s="253"/>
      <c r="U13" s="253"/>
      <c r="V13" s="253"/>
      <c r="W13" s="253"/>
      <c r="X13" s="253"/>
      <c r="Y13" s="253"/>
      <c r="Z13" s="253"/>
      <c r="AA13" s="253"/>
      <c r="AB13" s="253"/>
      <c r="AC13" s="253"/>
      <c r="AD13" s="253"/>
      <c r="AE13" s="253"/>
      <c r="AF13" s="253"/>
      <c r="AG13" s="253"/>
      <c r="AH13" s="253"/>
      <c r="AI13" s="253"/>
      <c r="AJ13" s="253"/>
      <c r="AK13" s="253"/>
      <c r="AL13" s="253"/>
      <c r="AM13" s="253"/>
      <c r="AN13" s="253"/>
      <c r="AO13" s="253"/>
      <c r="AP13" s="253"/>
      <c r="AQ13" s="253"/>
      <c r="AR13" s="253"/>
      <c r="AS13" s="253"/>
      <c r="AT13" s="253"/>
      <c r="AU13" s="253"/>
      <c r="AV13" s="253"/>
      <c r="AW13" s="253"/>
      <c r="AX13" s="253"/>
      <c r="AY13" s="253"/>
      <c r="AZ13" s="253"/>
      <c r="BA13" s="253"/>
      <c r="BB13" s="253"/>
      <c r="BC13" s="253"/>
      <c r="BD13" s="253"/>
      <c r="BE13" s="253"/>
      <c r="BF13" s="253"/>
      <c r="BG13" s="253"/>
      <c r="BH13" s="253"/>
      <c r="BI13" s="253"/>
      <c r="BJ13" s="253"/>
      <c r="BK13" s="253"/>
      <c r="BL13" s="253"/>
      <c r="BM13" s="253"/>
      <c r="BN13" s="253"/>
      <c r="BO13" s="253"/>
      <c r="BP13" s="253"/>
      <c r="BQ13" s="253"/>
      <c r="BR13" s="253"/>
      <c r="BS13" s="253"/>
      <c r="BT13" s="253"/>
      <c r="BU13" s="253"/>
      <c r="BV13" s="253"/>
      <c r="BW13" s="253"/>
      <c r="BX13" s="253"/>
      <c r="BY13" s="253"/>
      <c r="BZ13" s="253"/>
      <c r="CA13" s="253"/>
      <c r="CB13" s="253"/>
      <c r="CC13" s="253"/>
      <c r="CD13" s="253"/>
      <c r="CE13" s="253"/>
      <c r="CF13" s="253"/>
      <c r="CG13" s="253"/>
      <c r="CH13" s="253"/>
      <c r="CI13" s="253"/>
      <c r="CJ13" s="253"/>
      <c r="CK13" s="253"/>
      <c r="CL13" s="253"/>
      <c r="CM13" s="253"/>
      <c r="CN13" s="253"/>
      <c r="CO13" s="253"/>
      <c r="CP13" s="253"/>
      <c r="CQ13" s="253"/>
      <c r="CR13" s="253"/>
      <c r="CS13" s="253"/>
      <c r="CT13" s="253"/>
      <c r="CU13" s="253"/>
      <c r="CV13" s="253"/>
      <c r="CW13" s="253"/>
      <c r="CX13" s="253"/>
      <c r="CY13" s="253"/>
      <c r="CZ13" s="253"/>
      <c r="DA13" s="253"/>
      <c r="DB13" s="253"/>
      <c r="DC13" s="253"/>
      <c r="DD13" s="253"/>
      <c r="DE13" s="253"/>
      <c r="DF13" s="253"/>
      <c r="DG13" s="253"/>
      <c r="DH13" s="253"/>
      <c r="DI13" s="253"/>
      <c r="DJ13" s="253"/>
      <c r="DK13" s="253"/>
      <c r="DL13" s="253"/>
      <c r="DM13" s="253"/>
      <c r="DN13" s="253"/>
      <c r="DO13" s="253"/>
      <c r="DP13" s="253"/>
      <c r="DQ13" s="253"/>
      <c r="DR13" s="253"/>
      <c r="DS13" s="253"/>
      <c r="DT13" s="253"/>
      <c r="DU13" s="253"/>
      <c r="DV13" s="253"/>
      <c r="DW13" s="253"/>
      <c r="DX13" s="253"/>
      <c r="DY13" s="253"/>
      <c r="DZ13" s="253"/>
      <c r="EA13" s="253"/>
      <c r="EB13" s="253"/>
      <c r="EC13" s="253"/>
      <c r="ED13" s="253"/>
      <c r="EE13" s="253"/>
      <c r="EF13" s="253"/>
      <c r="EG13" s="253"/>
      <c r="EH13" s="253"/>
      <c r="EI13" s="253"/>
      <c r="EJ13" s="253"/>
      <c r="EK13" s="253"/>
      <c r="EL13" s="253"/>
      <c r="EM13" s="253"/>
      <c r="EN13" s="253"/>
      <c r="EO13" s="253"/>
      <c r="EP13" s="253"/>
      <c r="EQ13" s="253"/>
      <c r="ER13" s="253"/>
      <c r="ES13" s="253"/>
      <c r="ET13" s="253"/>
      <c r="EU13" s="253"/>
      <c r="EV13" s="253"/>
      <c r="EW13" s="253"/>
      <c r="EX13" s="253"/>
      <c r="EY13" s="253"/>
      <c r="EZ13" s="253"/>
      <c r="FA13" s="253"/>
      <c r="FB13" s="253"/>
      <c r="FC13" s="253"/>
      <c r="FD13" s="253"/>
      <c r="FE13" s="253"/>
      <c r="FF13" s="253"/>
      <c r="FG13" s="253"/>
      <c r="FH13" s="253"/>
      <c r="FI13" s="253"/>
      <c r="FJ13" s="253"/>
      <c r="FK13" s="253"/>
      <c r="FL13" s="256"/>
      <c r="FM13" s="257" t="s">
        <v>1145</v>
      </c>
      <c r="FN13" s="258" t="s">
        <v>389</v>
      </c>
      <c r="FO13" s="258" t="s">
        <v>1147</v>
      </c>
      <c r="FP13" s="258" t="s">
        <v>1148</v>
      </c>
      <c r="FQ13" s="259">
        <f t="shared" si="0"/>
        <v>160</v>
      </c>
      <c r="FR13" s="260" t="s">
        <v>398</v>
      </c>
      <c r="FS13" s="260"/>
    </row>
    <row r="14" spans="1:175" s="276" customFormat="1" ht="11.4" hidden="1">
      <c r="A14" s="251" t="s">
        <v>393</v>
      </c>
      <c r="B14" s="251" t="s">
        <v>385</v>
      </c>
      <c r="C14" s="251" t="s">
        <v>394</v>
      </c>
      <c r="D14" s="251" t="s">
        <v>291</v>
      </c>
      <c r="E14" s="252" t="s">
        <v>395</v>
      </c>
      <c r="F14" s="251" t="s">
        <v>388</v>
      </c>
      <c r="G14" s="251" t="s">
        <v>1149</v>
      </c>
      <c r="H14" s="253"/>
      <c r="I14" s="253"/>
      <c r="J14" s="253"/>
      <c r="K14" s="253"/>
      <c r="L14" s="253"/>
      <c r="M14" s="253"/>
      <c r="N14" s="253"/>
      <c r="O14" s="253"/>
      <c r="P14" s="253"/>
      <c r="Q14" s="253"/>
      <c r="R14" s="253"/>
      <c r="S14" s="253"/>
      <c r="T14" s="253"/>
      <c r="U14" s="253"/>
      <c r="V14" s="253"/>
      <c r="W14" s="253"/>
      <c r="X14" s="253"/>
      <c r="Y14" s="253"/>
      <c r="Z14" s="253"/>
      <c r="AA14" s="253"/>
      <c r="AB14" s="253"/>
      <c r="AC14" s="253"/>
      <c r="AD14" s="253"/>
      <c r="AE14" s="253"/>
      <c r="AF14" s="255">
        <f>500-500</f>
        <v>0</v>
      </c>
      <c r="AG14" s="253"/>
      <c r="AH14" s="253"/>
      <c r="AI14" s="253"/>
      <c r="AJ14" s="253"/>
      <c r="AK14" s="253"/>
      <c r="AL14" s="253"/>
      <c r="AM14" s="253"/>
      <c r="AN14" s="253"/>
      <c r="AO14" s="253"/>
      <c r="AP14" s="253"/>
      <c r="AQ14" s="253"/>
      <c r="AR14" s="253"/>
      <c r="AS14" s="253"/>
      <c r="AT14" s="253"/>
      <c r="AU14" s="253"/>
      <c r="AV14" s="253"/>
      <c r="AW14" s="253"/>
      <c r="AX14" s="253"/>
      <c r="AY14" s="253"/>
      <c r="AZ14" s="253"/>
      <c r="BA14" s="253"/>
      <c r="BB14" s="253"/>
      <c r="BC14" s="253"/>
      <c r="BD14" s="253"/>
      <c r="BE14" s="253"/>
      <c r="BF14" s="253"/>
      <c r="BG14" s="253"/>
      <c r="BH14" s="253"/>
      <c r="BI14" s="253"/>
      <c r="BJ14" s="253"/>
      <c r="BK14" s="253"/>
      <c r="BL14" s="253"/>
      <c r="BM14" s="253"/>
      <c r="BN14" s="253"/>
      <c r="BO14" s="253"/>
      <c r="BP14" s="253"/>
      <c r="BQ14" s="253"/>
      <c r="BR14" s="253"/>
      <c r="BS14" s="253"/>
      <c r="BT14" s="253"/>
      <c r="BU14" s="253"/>
      <c r="BV14" s="253"/>
      <c r="BW14" s="253"/>
      <c r="BX14" s="253"/>
      <c r="BY14" s="253"/>
      <c r="BZ14" s="253"/>
      <c r="CA14" s="253"/>
      <c r="CB14" s="253"/>
      <c r="CC14" s="253"/>
      <c r="CD14" s="253"/>
      <c r="CE14" s="253"/>
      <c r="CF14" s="253"/>
      <c r="CG14" s="253"/>
      <c r="CH14" s="253"/>
      <c r="CI14" s="253"/>
      <c r="CJ14" s="253"/>
      <c r="CK14" s="253"/>
      <c r="CL14" s="253"/>
      <c r="CM14" s="253"/>
      <c r="CN14" s="253"/>
      <c r="CO14" s="253"/>
      <c r="CP14" s="253"/>
      <c r="CQ14" s="253"/>
      <c r="CR14" s="253"/>
      <c r="CS14" s="253"/>
      <c r="CT14" s="253"/>
      <c r="CU14" s="253"/>
      <c r="CV14" s="253"/>
      <c r="CW14" s="253"/>
      <c r="CX14" s="253"/>
      <c r="CY14" s="253"/>
      <c r="CZ14" s="253"/>
      <c r="DA14" s="253"/>
      <c r="DB14" s="253"/>
      <c r="DC14" s="253"/>
      <c r="DD14" s="253"/>
      <c r="DE14" s="253"/>
      <c r="DF14" s="253"/>
      <c r="DG14" s="253"/>
      <c r="DH14" s="253"/>
      <c r="DI14" s="253"/>
      <c r="DJ14" s="253"/>
      <c r="DK14" s="253"/>
      <c r="DL14" s="253"/>
      <c r="DM14" s="253"/>
      <c r="DN14" s="253"/>
      <c r="DO14" s="253"/>
      <c r="DP14" s="253"/>
      <c r="DQ14" s="253"/>
      <c r="DR14" s="253"/>
      <c r="DS14" s="253"/>
      <c r="DT14" s="253"/>
      <c r="DU14" s="253"/>
      <c r="DV14" s="253"/>
      <c r="DW14" s="253"/>
      <c r="DX14" s="253"/>
      <c r="DY14" s="253"/>
      <c r="DZ14" s="253"/>
      <c r="EA14" s="253"/>
      <c r="EB14" s="253"/>
      <c r="EC14" s="253"/>
      <c r="ED14" s="253"/>
      <c r="EE14" s="253"/>
      <c r="EF14" s="253"/>
      <c r="EG14" s="253"/>
      <c r="EH14" s="253"/>
      <c r="EI14" s="253"/>
      <c r="EJ14" s="253"/>
      <c r="EK14" s="253"/>
      <c r="EL14" s="253"/>
      <c r="EM14" s="253"/>
      <c r="EN14" s="253"/>
      <c r="EO14" s="253"/>
      <c r="EP14" s="253"/>
      <c r="EQ14" s="253"/>
      <c r="ER14" s="253"/>
      <c r="ES14" s="253"/>
      <c r="ET14" s="253"/>
      <c r="EU14" s="253"/>
      <c r="EV14" s="253"/>
      <c r="EW14" s="253"/>
      <c r="EX14" s="253"/>
      <c r="EY14" s="253"/>
      <c r="EZ14" s="253"/>
      <c r="FA14" s="253"/>
      <c r="FB14" s="253"/>
      <c r="FC14" s="253"/>
      <c r="FD14" s="253"/>
      <c r="FE14" s="253"/>
      <c r="FF14" s="253"/>
      <c r="FG14" s="253"/>
      <c r="FH14" s="253"/>
      <c r="FI14" s="253"/>
      <c r="FJ14" s="253"/>
      <c r="FK14" s="253"/>
      <c r="FL14" s="256"/>
      <c r="FM14" s="257" t="s">
        <v>1145</v>
      </c>
      <c r="FN14" s="258" t="s">
        <v>389</v>
      </c>
      <c r="FO14" s="258" t="s">
        <v>396</v>
      </c>
      <c r="FP14" s="258" t="s">
        <v>397</v>
      </c>
      <c r="FQ14" s="259">
        <f t="shared" si="0"/>
        <v>0</v>
      </c>
      <c r="FR14" s="260" t="s">
        <v>398</v>
      </c>
      <c r="FS14" s="260"/>
    </row>
    <row r="15" spans="1:175" s="276" customFormat="1" ht="11.4" hidden="1">
      <c r="A15" s="251" t="s">
        <v>393</v>
      </c>
      <c r="B15" s="251" t="s">
        <v>385</v>
      </c>
      <c r="C15" s="251" t="s">
        <v>394</v>
      </c>
      <c r="D15" s="251" t="s">
        <v>1</v>
      </c>
      <c r="E15" s="252" t="s">
        <v>395</v>
      </c>
      <c r="F15" s="251" t="s">
        <v>388</v>
      </c>
      <c r="G15" s="251" t="s">
        <v>1149</v>
      </c>
      <c r="H15" s="253"/>
      <c r="I15" s="253"/>
      <c r="J15" s="253"/>
      <c r="K15" s="253"/>
      <c r="L15" s="253"/>
      <c r="M15" s="253"/>
      <c r="N15" s="253"/>
      <c r="O15" s="253"/>
      <c r="P15" s="253"/>
      <c r="Q15" s="253"/>
      <c r="R15" s="253"/>
      <c r="S15" s="253"/>
      <c r="T15" s="253"/>
      <c r="U15" s="255">
        <f>1000-1000</f>
        <v>0</v>
      </c>
      <c r="V15" s="253"/>
      <c r="W15" s="253"/>
      <c r="X15" s="253"/>
      <c r="Y15" s="253"/>
      <c r="Z15" s="253"/>
      <c r="AA15" s="253"/>
      <c r="AB15" s="253"/>
      <c r="AC15" s="253"/>
      <c r="AD15" s="253"/>
      <c r="AE15" s="253"/>
      <c r="AF15" s="253"/>
      <c r="AG15" s="253"/>
      <c r="AH15" s="253"/>
      <c r="AI15" s="253"/>
      <c r="AJ15" s="253"/>
      <c r="AK15" s="253"/>
      <c r="AL15" s="253"/>
      <c r="AM15" s="253"/>
      <c r="AN15" s="253"/>
      <c r="AO15" s="253"/>
      <c r="AP15" s="253"/>
      <c r="AQ15" s="253"/>
      <c r="AR15" s="253"/>
      <c r="AS15" s="253"/>
      <c r="AT15" s="255">
        <f>500-500</f>
        <v>0</v>
      </c>
      <c r="AU15" s="253"/>
      <c r="AV15" s="253"/>
      <c r="AW15" s="253"/>
      <c r="AX15" s="253"/>
      <c r="AY15" s="253"/>
      <c r="AZ15" s="253"/>
      <c r="BA15" s="253"/>
      <c r="BB15" s="253"/>
      <c r="BC15" s="253"/>
      <c r="BD15" s="253"/>
      <c r="BE15" s="253"/>
      <c r="BF15" s="253"/>
      <c r="BG15" s="253"/>
      <c r="BH15" s="253"/>
      <c r="BI15" s="253"/>
      <c r="BJ15" s="253"/>
      <c r="BK15" s="253"/>
      <c r="BL15" s="253"/>
      <c r="BM15" s="253"/>
      <c r="BN15" s="253"/>
      <c r="BO15" s="253"/>
      <c r="BP15" s="253"/>
      <c r="BQ15" s="253"/>
      <c r="BR15" s="253"/>
      <c r="BS15" s="253"/>
      <c r="BT15" s="253"/>
      <c r="BU15" s="253"/>
      <c r="BV15" s="253"/>
      <c r="BW15" s="253"/>
      <c r="BX15" s="253"/>
      <c r="BY15" s="253"/>
      <c r="BZ15" s="253"/>
      <c r="CA15" s="253"/>
      <c r="CB15" s="253"/>
      <c r="CC15" s="253"/>
      <c r="CD15" s="253"/>
      <c r="CE15" s="253"/>
      <c r="CF15" s="253"/>
      <c r="CG15" s="253"/>
      <c r="CH15" s="253"/>
      <c r="CI15" s="253"/>
      <c r="CJ15" s="253"/>
      <c r="CK15" s="253"/>
      <c r="CL15" s="253"/>
      <c r="CM15" s="253"/>
      <c r="CN15" s="253"/>
      <c r="CO15" s="253"/>
      <c r="CP15" s="253"/>
      <c r="CQ15" s="253"/>
      <c r="CR15" s="253"/>
      <c r="CS15" s="253"/>
      <c r="CT15" s="253"/>
      <c r="CU15" s="253"/>
      <c r="CV15" s="253"/>
      <c r="CW15" s="253"/>
      <c r="CX15" s="253"/>
      <c r="CY15" s="253"/>
      <c r="CZ15" s="253"/>
      <c r="DA15" s="253"/>
      <c r="DB15" s="253"/>
      <c r="DC15" s="253"/>
      <c r="DD15" s="253"/>
      <c r="DE15" s="253"/>
      <c r="DF15" s="253"/>
      <c r="DG15" s="253"/>
      <c r="DH15" s="253"/>
      <c r="DI15" s="253"/>
      <c r="DJ15" s="253"/>
      <c r="DK15" s="253"/>
      <c r="DL15" s="253"/>
      <c r="DM15" s="253"/>
      <c r="DN15" s="253"/>
      <c r="DO15" s="253"/>
      <c r="DP15" s="253"/>
      <c r="DQ15" s="253"/>
      <c r="DR15" s="253"/>
      <c r="DS15" s="253"/>
      <c r="DT15" s="253"/>
      <c r="DU15" s="253"/>
      <c r="DV15" s="253"/>
      <c r="DW15" s="253"/>
      <c r="DX15" s="253"/>
      <c r="DY15" s="253"/>
      <c r="DZ15" s="253"/>
      <c r="EA15" s="253"/>
      <c r="EB15" s="253"/>
      <c r="EC15" s="253"/>
      <c r="ED15" s="253"/>
      <c r="EE15" s="253"/>
      <c r="EF15" s="253"/>
      <c r="EG15" s="253"/>
      <c r="EH15" s="253"/>
      <c r="EI15" s="253"/>
      <c r="EJ15" s="253"/>
      <c r="EK15" s="253"/>
      <c r="EL15" s="253"/>
      <c r="EM15" s="253"/>
      <c r="EN15" s="253"/>
      <c r="EO15" s="253"/>
      <c r="EP15" s="253"/>
      <c r="EQ15" s="253"/>
      <c r="ER15" s="253"/>
      <c r="ES15" s="255">
        <f>200-200</f>
        <v>0</v>
      </c>
      <c r="ET15" s="255">
        <f>200-200</f>
        <v>0</v>
      </c>
      <c r="EU15" s="255">
        <f>200-200</f>
        <v>0</v>
      </c>
      <c r="EV15" s="253"/>
      <c r="EW15" s="255">
        <f>300-300</f>
        <v>0</v>
      </c>
      <c r="EX15" s="255">
        <f>100-100</f>
        <v>0</v>
      </c>
      <c r="EY15" s="255">
        <f>100-100</f>
        <v>0</v>
      </c>
      <c r="EZ15" s="253"/>
      <c r="FA15" s="255">
        <f>100-100</f>
        <v>0</v>
      </c>
      <c r="FB15" s="253"/>
      <c r="FC15" s="253"/>
      <c r="FD15" s="253"/>
      <c r="FE15" s="253"/>
      <c r="FF15" s="253"/>
      <c r="FG15" s="253"/>
      <c r="FH15" s="253"/>
      <c r="FI15" s="253"/>
      <c r="FJ15" s="253"/>
      <c r="FK15" s="253"/>
      <c r="FL15" s="256"/>
      <c r="FM15" s="257" t="s">
        <v>1145</v>
      </c>
      <c r="FN15" s="258" t="s">
        <v>389</v>
      </c>
      <c r="FO15" s="258" t="s">
        <v>396</v>
      </c>
      <c r="FP15" s="258" t="s">
        <v>397</v>
      </c>
      <c r="FQ15" s="259">
        <f t="shared" si="0"/>
        <v>0</v>
      </c>
      <c r="FR15" s="260" t="s">
        <v>398</v>
      </c>
      <c r="FS15" s="260"/>
    </row>
    <row r="16" spans="1:175" s="276" customFormat="1" ht="11.4" hidden="1">
      <c r="A16" s="251" t="s">
        <v>393</v>
      </c>
      <c r="B16" s="251" t="s">
        <v>385</v>
      </c>
      <c r="C16" s="251" t="s">
        <v>394</v>
      </c>
      <c r="D16" s="251" t="s">
        <v>291</v>
      </c>
      <c r="E16" s="252" t="s">
        <v>818</v>
      </c>
      <c r="F16" s="251" t="s">
        <v>388</v>
      </c>
      <c r="G16" s="251"/>
      <c r="H16" s="253"/>
      <c r="I16" s="253"/>
      <c r="J16" s="253"/>
      <c r="K16" s="253"/>
      <c r="L16" s="253"/>
      <c r="M16" s="253"/>
      <c r="N16" s="253"/>
      <c r="O16" s="253"/>
      <c r="P16" s="253"/>
      <c r="Q16" s="253"/>
      <c r="R16" s="253"/>
      <c r="S16" s="253"/>
      <c r="T16" s="253"/>
      <c r="U16" s="253"/>
      <c r="V16" s="253"/>
      <c r="W16" s="253"/>
      <c r="X16" s="253"/>
      <c r="Y16" s="253"/>
      <c r="Z16" s="253"/>
      <c r="AA16" s="253"/>
      <c r="AB16" s="253"/>
      <c r="AC16" s="253"/>
      <c r="AD16" s="255">
        <f>50-50</f>
        <v>0</v>
      </c>
      <c r="AE16" s="253"/>
      <c r="AF16" s="253"/>
      <c r="AG16" s="255">
        <f>50-50</f>
        <v>0</v>
      </c>
      <c r="AH16" s="253"/>
      <c r="AI16" s="253"/>
      <c r="AJ16" s="253"/>
      <c r="AK16" s="253"/>
      <c r="AL16" s="253"/>
      <c r="AM16" s="253"/>
      <c r="AN16" s="253"/>
      <c r="AO16" s="253"/>
      <c r="AP16" s="253"/>
      <c r="AQ16" s="253"/>
      <c r="AR16" s="253"/>
      <c r="AS16" s="253"/>
      <c r="AT16" s="253"/>
      <c r="AU16" s="253"/>
      <c r="AV16" s="253"/>
      <c r="AW16" s="253"/>
      <c r="AX16" s="253"/>
      <c r="AY16" s="253"/>
      <c r="AZ16" s="253"/>
      <c r="BA16" s="253"/>
      <c r="BB16" s="253"/>
      <c r="BC16" s="255">
        <f>50-50</f>
        <v>0</v>
      </c>
      <c r="BD16" s="253"/>
      <c r="BE16" s="253"/>
      <c r="BF16" s="253"/>
      <c r="BG16" s="253"/>
      <c r="BH16" s="253"/>
      <c r="BI16" s="253"/>
      <c r="BJ16" s="253"/>
      <c r="BK16" s="253"/>
      <c r="BL16" s="253"/>
      <c r="BM16" s="253"/>
      <c r="BN16" s="253"/>
      <c r="BO16" s="253"/>
      <c r="BP16" s="253"/>
      <c r="BQ16" s="253"/>
      <c r="BR16" s="253"/>
      <c r="BS16" s="253"/>
      <c r="BT16" s="253"/>
      <c r="BU16" s="253"/>
      <c r="BV16" s="253"/>
      <c r="BW16" s="253"/>
      <c r="BX16" s="253"/>
      <c r="BY16" s="253"/>
      <c r="BZ16" s="253"/>
      <c r="CA16" s="253"/>
      <c r="CB16" s="253"/>
      <c r="CC16" s="253"/>
      <c r="CD16" s="253"/>
      <c r="CE16" s="253"/>
      <c r="CF16" s="253"/>
      <c r="CG16" s="253"/>
      <c r="CH16" s="253"/>
      <c r="CI16" s="253"/>
      <c r="CJ16" s="253"/>
      <c r="CK16" s="253"/>
      <c r="CL16" s="253"/>
      <c r="CM16" s="253"/>
      <c r="CN16" s="253"/>
      <c r="CO16" s="253"/>
      <c r="CP16" s="253"/>
      <c r="CQ16" s="253"/>
      <c r="CR16" s="253"/>
      <c r="CS16" s="253"/>
      <c r="CT16" s="253"/>
      <c r="CU16" s="253"/>
      <c r="CV16" s="253"/>
      <c r="CW16" s="253"/>
      <c r="CX16" s="253"/>
      <c r="CY16" s="253"/>
      <c r="CZ16" s="253"/>
      <c r="DA16" s="253"/>
      <c r="DB16" s="253"/>
      <c r="DC16" s="253"/>
      <c r="DD16" s="253"/>
      <c r="DE16" s="253"/>
      <c r="DF16" s="253"/>
      <c r="DG16" s="253"/>
      <c r="DH16" s="253"/>
      <c r="DI16" s="253"/>
      <c r="DJ16" s="253"/>
      <c r="DK16" s="253"/>
      <c r="DL16" s="253"/>
      <c r="DM16" s="253"/>
      <c r="DN16" s="253"/>
      <c r="DO16" s="253"/>
      <c r="DP16" s="253"/>
      <c r="DQ16" s="253"/>
      <c r="DR16" s="253"/>
      <c r="DS16" s="253"/>
      <c r="DT16" s="253"/>
      <c r="DU16" s="253"/>
      <c r="DV16" s="253"/>
      <c r="DW16" s="253"/>
      <c r="DX16" s="253"/>
      <c r="DY16" s="253"/>
      <c r="DZ16" s="253"/>
      <c r="EA16" s="253"/>
      <c r="EB16" s="253"/>
      <c r="EC16" s="253"/>
      <c r="ED16" s="253"/>
      <c r="EE16" s="253"/>
      <c r="EF16" s="253"/>
      <c r="EG16" s="253"/>
      <c r="EH16" s="253"/>
      <c r="EI16" s="253"/>
      <c r="EJ16" s="253"/>
      <c r="EK16" s="253"/>
      <c r="EL16" s="253"/>
      <c r="EM16" s="253"/>
      <c r="EN16" s="253"/>
      <c r="EO16" s="253"/>
      <c r="EP16" s="253"/>
      <c r="EQ16" s="253"/>
      <c r="ER16" s="253"/>
      <c r="ES16" s="253"/>
      <c r="ET16" s="253"/>
      <c r="EU16" s="253"/>
      <c r="EV16" s="253"/>
      <c r="EW16" s="253"/>
      <c r="EX16" s="253"/>
      <c r="EY16" s="253"/>
      <c r="EZ16" s="253"/>
      <c r="FA16" s="253"/>
      <c r="FB16" s="253"/>
      <c r="FC16" s="253"/>
      <c r="FD16" s="253"/>
      <c r="FE16" s="253"/>
      <c r="FF16" s="253"/>
      <c r="FG16" s="253"/>
      <c r="FH16" s="253"/>
      <c r="FI16" s="253"/>
      <c r="FJ16" s="253"/>
      <c r="FK16" s="253"/>
      <c r="FL16" s="256"/>
      <c r="FM16" s="257" t="s">
        <v>1145</v>
      </c>
      <c r="FN16" s="258" t="s">
        <v>389</v>
      </c>
      <c r="FO16" s="258"/>
      <c r="FP16" s="258" t="s">
        <v>819</v>
      </c>
      <c r="FQ16" s="259">
        <f t="shared" si="0"/>
        <v>0</v>
      </c>
      <c r="FR16" s="260" t="s">
        <v>820</v>
      </c>
      <c r="FS16" s="260"/>
    </row>
    <row r="17" spans="1:175" s="276" customFormat="1" ht="11.4" hidden="1">
      <c r="A17" s="251" t="s">
        <v>393</v>
      </c>
      <c r="B17" s="251" t="s">
        <v>385</v>
      </c>
      <c r="C17" s="251" t="s">
        <v>394</v>
      </c>
      <c r="D17" s="251" t="s">
        <v>1</v>
      </c>
      <c r="E17" s="252" t="s">
        <v>818</v>
      </c>
      <c r="F17" s="251" t="s">
        <v>388</v>
      </c>
      <c r="G17" s="251"/>
      <c r="H17" s="253"/>
      <c r="I17" s="253"/>
      <c r="J17" s="253"/>
      <c r="K17" s="253"/>
      <c r="L17" s="253"/>
      <c r="M17" s="253"/>
      <c r="N17" s="253"/>
      <c r="O17" s="253"/>
      <c r="P17" s="253"/>
      <c r="Q17" s="253"/>
      <c r="R17" s="253"/>
      <c r="S17" s="253"/>
      <c r="T17" s="253"/>
      <c r="U17" s="253"/>
      <c r="V17" s="253"/>
      <c r="W17" s="253"/>
      <c r="X17" s="253"/>
      <c r="Y17" s="253"/>
      <c r="Z17" s="253"/>
      <c r="AA17" s="255">
        <f>50-50</f>
        <v>0</v>
      </c>
      <c r="AB17" s="253"/>
      <c r="AC17" s="253"/>
      <c r="AD17" s="253"/>
      <c r="AE17" s="253"/>
      <c r="AF17" s="253"/>
      <c r="AG17" s="253"/>
      <c r="AH17" s="253"/>
      <c r="AI17" s="253"/>
      <c r="AJ17" s="253"/>
      <c r="AK17" s="253"/>
      <c r="AL17" s="253"/>
      <c r="AM17" s="253"/>
      <c r="AN17" s="253"/>
      <c r="AO17" s="253"/>
      <c r="AP17" s="253"/>
      <c r="AQ17" s="253"/>
      <c r="AR17" s="253"/>
      <c r="AS17" s="253"/>
      <c r="AT17" s="255">
        <f>50-50</f>
        <v>0</v>
      </c>
      <c r="AU17" s="253"/>
      <c r="AV17" s="253"/>
      <c r="AW17" s="253"/>
      <c r="AX17" s="253"/>
      <c r="AY17" s="253"/>
      <c r="AZ17" s="253"/>
      <c r="BA17" s="253"/>
      <c r="BB17" s="253"/>
      <c r="BC17" s="253"/>
      <c r="BD17" s="253"/>
      <c r="BE17" s="255">
        <f>20-20</f>
        <v>0</v>
      </c>
      <c r="BF17" s="253"/>
      <c r="BG17" s="253"/>
      <c r="BH17" s="253"/>
      <c r="BI17" s="253"/>
      <c r="BJ17" s="253"/>
      <c r="BK17" s="253"/>
      <c r="BL17" s="253"/>
      <c r="BM17" s="253"/>
      <c r="BN17" s="253"/>
      <c r="BO17" s="253"/>
      <c r="BP17" s="253"/>
      <c r="BQ17" s="253"/>
      <c r="BR17" s="253"/>
      <c r="BS17" s="253"/>
      <c r="BT17" s="253"/>
      <c r="BU17" s="253"/>
      <c r="BV17" s="253"/>
      <c r="BW17" s="253"/>
      <c r="BX17" s="253"/>
      <c r="BY17" s="253"/>
      <c r="BZ17" s="253"/>
      <c r="CA17" s="253"/>
      <c r="CB17" s="253"/>
      <c r="CC17" s="253"/>
      <c r="CD17" s="253"/>
      <c r="CE17" s="253"/>
      <c r="CF17" s="253"/>
      <c r="CG17" s="253"/>
      <c r="CH17" s="253"/>
      <c r="CI17" s="253"/>
      <c r="CJ17" s="253"/>
      <c r="CK17" s="253"/>
      <c r="CL17" s="253"/>
      <c r="CM17" s="253"/>
      <c r="CN17" s="253"/>
      <c r="CO17" s="253"/>
      <c r="CP17" s="253"/>
      <c r="CQ17" s="253"/>
      <c r="CR17" s="253"/>
      <c r="CS17" s="253"/>
      <c r="CT17" s="253"/>
      <c r="CU17" s="253"/>
      <c r="CV17" s="253"/>
      <c r="CW17" s="253"/>
      <c r="CX17" s="253"/>
      <c r="CY17" s="253"/>
      <c r="CZ17" s="253"/>
      <c r="DA17" s="253"/>
      <c r="DB17" s="253"/>
      <c r="DC17" s="253"/>
      <c r="DD17" s="253"/>
      <c r="DE17" s="253"/>
      <c r="DF17" s="253"/>
      <c r="DG17" s="253"/>
      <c r="DH17" s="253"/>
      <c r="DI17" s="253"/>
      <c r="DJ17" s="253"/>
      <c r="DK17" s="253"/>
      <c r="DL17" s="253"/>
      <c r="DM17" s="253"/>
      <c r="DN17" s="253"/>
      <c r="DO17" s="253"/>
      <c r="DP17" s="253"/>
      <c r="DQ17" s="253"/>
      <c r="DR17" s="253"/>
      <c r="DS17" s="253"/>
      <c r="DT17" s="253"/>
      <c r="DU17" s="253"/>
      <c r="DV17" s="253"/>
      <c r="DW17" s="253"/>
      <c r="DX17" s="253"/>
      <c r="DY17" s="253"/>
      <c r="DZ17" s="253"/>
      <c r="EA17" s="253"/>
      <c r="EB17" s="253"/>
      <c r="EC17" s="253"/>
      <c r="ED17" s="253"/>
      <c r="EE17" s="253"/>
      <c r="EF17" s="253"/>
      <c r="EG17" s="253"/>
      <c r="EH17" s="253"/>
      <c r="EI17" s="253"/>
      <c r="EJ17" s="253"/>
      <c r="EK17" s="253"/>
      <c r="EL17" s="253"/>
      <c r="EM17" s="253"/>
      <c r="EN17" s="253"/>
      <c r="EO17" s="253"/>
      <c r="EP17" s="253"/>
      <c r="EQ17" s="253"/>
      <c r="ER17" s="253"/>
      <c r="ES17" s="253"/>
      <c r="ET17" s="253"/>
      <c r="EU17" s="253"/>
      <c r="EV17" s="253"/>
      <c r="EW17" s="253"/>
      <c r="EX17" s="253"/>
      <c r="EY17" s="253"/>
      <c r="EZ17" s="253"/>
      <c r="FA17" s="253"/>
      <c r="FB17" s="253"/>
      <c r="FC17" s="253"/>
      <c r="FD17" s="253"/>
      <c r="FE17" s="253"/>
      <c r="FF17" s="253"/>
      <c r="FG17" s="253"/>
      <c r="FH17" s="253"/>
      <c r="FI17" s="253"/>
      <c r="FJ17" s="253"/>
      <c r="FK17" s="253"/>
      <c r="FL17" s="256"/>
      <c r="FM17" s="257" t="s">
        <v>1145</v>
      </c>
      <c r="FN17" s="258" t="s">
        <v>389</v>
      </c>
      <c r="FO17" s="258"/>
      <c r="FP17" s="258" t="s">
        <v>819</v>
      </c>
      <c r="FQ17" s="259">
        <f t="shared" si="0"/>
        <v>0</v>
      </c>
      <c r="FR17" s="260" t="s">
        <v>820</v>
      </c>
      <c r="FS17" s="260"/>
    </row>
    <row r="18" spans="1:175" s="276" customFormat="1" ht="11.4" hidden="1">
      <c r="A18" s="251" t="s">
        <v>417</v>
      </c>
      <c r="B18" s="251" t="s">
        <v>385</v>
      </c>
      <c r="C18" s="251" t="s">
        <v>394</v>
      </c>
      <c r="D18" s="251" t="s">
        <v>1</v>
      </c>
      <c r="E18" s="252" t="s">
        <v>1150</v>
      </c>
      <c r="F18" s="251" t="s">
        <v>388</v>
      </c>
      <c r="G18" s="251" t="s">
        <v>1151</v>
      </c>
      <c r="H18" s="253"/>
      <c r="I18" s="253"/>
      <c r="J18" s="253"/>
      <c r="K18" s="253"/>
      <c r="L18" s="253"/>
      <c r="M18" s="253"/>
      <c r="N18" s="253"/>
      <c r="O18" s="253"/>
      <c r="P18" s="253"/>
      <c r="Q18" s="253"/>
      <c r="R18" s="253"/>
      <c r="S18" s="253"/>
      <c r="T18" s="253"/>
      <c r="U18" s="253"/>
      <c r="V18" s="253"/>
      <c r="W18" s="253"/>
      <c r="X18" s="253"/>
      <c r="Y18" s="253"/>
      <c r="Z18" s="253"/>
      <c r="AA18" s="253"/>
      <c r="AB18" s="253"/>
      <c r="AC18" s="253"/>
      <c r="AD18" s="253"/>
      <c r="AE18" s="253"/>
      <c r="AF18" s="253"/>
      <c r="AG18" s="253"/>
      <c r="AH18" s="253"/>
      <c r="AI18" s="253"/>
      <c r="AJ18" s="253"/>
      <c r="AK18" s="253"/>
      <c r="AL18" s="253"/>
      <c r="AM18" s="253"/>
      <c r="AN18" s="253"/>
      <c r="AO18" s="253"/>
      <c r="AP18" s="253"/>
      <c r="AQ18" s="253"/>
      <c r="AR18" s="253"/>
      <c r="AS18" s="253"/>
      <c r="AT18" s="253"/>
      <c r="AU18" s="253"/>
      <c r="AV18" s="253"/>
      <c r="AW18" s="253"/>
      <c r="AX18" s="253"/>
      <c r="AY18" s="253"/>
      <c r="AZ18" s="253"/>
      <c r="BA18" s="253"/>
      <c r="BB18" s="253"/>
      <c r="BC18" s="253"/>
      <c r="BD18" s="253"/>
      <c r="BE18" s="253"/>
      <c r="BF18" s="253"/>
      <c r="BG18" s="253"/>
      <c r="BH18" s="253"/>
      <c r="BI18" s="253"/>
      <c r="BJ18" s="253"/>
      <c r="BK18" s="253"/>
      <c r="BL18" s="253"/>
      <c r="BM18" s="253"/>
      <c r="BN18" s="253"/>
      <c r="BO18" s="253"/>
      <c r="BP18" s="253"/>
      <c r="BQ18" s="253"/>
      <c r="BR18" s="253"/>
      <c r="BS18" s="253"/>
      <c r="BT18" s="253"/>
      <c r="BU18" s="253"/>
      <c r="BV18" s="253"/>
      <c r="BW18" s="253"/>
      <c r="BX18" s="253"/>
      <c r="BY18" s="253"/>
      <c r="BZ18" s="253"/>
      <c r="CA18" s="253"/>
      <c r="CB18" s="253"/>
      <c r="CC18" s="253"/>
      <c r="CD18" s="253"/>
      <c r="CE18" s="253"/>
      <c r="CF18" s="253"/>
      <c r="CG18" s="253"/>
      <c r="CH18" s="253"/>
      <c r="CI18" s="253"/>
      <c r="CJ18" s="253"/>
      <c r="CK18" s="253"/>
      <c r="CL18" s="253"/>
      <c r="CM18" s="253"/>
      <c r="CN18" s="253"/>
      <c r="CO18" s="253"/>
      <c r="CP18" s="253"/>
      <c r="CQ18" s="253"/>
      <c r="CR18" s="253"/>
      <c r="CS18" s="255">
        <f>40-40</f>
        <v>0</v>
      </c>
      <c r="CT18" s="253"/>
      <c r="CU18" s="253"/>
      <c r="CV18" s="253"/>
      <c r="CW18" s="253"/>
      <c r="CX18" s="253"/>
      <c r="CY18" s="253"/>
      <c r="CZ18" s="253"/>
      <c r="DA18" s="253"/>
      <c r="DB18" s="253"/>
      <c r="DC18" s="253"/>
      <c r="DD18" s="253"/>
      <c r="DE18" s="253"/>
      <c r="DF18" s="253"/>
      <c r="DG18" s="253"/>
      <c r="DH18" s="253"/>
      <c r="DI18" s="253"/>
      <c r="DJ18" s="253"/>
      <c r="DK18" s="253"/>
      <c r="DL18" s="253"/>
      <c r="DM18" s="253"/>
      <c r="DN18" s="253"/>
      <c r="DO18" s="253"/>
      <c r="DP18" s="253"/>
      <c r="DQ18" s="253"/>
      <c r="DR18" s="253"/>
      <c r="DS18" s="253"/>
      <c r="DT18" s="253"/>
      <c r="DU18" s="253"/>
      <c r="DV18" s="253"/>
      <c r="DW18" s="253"/>
      <c r="DX18" s="253"/>
      <c r="DY18" s="253"/>
      <c r="DZ18" s="253"/>
      <c r="EA18" s="253"/>
      <c r="EB18" s="253"/>
      <c r="EC18" s="253"/>
      <c r="ED18" s="253"/>
      <c r="EE18" s="253"/>
      <c r="EF18" s="253"/>
      <c r="EG18" s="253"/>
      <c r="EH18" s="253"/>
      <c r="EI18" s="253"/>
      <c r="EJ18" s="253"/>
      <c r="EK18" s="253"/>
      <c r="EL18" s="253"/>
      <c r="EM18" s="253"/>
      <c r="EN18" s="253"/>
      <c r="EO18" s="253"/>
      <c r="EP18" s="253"/>
      <c r="EQ18" s="253"/>
      <c r="ER18" s="253"/>
      <c r="ES18" s="253"/>
      <c r="ET18" s="253"/>
      <c r="EU18" s="253"/>
      <c r="EV18" s="253"/>
      <c r="EW18" s="253"/>
      <c r="EX18" s="253"/>
      <c r="EY18" s="253"/>
      <c r="EZ18" s="253"/>
      <c r="FA18" s="253"/>
      <c r="FB18" s="253"/>
      <c r="FC18" s="253"/>
      <c r="FD18" s="253"/>
      <c r="FE18" s="253"/>
      <c r="FF18" s="253"/>
      <c r="FG18" s="253"/>
      <c r="FH18" s="253"/>
      <c r="FI18" s="253"/>
      <c r="FJ18" s="253"/>
      <c r="FK18" s="253"/>
      <c r="FL18" s="256"/>
      <c r="FM18" s="257" t="s">
        <v>1145</v>
      </c>
      <c r="FN18" s="258" t="s">
        <v>389</v>
      </c>
      <c r="FO18" s="258" t="s">
        <v>1152</v>
      </c>
      <c r="FP18" s="258" t="s">
        <v>397</v>
      </c>
      <c r="FQ18" s="259">
        <f t="shared" si="0"/>
        <v>0</v>
      </c>
      <c r="FR18" s="260" t="s">
        <v>398</v>
      </c>
      <c r="FS18" s="260"/>
    </row>
    <row r="19" spans="1:175" s="276" customFormat="1" ht="11.4" hidden="1">
      <c r="A19" s="251" t="s">
        <v>393</v>
      </c>
      <c r="B19" s="251" t="s">
        <v>385</v>
      </c>
      <c r="C19" s="251" t="s">
        <v>394</v>
      </c>
      <c r="D19" s="251" t="s">
        <v>291</v>
      </c>
      <c r="E19" s="252" t="s">
        <v>399</v>
      </c>
      <c r="F19" s="251" t="s">
        <v>388</v>
      </c>
      <c r="G19" s="251" t="s">
        <v>1153</v>
      </c>
      <c r="H19" s="253"/>
      <c r="I19" s="253"/>
      <c r="J19" s="253"/>
      <c r="K19" s="253"/>
      <c r="L19" s="253"/>
      <c r="M19" s="253"/>
      <c r="N19" s="253"/>
      <c r="O19" s="253"/>
      <c r="P19" s="253"/>
      <c r="Q19" s="253"/>
      <c r="R19" s="253"/>
      <c r="S19" s="253"/>
      <c r="T19" s="253"/>
      <c r="U19" s="253"/>
      <c r="V19" s="253"/>
      <c r="W19" s="253"/>
      <c r="X19" s="253"/>
      <c r="Y19" s="253"/>
      <c r="Z19" s="253"/>
      <c r="AA19" s="253"/>
      <c r="AB19" s="253"/>
      <c r="AC19" s="253"/>
      <c r="AD19" s="255">
        <f>1500-1500</f>
        <v>0</v>
      </c>
      <c r="AE19" s="253"/>
      <c r="AF19" s="253"/>
      <c r="AG19" s="253"/>
      <c r="AH19" s="253"/>
      <c r="AI19" s="253"/>
      <c r="AJ19" s="253"/>
      <c r="AK19" s="253"/>
      <c r="AL19" s="253"/>
      <c r="AM19" s="253"/>
      <c r="AN19" s="253"/>
      <c r="AO19" s="253"/>
      <c r="AP19" s="253"/>
      <c r="AQ19" s="253"/>
      <c r="AR19" s="253"/>
      <c r="AS19" s="253"/>
      <c r="AT19" s="253"/>
      <c r="AU19" s="253"/>
      <c r="AV19" s="253"/>
      <c r="AW19" s="253"/>
      <c r="AX19" s="253"/>
      <c r="AY19" s="253"/>
      <c r="AZ19" s="253"/>
      <c r="BA19" s="253"/>
      <c r="BB19" s="253"/>
      <c r="BC19" s="253"/>
      <c r="BD19" s="253"/>
      <c r="BE19" s="253"/>
      <c r="BF19" s="253"/>
      <c r="BG19" s="253"/>
      <c r="BH19" s="253"/>
      <c r="BI19" s="253"/>
      <c r="BJ19" s="253"/>
      <c r="BK19" s="253"/>
      <c r="BL19" s="253"/>
      <c r="BM19" s="253"/>
      <c r="BN19" s="253"/>
      <c r="BO19" s="253"/>
      <c r="BP19" s="253"/>
      <c r="BQ19" s="253"/>
      <c r="BR19" s="253"/>
      <c r="BS19" s="253"/>
      <c r="BT19" s="253"/>
      <c r="BU19" s="253"/>
      <c r="BV19" s="253"/>
      <c r="BW19" s="253"/>
      <c r="BX19" s="253"/>
      <c r="BY19" s="253"/>
      <c r="BZ19" s="253"/>
      <c r="CA19" s="253"/>
      <c r="CB19" s="253"/>
      <c r="CC19" s="253"/>
      <c r="CD19" s="253"/>
      <c r="CE19" s="253"/>
      <c r="CF19" s="253"/>
      <c r="CG19" s="253"/>
      <c r="CH19" s="253"/>
      <c r="CI19" s="253"/>
      <c r="CJ19" s="253"/>
      <c r="CK19" s="253"/>
      <c r="CL19" s="253"/>
      <c r="CM19" s="253"/>
      <c r="CN19" s="253"/>
      <c r="CO19" s="253"/>
      <c r="CP19" s="253"/>
      <c r="CQ19" s="253"/>
      <c r="CR19" s="253"/>
      <c r="CS19" s="253"/>
      <c r="CT19" s="253"/>
      <c r="CU19" s="253"/>
      <c r="CV19" s="253"/>
      <c r="CW19" s="253"/>
      <c r="CX19" s="253"/>
      <c r="CY19" s="253"/>
      <c r="CZ19" s="253"/>
      <c r="DA19" s="253"/>
      <c r="DB19" s="253"/>
      <c r="DC19" s="253"/>
      <c r="DD19" s="253"/>
      <c r="DE19" s="253"/>
      <c r="DF19" s="253"/>
      <c r="DG19" s="253"/>
      <c r="DH19" s="253"/>
      <c r="DI19" s="253"/>
      <c r="DJ19" s="253"/>
      <c r="DK19" s="253"/>
      <c r="DL19" s="253"/>
      <c r="DM19" s="253"/>
      <c r="DN19" s="253"/>
      <c r="DO19" s="253"/>
      <c r="DP19" s="253"/>
      <c r="DQ19" s="253"/>
      <c r="DR19" s="253"/>
      <c r="DS19" s="253"/>
      <c r="DT19" s="253"/>
      <c r="DU19" s="253"/>
      <c r="DV19" s="253"/>
      <c r="DW19" s="253"/>
      <c r="DX19" s="253"/>
      <c r="DY19" s="253"/>
      <c r="DZ19" s="253"/>
      <c r="EA19" s="253"/>
      <c r="EB19" s="253"/>
      <c r="EC19" s="253"/>
      <c r="ED19" s="253"/>
      <c r="EE19" s="253"/>
      <c r="EF19" s="253"/>
      <c r="EG19" s="253"/>
      <c r="EH19" s="253"/>
      <c r="EI19" s="253"/>
      <c r="EJ19" s="253"/>
      <c r="EK19" s="253"/>
      <c r="EL19" s="253"/>
      <c r="EM19" s="253"/>
      <c r="EN19" s="253"/>
      <c r="EO19" s="253"/>
      <c r="EP19" s="253"/>
      <c r="EQ19" s="253"/>
      <c r="ER19" s="253"/>
      <c r="ES19" s="253"/>
      <c r="ET19" s="253"/>
      <c r="EU19" s="253"/>
      <c r="EV19" s="253"/>
      <c r="EW19" s="253"/>
      <c r="EX19" s="253"/>
      <c r="EY19" s="253"/>
      <c r="EZ19" s="253"/>
      <c r="FA19" s="253"/>
      <c r="FB19" s="253"/>
      <c r="FC19" s="253"/>
      <c r="FD19" s="253"/>
      <c r="FE19" s="253"/>
      <c r="FF19" s="253"/>
      <c r="FG19" s="253"/>
      <c r="FH19" s="253"/>
      <c r="FI19" s="253"/>
      <c r="FJ19" s="253"/>
      <c r="FK19" s="253"/>
      <c r="FL19" s="256"/>
      <c r="FM19" s="257" t="s">
        <v>1145</v>
      </c>
      <c r="FN19" s="258" t="s">
        <v>389</v>
      </c>
      <c r="FO19" s="258" t="s">
        <v>400</v>
      </c>
      <c r="FP19" s="258" t="s">
        <v>397</v>
      </c>
      <c r="FQ19" s="259">
        <f t="shared" si="0"/>
        <v>0</v>
      </c>
      <c r="FR19" s="260" t="s">
        <v>398</v>
      </c>
      <c r="FS19" s="260"/>
    </row>
    <row r="20" spans="1:175" s="276" customFormat="1" ht="11.4" hidden="1">
      <c r="A20" s="251" t="s">
        <v>393</v>
      </c>
      <c r="B20" s="251" t="s">
        <v>385</v>
      </c>
      <c r="C20" s="251" t="s">
        <v>394</v>
      </c>
      <c r="D20" s="251" t="s">
        <v>291</v>
      </c>
      <c r="E20" s="252" t="s">
        <v>401</v>
      </c>
      <c r="F20" s="251" t="s">
        <v>388</v>
      </c>
      <c r="G20" s="251"/>
      <c r="H20" s="253"/>
      <c r="I20" s="253"/>
      <c r="J20" s="253"/>
      <c r="K20" s="253"/>
      <c r="L20" s="253"/>
      <c r="M20" s="253"/>
      <c r="N20" s="253"/>
      <c r="O20" s="253"/>
      <c r="P20" s="253"/>
      <c r="Q20" s="253"/>
      <c r="R20" s="253"/>
      <c r="S20" s="253"/>
      <c r="T20" s="253"/>
      <c r="U20" s="253"/>
      <c r="V20" s="253"/>
      <c r="W20" s="253"/>
      <c r="X20" s="253"/>
      <c r="Y20" s="253"/>
      <c r="Z20" s="253"/>
      <c r="AA20" s="253"/>
      <c r="AB20" s="253"/>
      <c r="AC20" s="253"/>
      <c r="AD20" s="253"/>
      <c r="AE20" s="253"/>
      <c r="AF20" s="255">
        <f>600-600</f>
        <v>0</v>
      </c>
      <c r="AG20" s="255">
        <f>600-600</f>
        <v>0</v>
      </c>
      <c r="AH20" s="253"/>
      <c r="AI20" s="253"/>
      <c r="AJ20" s="253"/>
      <c r="AK20" s="253"/>
      <c r="AL20" s="255">
        <f>600-600</f>
        <v>0</v>
      </c>
      <c r="AM20" s="253"/>
      <c r="AN20" s="255">
        <f>600-600</f>
        <v>0</v>
      </c>
      <c r="AO20" s="253"/>
      <c r="AP20" s="253"/>
      <c r="AQ20" s="255">
        <f>600-600</f>
        <v>0</v>
      </c>
      <c r="AR20" s="253"/>
      <c r="AS20" s="253"/>
      <c r="AT20" s="253"/>
      <c r="AU20" s="253"/>
      <c r="AV20" s="253"/>
      <c r="AW20" s="253"/>
      <c r="AX20" s="253"/>
      <c r="AY20" s="253"/>
      <c r="AZ20" s="253"/>
      <c r="BA20" s="253"/>
      <c r="BB20" s="253"/>
      <c r="BC20" s="255">
        <f>600-600</f>
        <v>0</v>
      </c>
      <c r="BD20" s="253"/>
      <c r="BE20" s="253"/>
      <c r="BF20" s="253"/>
      <c r="BG20" s="253"/>
      <c r="BH20" s="253"/>
      <c r="BI20" s="253"/>
      <c r="BJ20" s="253"/>
      <c r="BK20" s="253"/>
      <c r="BL20" s="253"/>
      <c r="BM20" s="253"/>
      <c r="BN20" s="253"/>
      <c r="BO20" s="253"/>
      <c r="BP20" s="253"/>
      <c r="BQ20" s="253"/>
      <c r="BR20" s="253"/>
      <c r="BS20" s="253"/>
      <c r="BT20" s="253"/>
      <c r="BU20" s="253"/>
      <c r="BV20" s="253"/>
      <c r="BW20" s="253"/>
      <c r="BX20" s="253"/>
      <c r="BY20" s="253"/>
      <c r="BZ20" s="253"/>
      <c r="CA20" s="253"/>
      <c r="CB20" s="253"/>
      <c r="CC20" s="253"/>
      <c r="CD20" s="253"/>
      <c r="CE20" s="253"/>
      <c r="CF20" s="253"/>
      <c r="CG20" s="253"/>
      <c r="CH20" s="253"/>
      <c r="CI20" s="253"/>
      <c r="CJ20" s="253"/>
      <c r="CK20" s="253"/>
      <c r="CL20" s="253"/>
      <c r="CM20" s="253"/>
      <c r="CN20" s="253"/>
      <c r="CO20" s="253"/>
      <c r="CP20" s="253"/>
      <c r="CQ20" s="253"/>
      <c r="CR20" s="253"/>
      <c r="CS20" s="253"/>
      <c r="CT20" s="253"/>
      <c r="CU20" s="253"/>
      <c r="CV20" s="253"/>
      <c r="CW20" s="253"/>
      <c r="CX20" s="253"/>
      <c r="CY20" s="253"/>
      <c r="CZ20" s="253"/>
      <c r="DA20" s="253"/>
      <c r="DB20" s="253"/>
      <c r="DC20" s="253"/>
      <c r="DD20" s="253"/>
      <c r="DE20" s="253"/>
      <c r="DF20" s="253"/>
      <c r="DG20" s="253"/>
      <c r="DH20" s="253"/>
      <c r="DI20" s="253"/>
      <c r="DJ20" s="253"/>
      <c r="DK20" s="253"/>
      <c r="DL20" s="253"/>
      <c r="DM20" s="253"/>
      <c r="DN20" s="253"/>
      <c r="DO20" s="253"/>
      <c r="DP20" s="253"/>
      <c r="DQ20" s="253"/>
      <c r="DR20" s="253"/>
      <c r="DS20" s="253"/>
      <c r="DT20" s="253"/>
      <c r="DU20" s="253"/>
      <c r="DV20" s="253"/>
      <c r="DW20" s="253"/>
      <c r="DX20" s="253"/>
      <c r="DY20" s="253"/>
      <c r="DZ20" s="253"/>
      <c r="EA20" s="253"/>
      <c r="EB20" s="253"/>
      <c r="EC20" s="253"/>
      <c r="ED20" s="253"/>
      <c r="EE20" s="253"/>
      <c r="EF20" s="253"/>
      <c r="EG20" s="253"/>
      <c r="EH20" s="253"/>
      <c r="EI20" s="253"/>
      <c r="EJ20" s="253"/>
      <c r="EK20" s="253"/>
      <c r="EL20" s="253"/>
      <c r="EM20" s="253"/>
      <c r="EN20" s="253"/>
      <c r="EO20" s="253"/>
      <c r="EP20" s="253"/>
      <c r="EQ20" s="253"/>
      <c r="ER20" s="253"/>
      <c r="ES20" s="253"/>
      <c r="ET20" s="253"/>
      <c r="EU20" s="253"/>
      <c r="EV20" s="253"/>
      <c r="EW20" s="253"/>
      <c r="EX20" s="253"/>
      <c r="EY20" s="253"/>
      <c r="EZ20" s="253"/>
      <c r="FA20" s="253"/>
      <c r="FB20" s="253"/>
      <c r="FC20" s="253"/>
      <c r="FD20" s="253"/>
      <c r="FE20" s="253"/>
      <c r="FF20" s="253"/>
      <c r="FG20" s="253"/>
      <c r="FH20" s="253"/>
      <c r="FI20" s="253"/>
      <c r="FJ20" s="253"/>
      <c r="FK20" s="253"/>
      <c r="FL20" s="256"/>
      <c r="FM20" s="257" t="s">
        <v>1145</v>
      </c>
      <c r="FN20" s="258" t="s">
        <v>389</v>
      </c>
      <c r="FO20" s="258"/>
      <c r="FP20" s="258" t="s">
        <v>402</v>
      </c>
      <c r="FQ20" s="259">
        <f t="shared" si="0"/>
        <v>0</v>
      </c>
      <c r="FR20" s="260" t="s">
        <v>403</v>
      </c>
      <c r="FS20" s="260"/>
    </row>
    <row r="21" spans="1:175" s="276" customFormat="1" ht="11.4" hidden="1">
      <c r="A21" s="251" t="s">
        <v>393</v>
      </c>
      <c r="B21" s="251" t="s">
        <v>385</v>
      </c>
      <c r="C21" s="251" t="s">
        <v>394</v>
      </c>
      <c r="D21" s="251" t="s">
        <v>1</v>
      </c>
      <c r="E21" s="252" t="s">
        <v>401</v>
      </c>
      <c r="F21" s="251" t="s">
        <v>388</v>
      </c>
      <c r="G21" s="251"/>
      <c r="H21" s="253">
        <v>40</v>
      </c>
      <c r="I21" s="253"/>
      <c r="J21" s="253"/>
      <c r="K21" s="253"/>
      <c r="L21" s="253"/>
      <c r="M21" s="253"/>
      <c r="N21" s="253"/>
      <c r="O21" s="253"/>
      <c r="P21" s="253"/>
      <c r="Q21" s="253"/>
      <c r="R21" s="253"/>
      <c r="S21" s="255">
        <f>600-600</f>
        <v>0</v>
      </c>
      <c r="T21" s="253"/>
      <c r="U21" s="255">
        <f>600-600</f>
        <v>0</v>
      </c>
      <c r="V21" s="255">
        <f>600-600</f>
        <v>0</v>
      </c>
      <c r="W21" s="253"/>
      <c r="X21" s="253"/>
      <c r="Y21" s="255">
        <f>600-600</f>
        <v>0</v>
      </c>
      <c r="Z21" s="255">
        <f>600-600</f>
        <v>0</v>
      </c>
      <c r="AA21" s="255">
        <f>600-600</f>
        <v>0</v>
      </c>
      <c r="AB21" s="255">
        <f>600-600</f>
        <v>0</v>
      </c>
      <c r="AC21" s="255">
        <f>600-600</f>
        <v>0</v>
      </c>
      <c r="AD21" s="253"/>
      <c r="AE21" s="255">
        <f>600-600</f>
        <v>0</v>
      </c>
      <c r="AF21" s="253"/>
      <c r="AG21" s="253"/>
      <c r="AH21" s="255">
        <f>600-600</f>
        <v>0</v>
      </c>
      <c r="AI21" s="253"/>
      <c r="AJ21" s="253"/>
      <c r="AK21" s="253"/>
      <c r="AL21" s="253"/>
      <c r="AM21" s="253"/>
      <c r="AN21" s="253"/>
      <c r="AO21" s="253"/>
      <c r="AP21" s="253"/>
      <c r="AQ21" s="253"/>
      <c r="AR21" s="253"/>
      <c r="AS21" s="253"/>
      <c r="AT21" s="255">
        <f>600-600</f>
        <v>0</v>
      </c>
      <c r="AU21" s="253"/>
      <c r="AV21" s="253"/>
      <c r="AW21" s="253"/>
      <c r="AX21" s="253"/>
      <c r="AY21" s="255">
        <f>600-600</f>
        <v>0</v>
      </c>
      <c r="AZ21" s="253"/>
      <c r="BA21" s="253"/>
      <c r="BB21" s="253"/>
      <c r="BC21" s="253"/>
      <c r="BD21" s="255">
        <f>600-600</f>
        <v>0</v>
      </c>
      <c r="BE21" s="255">
        <f>600-600</f>
        <v>0</v>
      </c>
      <c r="BF21" s="253"/>
      <c r="BG21" s="253"/>
      <c r="BH21" s="253"/>
      <c r="BI21" s="253"/>
      <c r="BJ21" s="253"/>
      <c r="BK21" s="253"/>
      <c r="BL21" s="253"/>
      <c r="BM21" s="253"/>
      <c r="BN21" s="253"/>
      <c r="BO21" s="253"/>
      <c r="BP21" s="253"/>
      <c r="BQ21" s="253"/>
      <c r="BR21" s="253"/>
      <c r="BS21" s="253"/>
      <c r="BT21" s="253"/>
      <c r="BU21" s="253"/>
      <c r="BV21" s="253"/>
      <c r="BW21" s="253"/>
      <c r="BX21" s="253"/>
      <c r="BY21" s="253"/>
      <c r="BZ21" s="253"/>
      <c r="CA21" s="253"/>
      <c r="CB21" s="253"/>
      <c r="CC21" s="253"/>
      <c r="CD21" s="253"/>
      <c r="CE21" s="253"/>
      <c r="CF21" s="253"/>
      <c r="CG21" s="253"/>
      <c r="CH21" s="253"/>
      <c r="CI21" s="253"/>
      <c r="CJ21" s="253"/>
      <c r="CK21" s="253"/>
      <c r="CL21" s="253"/>
      <c r="CM21" s="253"/>
      <c r="CN21" s="253"/>
      <c r="CO21" s="253"/>
      <c r="CP21" s="253"/>
      <c r="CQ21" s="253"/>
      <c r="CR21" s="253"/>
      <c r="CS21" s="253"/>
      <c r="CT21" s="253"/>
      <c r="CU21" s="253"/>
      <c r="CV21" s="253"/>
      <c r="CW21" s="253"/>
      <c r="CX21" s="253"/>
      <c r="CY21" s="253"/>
      <c r="CZ21" s="253"/>
      <c r="DA21" s="253"/>
      <c r="DB21" s="253"/>
      <c r="DC21" s="253"/>
      <c r="DD21" s="253"/>
      <c r="DE21" s="253"/>
      <c r="DF21" s="253"/>
      <c r="DG21" s="253"/>
      <c r="DH21" s="253"/>
      <c r="DI21" s="253"/>
      <c r="DJ21" s="253"/>
      <c r="DK21" s="253"/>
      <c r="DL21" s="253"/>
      <c r="DM21" s="253"/>
      <c r="DN21" s="253"/>
      <c r="DO21" s="253"/>
      <c r="DP21" s="253"/>
      <c r="DQ21" s="253"/>
      <c r="DR21" s="253"/>
      <c r="DS21" s="253"/>
      <c r="DT21" s="253"/>
      <c r="DU21" s="253"/>
      <c r="DV21" s="253"/>
      <c r="DW21" s="253"/>
      <c r="DX21" s="253"/>
      <c r="DY21" s="253"/>
      <c r="DZ21" s="253"/>
      <c r="EA21" s="253"/>
      <c r="EB21" s="253"/>
      <c r="EC21" s="253"/>
      <c r="ED21" s="253"/>
      <c r="EE21" s="253"/>
      <c r="EF21" s="253"/>
      <c r="EG21" s="253"/>
      <c r="EH21" s="253"/>
      <c r="EI21" s="253"/>
      <c r="EJ21" s="253"/>
      <c r="EK21" s="255">
        <f t="shared" ref="EK21:EP21" si="1">100-100</f>
        <v>0</v>
      </c>
      <c r="EL21" s="255">
        <f t="shared" si="1"/>
        <v>0</v>
      </c>
      <c r="EM21" s="255">
        <f t="shared" si="1"/>
        <v>0</v>
      </c>
      <c r="EN21" s="255">
        <f t="shared" si="1"/>
        <v>0</v>
      </c>
      <c r="EO21" s="255">
        <f t="shared" si="1"/>
        <v>0</v>
      </c>
      <c r="EP21" s="255">
        <f t="shared" si="1"/>
        <v>0</v>
      </c>
      <c r="EQ21" s="253"/>
      <c r="ER21" s="253"/>
      <c r="ES21" s="255">
        <f>50-50</f>
        <v>0</v>
      </c>
      <c r="ET21" s="255">
        <f>50-50</f>
        <v>0</v>
      </c>
      <c r="EU21" s="255">
        <f>50-50</f>
        <v>0</v>
      </c>
      <c r="EV21" s="253"/>
      <c r="EW21" s="255">
        <f>50-50</f>
        <v>0</v>
      </c>
      <c r="EX21" s="255">
        <f>50-50</f>
        <v>0</v>
      </c>
      <c r="EY21" s="255">
        <f>50-50</f>
        <v>0</v>
      </c>
      <c r="EZ21" s="253"/>
      <c r="FA21" s="255">
        <f>50-50</f>
        <v>0</v>
      </c>
      <c r="FB21" s="255">
        <f>50-50</f>
        <v>0</v>
      </c>
      <c r="FC21" s="253"/>
      <c r="FD21" s="253"/>
      <c r="FE21" s="255">
        <f>50-50</f>
        <v>0</v>
      </c>
      <c r="FF21" s="253"/>
      <c r="FG21" s="253"/>
      <c r="FH21" s="253"/>
      <c r="FI21" s="253"/>
      <c r="FJ21" s="253"/>
      <c r="FK21" s="253"/>
      <c r="FL21" s="256"/>
      <c r="FM21" s="257" t="s">
        <v>1145</v>
      </c>
      <c r="FN21" s="258" t="s">
        <v>389</v>
      </c>
      <c r="FO21" s="258"/>
      <c r="FP21" s="258" t="s">
        <v>402</v>
      </c>
      <c r="FQ21" s="259">
        <f t="shared" si="0"/>
        <v>40</v>
      </c>
      <c r="FR21" s="260" t="s">
        <v>403</v>
      </c>
      <c r="FS21" s="260"/>
    </row>
    <row r="22" spans="1:175" s="276" customFormat="1" ht="11.4" hidden="1">
      <c r="A22" s="251" t="s">
        <v>393</v>
      </c>
      <c r="B22" s="251" t="s">
        <v>385</v>
      </c>
      <c r="C22" s="251" t="s">
        <v>394</v>
      </c>
      <c r="D22" s="251" t="s">
        <v>293</v>
      </c>
      <c r="E22" s="252" t="s">
        <v>401</v>
      </c>
      <c r="F22" s="251" t="s">
        <v>388</v>
      </c>
      <c r="G22" s="251"/>
      <c r="H22" s="253"/>
      <c r="I22" s="253"/>
      <c r="J22" s="253"/>
      <c r="K22" s="253"/>
      <c r="L22" s="253"/>
      <c r="M22" s="253"/>
      <c r="N22" s="253"/>
      <c r="O22" s="253"/>
      <c r="P22" s="253"/>
      <c r="Q22" s="253"/>
      <c r="R22" s="253"/>
      <c r="S22" s="253"/>
      <c r="T22" s="253"/>
      <c r="U22" s="253"/>
      <c r="V22" s="253"/>
      <c r="W22" s="253"/>
      <c r="X22" s="253"/>
      <c r="Y22" s="253"/>
      <c r="Z22" s="253"/>
      <c r="AA22" s="253"/>
      <c r="AB22" s="253"/>
      <c r="AC22" s="253"/>
      <c r="AD22" s="253"/>
      <c r="AE22" s="253"/>
      <c r="AF22" s="253"/>
      <c r="AG22" s="253"/>
      <c r="AH22" s="253"/>
      <c r="AI22" s="253"/>
      <c r="AJ22" s="253"/>
      <c r="AK22" s="253"/>
      <c r="AL22" s="253"/>
      <c r="AM22" s="253"/>
      <c r="AN22" s="253"/>
      <c r="AO22" s="253"/>
      <c r="AP22" s="253"/>
      <c r="AQ22" s="253"/>
      <c r="AR22" s="253"/>
      <c r="AS22" s="253"/>
      <c r="AT22" s="253"/>
      <c r="AU22" s="253"/>
      <c r="AV22" s="253"/>
      <c r="AW22" s="253"/>
      <c r="AX22" s="253"/>
      <c r="AY22" s="253"/>
      <c r="AZ22" s="253"/>
      <c r="BA22" s="253"/>
      <c r="BB22" s="253"/>
      <c r="BC22" s="253"/>
      <c r="BD22" s="253"/>
      <c r="BE22" s="253"/>
      <c r="BF22" s="253"/>
      <c r="BG22" s="253"/>
      <c r="BH22" s="253"/>
      <c r="BI22" s="253"/>
      <c r="BJ22" s="253"/>
      <c r="BK22" s="253"/>
      <c r="BL22" s="253"/>
      <c r="BM22" s="253"/>
      <c r="BN22" s="253"/>
      <c r="BO22" s="253"/>
      <c r="BP22" s="253"/>
      <c r="BQ22" s="253"/>
      <c r="BR22" s="253"/>
      <c r="BS22" s="253"/>
      <c r="BT22" s="253"/>
      <c r="BU22" s="253"/>
      <c r="BV22" s="253"/>
      <c r="BW22" s="253"/>
      <c r="BX22" s="253"/>
      <c r="BY22" s="253"/>
      <c r="BZ22" s="253"/>
      <c r="CA22" s="253"/>
      <c r="CB22" s="253"/>
      <c r="CC22" s="253"/>
      <c r="CD22" s="253"/>
      <c r="CE22" s="253"/>
      <c r="CF22" s="253"/>
      <c r="CG22" s="253"/>
      <c r="CH22" s="253"/>
      <c r="CI22" s="253"/>
      <c r="CJ22" s="253"/>
      <c r="CK22" s="253"/>
      <c r="CL22" s="253"/>
      <c r="CM22" s="253"/>
      <c r="CN22" s="253"/>
      <c r="CO22" s="253"/>
      <c r="CP22" s="253"/>
      <c r="CQ22" s="253"/>
      <c r="CR22" s="253"/>
      <c r="CS22" s="253"/>
      <c r="CT22" s="253"/>
      <c r="CU22" s="253"/>
      <c r="CV22" s="253"/>
      <c r="CW22" s="253"/>
      <c r="CX22" s="253"/>
      <c r="CY22" s="253"/>
      <c r="CZ22" s="253"/>
      <c r="DA22" s="253"/>
      <c r="DB22" s="253"/>
      <c r="DC22" s="253"/>
      <c r="DD22" s="253"/>
      <c r="DE22" s="253"/>
      <c r="DF22" s="253"/>
      <c r="DG22" s="253"/>
      <c r="DH22" s="253"/>
      <c r="DI22" s="253"/>
      <c r="DJ22" s="253"/>
      <c r="DK22" s="253"/>
      <c r="DL22" s="253"/>
      <c r="DM22" s="253"/>
      <c r="DN22" s="253"/>
      <c r="DO22" s="253"/>
      <c r="DP22" s="253"/>
      <c r="DQ22" s="253"/>
      <c r="DR22" s="253"/>
      <c r="DS22" s="253"/>
      <c r="DT22" s="253"/>
      <c r="DU22" s="253"/>
      <c r="DV22" s="253"/>
      <c r="DW22" s="253"/>
      <c r="DX22" s="253"/>
      <c r="DY22" s="253"/>
      <c r="DZ22" s="253"/>
      <c r="EA22" s="253"/>
      <c r="EB22" s="253"/>
      <c r="EC22" s="253"/>
      <c r="ED22" s="253"/>
      <c r="EE22" s="253"/>
      <c r="EF22" s="253"/>
      <c r="EG22" s="253"/>
      <c r="EH22" s="253"/>
      <c r="EI22" s="253"/>
      <c r="EJ22" s="253"/>
      <c r="EK22" s="253"/>
      <c r="EL22" s="253"/>
      <c r="EM22" s="253"/>
      <c r="EN22" s="253"/>
      <c r="EO22" s="253"/>
      <c r="EP22" s="253"/>
      <c r="EQ22" s="253"/>
      <c r="ER22" s="253"/>
      <c r="ES22" s="253"/>
      <c r="ET22" s="253"/>
      <c r="EU22" s="253"/>
      <c r="EV22" s="255">
        <f>50-50</f>
        <v>0</v>
      </c>
      <c r="EW22" s="253"/>
      <c r="EX22" s="253"/>
      <c r="EY22" s="253"/>
      <c r="EZ22" s="255">
        <f>50-50</f>
        <v>0</v>
      </c>
      <c r="FA22" s="253"/>
      <c r="FB22" s="253"/>
      <c r="FC22" s="253"/>
      <c r="FD22" s="255">
        <f>50-50</f>
        <v>0</v>
      </c>
      <c r="FE22" s="253"/>
      <c r="FF22" s="253"/>
      <c r="FG22" s="253"/>
      <c r="FH22" s="253"/>
      <c r="FI22" s="253"/>
      <c r="FJ22" s="253"/>
      <c r="FK22" s="253"/>
      <c r="FL22" s="256"/>
      <c r="FM22" s="257" t="s">
        <v>1145</v>
      </c>
      <c r="FN22" s="258" t="s">
        <v>389</v>
      </c>
      <c r="FO22" s="258"/>
      <c r="FP22" s="258" t="s">
        <v>402</v>
      </c>
      <c r="FQ22" s="259">
        <f t="shared" si="0"/>
        <v>0</v>
      </c>
      <c r="FR22" s="260" t="s">
        <v>403</v>
      </c>
      <c r="FS22" s="260"/>
    </row>
    <row r="23" spans="1:175" s="276" customFormat="1" ht="11.4" hidden="1">
      <c r="A23" s="251" t="s">
        <v>393</v>
      </c>
      <c r="B23" s="251" t="s">
        <v>385</v>
      </c>
      <c r="C23" s="251" t="s">
        <v>394</v>
      </c>
      <c r="D23" s="251" t="s">
        <v>291</v>
      </c>
      <c r="E23" s="252" t="s">
        <v>821</v>
      </c>
      <c r="F23" s="251" t="s">
        <v>388</v>
      </c>
      <c r="G23" s="251"/>
      <c r="H23" s="253"/>
      <c r="I23" s="253"/>
      <c r="J23" s="253"/>
      <c r="K23" s="253"/>
      <c r="L23" s="253"/>
      <c r="M23" s="253"/>
      <c r="N23" s="253"/>
      <c r="O23" s="253"/>
      <c r="P23" s="253"/>
      <c r="Q23" s="253"/>
      <c r="R23" s="253"/>
      <c r="S23" s="253"/>
      <c r="T23" s="253"/>
      <c r="U23" s="253"/>
      <c r="V23" s="253"/>
      <c r="W23" s="253"/>
      <c r="X23" s="253"/>
      <c r="Y23" s="253"/>
      <c r="Z23" s="253"/>
      <c r="AA23" s="253"/>
      <c r="AB23" s="253"/>
      <c r="AC23" s="253"/>
      <c r="AD23" s="255">
        <f>50-50</f>
        <v>0</v>
      </c>
      <c r="AE23" s="253"/>
      <c r="AF23" s="253"/>
      <c r="AG23" s="255">
        <f>50-50</f>
        <v>0</v>
      </c>
      <c r="AH23" s="253"/>
      <c r="AI23" s="253"/>
      <c r="AJ23" s="253"/>
      <c r="AK23" s="253"/>
      <c r="AL23" s="255">
        <f>50-50</f>
        <v>0</v>
      </c>
      <c r="AM23" s="253"/>
      <c r="AN23" s="253"/>
      <c r="AO23" s="253"/>
      <c r="AP23" s="253"/>
      <c r="AQ23" s="253"/>
      <c r="AR23" s="253"/>
      <c r="AS23" s="253"/>
      <c r="AT23" s="253"/>
      <c r="AU23" s="253"/>
      <c r="AV23" s="253"/>
      <c r="AW23" s="253"/>
      <c r="AX23" s="253"/>
      <c r="AY23" s="253"/>
      <c r="AZ23" s="253"/>
      <c r="BA23" s="253"/>
      <c r="BB23" s="253"/>
      <c r="BC23" s="255">
        <f>50-50</f>
        <v>0</v>
      </c>
      <c r="BD23" s="253"/>
      <c r="BE23" s="253"/>
      <c r="BF23" s="253"/>
      <c r="BG23" s="253"/>
      <c r="BH23" s="253"/>
      <c r="BI23" s="253"/>
      <c r="BJ23" s="253"/>
      <c r="BK23" s="253"/>
      <c r="BL23" s="253"/>
      <c r="BM23" s="253"/>
      <c r="BN23" s="253"/>
      <c r="BO23" s="253"/>
      <c r="BP23" s="253"/>
      <c r="BQ23" s="253"/>
      <c r="BR23" s="253"/>
      <c r="BS23" s="253"/>
      <c r="BT23" s="253"/>
      <c r="BU23" s="253"/>
      <c r="BV23" s="253"/>
      <c r="BW23" s="253"/>
      <c r="BX23" s="253"/>
      <c r="BY23" s="253"/>
      <c r="BZ23" s="253"/>
      <c r="CA23" s="253"/>
      <c r="CB23" s="253"/>
      <c r="CC23" s="253"/>
      <c r="CD23" s="253"/>
      <c r="CE23" s="253"/>
      <c r="CF23" s="253"/>
      <c r="CG23" s="253"/>
      <c r="CH23" s="253"/>
      <c r="CI23" s="253"/>
      <c r="CJ23" s="253"/>
      <c r="CK23" s="253"/>
      <c r="CL23" s="253"/>
      <c r="CM23" s="253"/>
      <c r="CN23" s="253"/>
      <c r="CO23" s="253"/>
      <c r="CP23" s="253"/>
      <c r="CQ23" s="253"/>
      <c r="CR23" s="253"/>
      <c r="CS23" s="253"/>
      <c r="CT23" s="253"/>
      <c r="CU23" s="253"/>
      <c r="CV23" s="253"/>
      <c r="CW23" s="253"/>
      <c r="CX23" s="253"/>
      <c r="CY23" s="253"/>
      <c r="CZ23" s="253"/>
      <c r="DA23" s="253"/>
      <c r="DB23" s="253"/>
      <c r="DC23" s="253"/>
      <c r="DD23" s="253"/>
      <c r="DE23" s="253"/>
      <c r="DF23" s="253"/>
      <c r="DG23" s="253"/>
      <c r="DH23" s="253"/>
      <c r="DI23" s="253"/>
      <c r="DJ23" s="253"/>
      <c r="DK23" s="253"/>
      <c r="DL23" s="253"/>
      <c r="DM23" s="253"/>
      <c r="DN23" s="253"/>
      <c r="DO23" s="253"/>
      <c r="DP23" s="253"/>
      <c r="DQ23" s="253"/>
      <c r="DR23" s="253"/>
      <c r="DS23" s="253"/>
      <c r="DT23" s="253"/>
      <c r="DU23" s="253"/>
      <c r="DV23" s="253"/>
      <c r="DW23" s="253"/>
      <c r="DX23" s="253"/>
      <c r="DY23" s="253"/>
      <c r="DZ23" s="253"/>
      <c r="EA23" s="253"/>
      <c r="EB23" s="253"/>
      <c r="EC23" s="253"/>
      <c r="ED23" s="253"/>
      <c r="EE23" s="253"/>
      <c r="EF23" s="253"/>
      <c r="EG23" s="253"/>
      <c r="EH23" s="253"/>
      <c r="EI23" s="253"/>
      <c r="EJ23" s="253"/>
      <c r="EK23" s="253"/>
      <c r="EL23" s="253"/>
      <c r="EM23" s="253"/>
      <c r="EN23" s="253"/>
      <c r="EO23" s="253"/>
      <c r="EP23" s="253"/>
      <c r="EQ23" s="253"/>
      <c r="ER23" s="253"/>
      <c r="ES23" s="253"/>
      <c r="ET23" s="253"/>
      <c r="EU23" s="253"/>
      <c r="EV23" s="253"/>
      <c r="EW23" s="253"/>
      <c r="EX23" s="253"/>
      <c r="EY23" s="253"/>
      <c r="EZ23" s="253"/>
      <c r="FA23" s="253"/>
      <c r="FB23" s="253"/>
      <c r="FC23" s="253"/>
      <c r="FD23" s="253"/>
      <c r="FE23" s="253"/>
      <c r="FF23" s="253"/>
      <c r="FG23" s="253"/>
      <c r="FH23" s="253"/>
      <c r="FI23" s="253"/>
      <c r="FJ23" s="253"/>
      <c r="FK23" s="253"/>
      <c r="FL23" s="256"/>
      <c r="FM23" s="257" t="s">
        <v>1145</v>
      </c>
      <c r="FN23" s="258" t="s">
        <v>389</v>
      </c>
      <c r="FO23" s="258"/>
      <c r="FP23" s="258" t="s">
        <v>822</v>
      </c>
      <c r="FQ23" s="259">
        <f t="shared" si="0"/>
        <v>0</v>
      </c>
      <c r="FR23" s="260" t="s">
        <v>820</v>
      </c>
      <c r="FS23" s="260"/>
    </row>
    <row r="24" spans="1:175" s="276" customFormat="1" ht="11.4" hidden="1">
      <c r="A24" s="251" t="s">
        <v>393</v>
      </c>
      <c r="B24" s="251" t="s">
        <v>385</v>
      </c>
      <c r="C24" s="251" t="s">
        <v>394</v>
      </c>
      <c r="D24" s="251" t="s">
        <v>1</v>
      </c>
      <c r="E24" s="252" t="s">
        <v>821</v>
      </c>
      <c r="F24" s="251" t="s">
        <v>388</v>
      </c>
      <c r="G24" s="251"/>
      <c r="H24" s="253"/>
      <c r="I24" s="253"/>
      <c r="J24" s="253"/>
      <c r="K24" s="253"/>
      <c r="L24" s="253"/>
      <c r="M24" s="253"/>
      <c r="N24" s="253"/>
      <c r="O24" s="253"/>
      <c r="P24" s="253"/>
      <c r="Q24" s="253"/>
      <c r="R24" s="253"/>
      <c r="S24" s="253"/>
      <c r="T24" s="253"/>
      <c r="U24" s="253"/>
      <c r="V24" s="253"/>
      <c r="W24" s="253"/>
      <c r="X24" s="253"/>
      <c r="Y24" s="253"/>
      <c r="Z24" s="253"/>
      <c r="AA24" s="255">
        <f>200-200</f>
        <v>0</v>
      </c>
      <c r="AB24" s="253"/>
      <c r="AC24" s="253"/>
      <c r="AD24" s="253"/>
      <c r="AE24" s="253"/>
      <c r="AF24" s="253"/>
      <c r="AG24" s="253"/>
      <c r="AH24" s="253"/>
      <c r="AI24" s="253"/>
      <c r="AJ24" s="253"/>
      <c r="AK24" s="253"/>
      <c r="AL24" s="253"/>
      <c r="AM24" s="253"/>
      <c r="AN24" s="253"/>
      <c r="AO24" s="253"/>
      <c r="AP24" s="253"/>
      <c r="AQ24" s="253"/>
      <c r="AR24" s="253"/>
      <c r="AS24" s="253"/>
      <c r="AT24" s="255">
        <f>100-100</f>
        <v>0</v>
      </c>
      <c r="AU24" s="253"/>
      <c r="AV24" s="253"/>
      <c r="AW24" s="253"/>
      <c r="AX24" s="253"/>
      <c r="AY24" s="253"/>
      <c r="AZ24" s="253"/>
      <c r="BA24" s="253"/>
      <c r="BB24" s="253"/>
      <c r="BC24" s="253"/>
      <c r="BD24" s="253"/>
      <c r="BE24" s="255">
        <f>50-50</f>
        <v>0</v>
      </c>
      <c r="BF24" s="253"/>
      <c r="BG24" s="253"/>
      <c r="BH24" s="253"/>
      <c r="BI24" s="253"/>
      <c r="BJ24" s="253"/>
      <c r="BK24" s="253"/>
      <c r="BL24" s="253"/>
      <c r="BM24" s="253"/>
      <c r="BN24" s="253"/>
      <c r="BO24" s="253"/>
      <c r="BP24" s="253"/>
      <c r="BQ24" s="253"/>
      <c r="BR24" s="253"/>
      <c r="BS24" s="253"/>
      <c r="BT24" s="253"/>
      <c r="BU24" s="253"/>
      <c r="BV24" s="253"/>
      <c r="BW24" s="253"/>
      <c r="BX24" s="253"/>
      <c r="BY24" s="253"/>
      <c r="BZ24" s="253"/>
      <c r="CA24" s="253"/>
      <c r="CB24" s="253"/>
      <c r="CC24" s="253"/>
      <c r="CD24" s="253"/>
      <c r="CE24" s="253"/>
      <c r="CF24" s="253"/>
      <c r="CG24" s="253"/>
      <c r="CH24" s="253"/>
      <c r="CI24" s="253"/>
      <c r="CJ24" s="253"/>
      <c r="CK24" s="253"/>
      <c r="CL24" s="253"/>
      <c r="CM24" s="253"/>
      <c r="CN24" s="253"/>
      <c r="CO24" s="253"/>
      <c r="CP24" s="253"/>
      <c r="CQ24" s="253"/>
      <c r="CR24" s="253"/>
      <c r="CS24" s="253"/>
      <c r="CT24" s="253"/>
      <c r="CU24" s="253"/>
      <c r="CV24" s="253"/>
      <c r="CW24" s="253"/>
      <c r="CX24" s="253"/>
      <c r="CY24" s="253"/>
      <c r="CZ24" s="253"/>
      <c r="DA24" s="253"/>
      <c r="DB24" s="253"/>
      <c r="DC24" s="253"/>
      <c r="DD24" s="253"/>
      <c r="DE24" s="253"/>
      <c r="DF24" s="253"/>
      <c r="DG24" s="253"/>
      <c r="DH24" s="253"/>
      <c r="DI24" s="253"/>
      <c r="DJ24" s="253"/>
      <c r="DK24" s="253"/>
      <c r="DL24" s="253"/>
      <c r="DM24" s="253"/>
      <c r="DN24" s="253"/>
      <c r="DO24" s="253"/>
      <c r="DP24" s="253"/>
      <c r="DQ24" s="253"/>
      <c r="DR24" s="253"/>
      <c r="DS24" s="253"/>
      <c r="DT24" s="253"/>
      <c r="DU24" s="253"/>
      <c r="DV24" s="253"/>
      <c r="DW24" s="253"/>
      <c r="DX24" s="253"/>
      <c r="DY24" s="253"/>
      <c r="DZ24" s="253"/>
      <c r="EA24" s="253"/>
      <c r="EB24" s="253"/>
      <c r="EC24" s="253"/>
      <c r="ED24" s="253"/>
      <c r="EE24" s="253"/>
      <c r="EF24" s="253"/>
      <c r="EG24" s="253"/>
      <c r="EH24" s="253"/>
      <c r="EI24" s="253"/>
      <c r="EJ24" s="253"/>
      <c r="EK24" s="253"/>
      <c r="EL24" s="253"/>
      <c r="EM24" s="253"/>
      <c r="EN24" s="253"/>
      <c r="EO24" s="253"/>
      <c r="EP24" s="253"/>
      <c r="EQ24" s="253"/>
      <c r="ER24" s="253"/>
      <c r="ES24" s="253"/>
      <c r="ET24" s="253"/>
      <c r="EU24" s="253"/>
      <c r="EV24" s="253"/>
      <c r="EW24" s="253"/>
      <c r="EX24" s="253"/>
      <c r="EY24" s="253"/>
      <c r="EZ24" s="253"/>
      <c r="FA24" s="253"/>
      <c r="FB24" s="253"/>
      <c r="FC24" s="253"/>
      <c r="FD24" s="253"/>
      <c r="FE24" s="253"/>
      <c r="FF24" s="253"/>
      <c r="FG24" s="253"/>
      <c r="FH24" s="253"/>
      <c r="FI24" s="253"/>
      <c r="FJ24" s="253"/>
      <c r="FK24" s="253"/>
      <c r="FL24" s="256"/>
      <c r="FM24" s="257" t="s">
        <v>1145</v>
      </c>
      <c r="FN24" s="258" t="s">
        <v>389</v>
      </c>
      <c r="FO24" s="258"/>
      <c r="FP24" s="258" t="s">
        <v>822</v>
      </c>
      <c r="FQ24" s="259">
        <f t="shared" si="0"/>
        <v>0</v>
      </c>
      <c r="FR24" s="260" t="s">
        <v>820</v>
      </c>
      <c r="FS24" s="260"/>
    </row>
    <row r="25" spans="1:175" s="276" customFormat="1" ht="11.4" hidden="1">
      <c r="A25" s="251" t="s">
        <v>393</v>
      </c>
      <c r="B25" s="251" t="s">
        <v>385</v>
      </c>
      <c r="C25" s="251" t="s">
        <v>394</v>
      </c>
      <c r="D25" s="251" t="s">
        <v>291</v>
      </c>
      <c r="E25" s="252" t="s">
        <v>823</v>
      </c>
      <c r="F25" s="251" t="s">
        <v>388</v>
      </c>
      <c r="G25" s="251"/>
      <c r="H25" s="253"/>
      <c r="I25" s="253"/>
      <c r="J25" s="253"/>
      <c r="K25" s="253"/>
      <c r="L25" s="253"/>
      <c r="M25" s="253"/>
      <c r="N25" s="253"/>
      <c r="O25" s="253"/>
      <c r="P25" s="253"/>
      <c r="Q25" s="253"/>
      <c r="R25" s="253"/>
      <c r="S25" s="253"/>
      <c r="T25" s="253"/>
      <c r="U25" s="253"/>
      <c r="V25" s="253"/>
      <c r="W25" s="253"/>
      <c r="X25" s="253"/>
      <c r="Y25" s="253"/>
      <c r="Z25" s="253"/>
      <c r="AA25" s="253"/>
      <c r="AB25" s="253"/>
      <c r="AC25" s="253"/>
      <c r="AD25" s="253"/>
      <c r="AE25" s="253"/>
      <c r="AF25" s="253"/>
      <c r="AG25" s="255">
        <f>100-100</f>
        <v>0</v>
      </c>
      <c r="AH25" s="253"/>
      <c r="AI25" s="253"/>
      <c r="AJ25" s="253"/>
      <c r="AK25" s="253"/>
      <c r="AL25" s="255">
        <f>50-50</f>
        <v>0</v>
      </c>
      <c r="AM25" s="253"/>
      <c r="AN25" s="253"/>
      <c r="AO25" s="253"/>
      <c r="AP25" s="253"/>
      <c r="AQ25" s="253"/>
      <c r="AR25" s="253"/>
      <c r="AS25" s="253"/>
      <c r="AT25" s="253"/>
      <c r="AU25" s="253"/>
      <c r="AV25" s="253"/>
      <c r="AW25" s="253"/>
      <c r="AX25" s="253"/>
      <c r="AY25" s="253"/>
      <c r="AZ25" s="253"/>
      <c r="BA25" s="253"/>
      <c r="BB25" s="253"/>
      <c r="BC25" s="255">
        <f>50-50</f>
        <v>0</v>
      </c>
      <c r="BD25" s="253"/>
      <c r="BE25" s="253"/>
      <c r="BF25" s="253"/>
      <c r="BG25" s="253"/>
      <c r="BH25" s="253"/>
      <c r="BI25" s="253"/>
      <c r="BJ25" s="253"/>
      <c r="BK25" s="253"/>
      <c r="BL25" s="253"/>
      <c r="BM25" s="253"/>
      <c r="BN25" s="253"/>
      <c r="BO25" s="253"/>
      <c r="BP25" s="253"/>
      <c r="BQ25" s="253"/>
      <c r="BR25" s="253"/>
      <c r="BS25" s="253"/>
      <c r="BT25" s="253"/>
      <c r="BU25" s="253"/>
      <c r="BV25" s="253"/>
      <c r="BW25" s="253"/>
      <c r="BX25" s="253"/>
      <c r="BY25" s="253"/>
      <c r="BZ25" s="253"/>
      <c r="CA25" s="253"/>
      <c r="CB25" s="253"/>
      <c r="CC25" s="253"/>
      <c r="CD25" s="253"/>
      <c r="CE25" s="253"/>
      <c r="CF25" s="253"/>
      <c r="CG25" s="253"/>
      <c r="CH25" s="253"/>
      <c r="CI25" s="253"/>
      <c r="CJ25" s="253"/>
      <c r="CK25" s="253"/>
      <c r="CL25" s="253"/>
      <c r="CM25" s="253"/>
      <c r="CN25" s="253"/>
      <c r="CO25" s="253"/>
      <c r="CP25" s="253"/>
      <c r="CQ25" s="253"/>
      <c r="CR25" s="253"/>
      <c r="CS25" s="253"/>
      <c r="CT25" s="253"/>
      <c r="CU25" s="253"/>
      <c r="CV25" s="253"/>
      <c r="CW25" s="253"/>
      <c r="CX25" s="253"/>
      <c r="CY25" s="253"/>
      <c r="CZ25" s="253"/>
      <c r="DA25" s="253"/>
      <c r="DB25" s="253"/>
      <c r="DC25" s="253"/>
      <c r="DD25" s="253"/>
      <c r="DE25" s="253"/>
      <c r="DF25" s="253"/>
      <c r="DG25" s="253"/>
      <c r="DH25" s="253"/>
      <c r="DI25" s="253"/>
      <c r="DJ25" s="253"/>
      <c r="DK25" s="253"/>
      <c r="DL25" s="253"/>
      <c r="DM25" s="253"/>
      <c r="DN25" s="253"/>
      <c r="DO25" s="253"/>
      <c r="DP25" s="253"/>
      <c r="DQ25" s="253"/>
      <c r="DR25" s="253"/>
      <c r="DS25" s="253"/>
      <c r="DT25" s="253"/>
      <c r="DU25" s="253"/>
      <c r="DV25" s="253"/>
      <c r="DW25" s="253"/>
      <c r="DX25" s="253"/>
      <c r="DY25" s="253"/>
      <c r="DZ25" s="253"/>
      <c r="EA25" s="253"/>
      <c r="EB25" s="253"/>
      <c r="EC25" s="253"/>
      <c r="ED25" s="253"/>
      <c r="EE25" s="253"/>
      <c r="EF25" s="253"/>
      <c r="EG25" s="253"/>
      <c r="EH25" s="253"/>
      <c r="EI25" s="253"/>
      <c r="EJ25" s="253"/>
      <c r="EK25" s="253"/>
      <c r="EL25" s="253"/>
      <c r="EM25" s="253"/>
      <c r="EN25" s="253"/>
      <c r="EO25" s="253"/>
      <c r="EP25" s="253"/>
      <c r="EQ25" s="253"/>
      <c r="ER25" s="253"/>
      <c r="ES25" s="253"/>
      <c r="ET25" s="253"/>
      <c r="EU25" s="253"/>
      <c r="EV25" s="253"/>
      <c r="EW25" s="253"/>
      <c r="EX25" s="253"/>
      <c r="EY25" s="253"/>
      <c r="EZ25" s="253"/>
      <c r="FA25" s="253"/>
      <c r="FB25" s="253"/>
      <c r="FC25" s="253"/>
      <c r="FD25" s="253"/>
      <c r="FE25" s="253"/>
      <c r="FF25" s="253"/>
      <c r="FG25" s="253"/>
      <c r="FH25" s="253"/>
      <c r="FI25" s="253"/>
      <c r="FJ25" s="253"/>
      <c r="FK25" s="253"/>
      <c r="FL25" s="256"/>
      <c r="FM25" s="257" t="s">
        <v>1145</v>
      </c>
      <c r="FN25" s="258" t="s">
        <v>389</v>
      </c>
      <c r="FO25" s="258"/>
      <c r="FP25" s="258" t="s">
        <v>824</v>
      </c>
      <c r="FQ25" s="259">
        <f t="shared" si="0"/>
        <v>0</v>
      </c>
      <c r="FR25" s="260" t="s">
        <v>820</v>
      </c>
      <c r="FS25" s="260"/>
    </row>
    <row r="26" spans="1:175" s="276" customFormat="1" ht="11.4" hidden="1">
      <c r="A26" s="251" t="s">
        <v>393</v>
      </c>
      <c r="B26" s="251" t="s">
        <v>385</v>
      </c>
      <c r="C26" s="251" t="s">
        <v>394</v>
      </c>
      <c r="D26" s="251" t="s">
        <v>1</v>
      </c>
      <c r="E26" s="252" t="s">
        <v>823</v>
      </c>
      <c r="F26" s="251" t="s">
        <v>388</v>
      </c>
      <c r="G26" s="251"/>
      <c r="H26" s="253"/>
      <c r="I26" s="253"/>
      <c r="J26" s="253"/>
      <c r="K26" s="253"/>
      <c r="L26" s="253"/>
      <c r="M26" s="253"/>
      <c r="N26" s="253"/>
      <c r="O26" s="253"/>
      <c r="P26" s="253"/>
      <c r="Q26" s="253"/>
      <c r="R26" s="253"/>
      <c r="S26" s="253"/>
      <c r="T26" s="253"/>
      <c r="U26" s="253"/>
      <c r="V26" s="253"/>
      <c r="W26" s="253"/>
      <c r="X26" s="253"/>
      <c r="Y26" s="253"/>
      <c r="Z26" s="253"/>
      <c r="AA26" s="255">
        <f>100-100</f>
        <v>0</v>
      </c>
      <c r="AB26" s="253"/>
      <c r="AC26" s="253"/>
      <c r="AD26" s="253"/>
      <c r="AE26" s="253"/>
      <c r="AF26" s="253"/>
      <c r="AG26" s="253"/>
      <c r="AH26" s="253"/>
      <c r="AI26" s="253"/>
      <c r="AJ26" s="253"/>
      <c r="AK26" s="253"/>
      <c r="AL26" s="253"/>
      <c r="AM26" s="253"/>
      <c r="AN26" s="253"/>
      <c r="AO26" s="253"/>
      <c r="AP26" s="253"/>
      <c r="AQ26" s="253"/>
      <c r="AR26" s="253"/>
      <c r="AS26" s="253"/>
      <c r="AT26" s="255">
        <f>100-100</f>
        <v>0</v>
      </c>
      <c r="AU26" s="253"/>
      <c r="AV26" s="253"/>
      <c r="AW26" s="253"/>
      <c r="AX26" s="253"/>
      <c r="AY26" s="253"/>
      <c r="AZ26" s="253"/>
      <c r="BA26" s="253"/>
      <c r="BB26" s="253"/>
      <c r="BC26" s="253"/>
      <c r="BD26" s="253"/>
      <c r="BE26" s="255">
        <f>50-50</f>
        <v>0</v>
      </c>
      <c r="BF26" s="253"/>
      <c r="BG26" s="253"/>
      <c r="BH26" s="253"/>
      <c r="BI26" s="253"/>
      <c r="BJ26" s="253"/>
      <c r="BK26" s="253"/>
      <c r="BL26" s="253"/>
      <c r="BM26" s="253"/>
      <c r="BN26" s="253"/>
      <c r="BO26" s="253"/>
      <c r="BP26" s="253"/>
      <c r="BQ26" s="253"/>
      <c r="BR26" s="253"/>
      <c r="BS26" s="253"/>
      <c r="BT26" s="253"/>
      <c r="BU26" s="253"/>
      <c r="BV26" s="253"/>
      <c r="BW26" s="253"/>
      <c r="BX26" s="253"/>
      <c r="BY26" s="253"/>
      <c r="BZ26" s="253"/>
      <c r="CA26" s="253"/>
      <c r="CB26" s="253"/>
      <c r="CC26" s="253"/>
      <c r="CD26" s="253"/>
      <c r="CE26" s="253"/>
      <c r="CF26" s="253"/>
      <c r="CG26" s="253"/>
      <c r="CH26" s="253"/>
      <c r="CI26" s="253"/>
      <c r="CJ26" s="253"/>
      <c r="CK26" s="253"/>
      <c r="CL26" s="253"/>
      <c r="CM26" s="253"/>
      <c r="CN26" s="253"/>
      <c r="CO26" s="253"/>
      <c r="CP26" s="253"/>
      <c r="CQ26" s="253"/>
      <c r="CR26" s="253"/>
      <c r="CS26" s="253"/>
      <c r="CT26" s="253"/>
      <c r="CU26" s="253"/>
      <c r="CV26" s="253"/>
      <c r="CW26" s="253"/>
      <c r="CX26" s="253"/>
      <c r="CY26" s="253"/>
      <c r="CZ26" s="253"/>
      <c r="DA26" s="253"/>
      <c r="DB26" s="253"/>
      <c r="DC26" s="253"/>
      <c r="DD26" s="253"/>
      <c r="DE26" s="253"/>
      <c r="DF26" s="253"/>
      <c r="DG26" s="253"/>
      <c r="DH26" s="253"/>
      <c r="DI26" s="253"/>
      <c r="DJ26" s="253"/>
      <c r="DK26" s="253"/>
      <c r="DL26" s="253"/>
      <c r="DM26" s="253"/>
      <c r="DN26" s="253"/>
      <c r="DO26" s="253"/>
      <c r="DP26" s="253"/>
      <c r="DQ26" s="253"/>
      <c r="DR26" s="253"/>
      <c r="DS26" s="253"/>
      <c r="DT26" s="253"/>
      <c r="DU26" s="253"/>
      <c r="DV26" s="253"/>
      <c r="DW26" s="253"/>
      <c r="DX26" s="253"/>
      <c r="DY26" s="253"/>
      <c r="DZ26" s="253"/>
      <c r="EA26" s="253"/>
      <c r="EB26" s="253"/>
      <c r="EC26" s="253"/>
      <c r="ED26" s="253"/>
      <c r="EE26" s="253"/>
      <c r="EF26" s="253"/>
      <c r="EG26" s="253"/>
      <c r="EH26" s="253"/>
      <c r="EI26" s="253"/>
      <c r="EJ26" s="253"/>
      <c r="EK26" s="253"/>
      <c r="EL26" s="253"/>
      <c r="EM26" s="253"/>
      <c r="EN26" s="253"/>
      <c r="EO26" s="253"/>
      <c r="EP26" s="253"/>
      <c r="EQ26" s="253"/>
      <c r="ER26" s="253"/>
      <c r="ES26" s="253"/>
      <c r="ET26" s="253"/>
      <c r="EU26" s="253"/>
      <c r="EV26" s="253"/>
      <c r="EW26" s="253"/>
      <c r="EX26" s="253"/>
      <c r="EY26" s="253"/>
      <c r="EZ26" s="253"/>
      <c r="FA26" s="253"/>
      <c r="FB26" s="253"/>
      <c r="FC26" s="253"/>
      <c r="FD26" s="253"/>
      <c r="FE26" s="253"/>
      <c r="FF26" s="253"/>
      <c r="FG26" s="253"/>
      <c r="FH26" s="253"/>
      <c r="FI26" s="253"/>
      <c r="FJ26" s="253"/>
      <c r="FK26" s="253"/>
      <c r="FL26" s="256"/>
      <c r="FM26" s="257" t="s">
        <v>1145</v>
      </c>
      <c r="FN26" s="258" t="s">
        <v>389</v>
      </c>
      <c r="FO26" s="258"/>
      <c r="FP26" s="258" t="s">
        <v>824</v>
      </c>
      <c r="FQ26" s="259">
        <f t="shared" si="0"/>
        <v>0</v>
      </c>
      <c r="FR26" s="260" t="s">
        <v>820</v>
      </c>
      <c r="FS26" s="260"/>
    </row>
    <row r="27" spans="1:175" s="276" customFormat="1" ht="11.4" hidden="1">
      <c r="A27" s="251" t="s">
        <v>393</v>
      </c>
      <c r="B27" s="251" t="s">
        <v>385</v>
      </c>
      <c r="C27" s="251" t="s">
        <v>394</v>
      </c>
      <c r="D27" s="251" t="s">
        <v>291</v>
      </c>
      <c r="E27" s="252" t="s">
        <v>827</v>
      </c>
      <c r="F27" s="251" t="s">
        <v>388</v>
      </c>
      <c r="G27" s="251" t="s">
        <v>1154</v>
      </c>
      <c r="H27" s="253"/>
      <c r="I27" s="253"/>
      <c r="J27" s="253"/>
      <c r="K27" s="253"/>
      <c r="L27" s="253"/>
      <c r="M27" s="253"/>
      <c r="N27" s="253"/>
      <c r="O27" s="253"/>
      <c r="P27" s="253"/>
      <c r="Q27" s="253"/>
      <c r="R27" s="253"/>
      <c r="S27" s="253"/>
      <c r="T27" s="253"/>
      <c r="U27" s="253"/>
      <c r="V27" s="253"/>
      <c r="W27" s="253"/>
      <c r="X27" s="253"/>
      <c r="Y27" s="253"/>
      <c r="Z27" s="253"/>
      <c r="AA27" s="253"/>
      <c r="AB27" s="253"/>
      <c r="AC27" s="253"/>
      <c r="AD27" s="253"/>
      <c r="AE27" s="253"/>
      <c r="AF27" s="253"/>
      <c r="AG27" s="255">
        <f>1000-1000</f>
        <v>0</v>
      </c>
      <c r="AH27" s="253"/>
      <c r="AI27" s="253"/>
      <c r="AJ27" s="253"/>
      <c r="AK27" s="253"/>
      <c r="AL27" s="255">
        <f>1000-1000</f>
        <v>0</v>
      </c>
      <c r="AM27" s="253"/>
      <c r="AN27" s="253"/>
      <c r="AO27" s="253"/>
      <c r="AP27" s="255">
        <f>1000-1000</f>
        <v>0</v>
      </c>
      <c r="AQ27" s="255">
        <f>1000-1000</f>
        <v>0</v>
      </c>
      <c r="AR27" s="253"/>
      <c r="AS27" s="253"/>
      <c r="AT27" s="253"/>
      <c r="AU27" s="253"/>
      <c r="AV27" s="253"/>
      <c r="AW27" s="253"/>
      <c r="AX27" s="253"/>
      <c r="AY27" s="253"/>
      <c r="AZ27" s="253"/>
      <c r="BA27" s="253"/>
      <c r="BB27" s="253"/>
      <c r="BC27" s="253"/>
      <c r="BD27" s="253"/>
      <c r="BE27" s="253"/>
      <c r="BF27" s="253"/>
      <c r="BG27" s="253"/>
      <c r="BH27" s="253"/>
      <c r="BI27" s="253"/>
      <c r="BJ27" s="253"/>
      <c r="BK27" s="253"/>
      <c r="BL27" s="253"/>
      <c r="BM27" s="253"/>
      <c r="BN27" s="253"/>
      <c r="BO27" s="253"/>
      <c r="BP27" s="253"/>
      <c r="BQ27" s="253"/>
      <c r="BR27" s="253"/>
      <c r="BS27" s="253"/>
      <c r="BT27" s="253"/>
      <c r="BU27" s="253"/>
      <c r="BV27" s="253"/>
      <c r="BW27" s="253"/>
      <c r="BX27" s="253"/>
      <c r="BY27" s="253"/>
      <c r="BZ27" s="253"/>
      <c r="CA27" s="253"/>
      <c r="CB27" s="253"/>
      <c r="CC27" s="253"/>
      <c r="CD27" s="253"/>
      <c r="CE27" s="253"/>
      <c r="CF27" s="253"/>
      <c r="CG27" s="253"/>
      <c r="CH27" s="253"/>
      <c r="CI27" s="253"/>
      <c r="CJ27" s="253"/>
      <c r="CK27" s="253"/>
      <c r="CL27" s="253"/>
      <c r="CM27" s="253"/>
      <c r="CN27" s="253"/>
      <c r="CO27" s="253"/>
      <c r="CP27" s="253"/>
      <c r="CQ27" s="253"/>
      <c r="CR27" s="253"/>
      <c r="CS27" s="253"/>
      <c r="CT27" s="253"/>
      <c r="CU27" s="253"/>
      <c r="CV27" s="253"/>
      <c r="CW27" s="253"/>
      <c r="CX27" s="253"/>
      <c r="CY27" s="253"/>
      <c r="CZ27" s="253"/>
      <c r="DA27" s="253"/>
      <c r="DB27" s="253"/>
      <c r="DC27" s="253"/>
      <c r="DD27" s="253"/>
      <c r="DE27" s="253"/>
      <c r="DF27" s="253"/>
      <c r="DG27" s="253"/>
      <c r="DH27" s="253"/>
      <c r="DI27" s="253"/>
      <c r="DJ27" s="253"/>
      <c r="DK27" s="253"/>
      <c r="DL27" s="253"/>
      <c r="DM27" s="253"/>
      <c r="DN27" s="253"/>
      <c r="DO27" s="253"/>
      <c r="DP27" s="253"/>
      <c r="DQ27" s="253"/>
      <c r="DR27" s="253"/>
      <c r="DS27" s="253"/>
      <c r="DT27" s="253"/>
      <c r="DU27" s="253"/>
      <c r="DV27" s="253"/>
      <c r="DW27" s="253"/>
      <c r="DX27" s="253"/>
      <c r="DY27" s="253"/>
      <c r="DZ27" s="253"/>
      <c r="EA27" s="253"/>
      <c r="EB27" s="253"/>
      <c r="EC27" s="253"/>
      <c r="ED27" s="253"/>
      <c r="EE27" s="253"/>
      <c r="EF27" s="253"/>
      <c r="EG27" s="253"/>
      <c r="EH27" s="253"/>
      <c r="EI27" s="253"/>
      <c r="EJ27" s="253"/>
      <c r="EK27" s="253"/>
      <c r="EL27" s="253"/>
      <c r="EM27" s="253"/>
      <c r="EN27" s="253"/>
      <c r="EO27" s="253"/>
      <c r="EP27" s="253"/>
      <c r="EQ27" s="253"/>
      <c r="ER27" s="253"/>
      <c r="ES27" s="253"/>
      <c r="ET27" s="253"/>
      <c r="EU27" s="253"/>
      <c r="EV27" s="253"/>
      <c r="EW27" s="253"/>
      <c r="EX27" s="253"/>
      <c r="EY27" s="253"/>
      <c r="EZ27" s="253"/>
      <c r="FA27" s="253"/>
      <c r="FB27" s="253"/>
      <c r="FC27" s="253"/>
      <c r="FD27" s="253"/>
      <c r="FE27" s="253"/>
      <c r="FF27" s="253"/>
      <c r="FG27" s="253"/>
      <c r="FH27" s="253"/>
      <c r="FI27" s="253"/>
      <c r="FJ27" s="253"/>
      <c r="FK27" s="253"/>
      <c r="FL27" s="256"/>
      <c r="FM27" s="257" t="s">
        <v>1145</v>
      </c>
      <c r="FN27" s="258" t="s">
        <v>389</v>
      </c>
      <c r="FO27" s="258" t="s">
        <v>828</v>
      </c>
      <c r="FP27" s="258" t="s">
        <v>397</v>
      </c>
      <c r="FQ27" s="259">
        <f t="shared" si="0"/>
        <v>0</v>
      </c>
      <c r="FR27" s="260" t="s">
        <v>398</v>
      </c>
      <c r="FS27" s="260"/>
    </row>
    <row r="28" spans="1:175" s="276" customFormat="1" ht="11.4" hidden="1">
      <c r="A28" s="251" t="s">
        <v>393</v>
      </c>
      <c r="B28" s="251" t="s">
        <v>385</v>
      </c>
      <c r="C28" s="251" t="s">
        <v>394</v>
      </c>
      <c r="D28" s="251" t="s">
        <v>1</v>
      </c>
      <c r="E28" s="252" t="s">
        <v>827</v>
      </c>
      <c r="F28" s="251" t="s">
        <v>388</v>
      </c>
      <c r="G28" s="251" t="s">
        <v>1154</v>
      </c>
      <c r="H28" s="253"/>
      <c r="I28" s="253"/>
      <c r="J28" s="253"/>
      <c r="K28" s="253"/>
      <c r="L28" s="253"/>
      <c r="M28" s="253"/>
      <c r="N28" s="253"/>
      <c r="O28" s="253"/>
      <c r="P28" s="253"/>
      <c r="Q28" s="253"/>
      <c r="R28" s="253"/>
      <c r="S28" s="253"/>
      <c r="T28" s="253"/>
      <c r="U28" s="253"/>
      <c r="V28" s="253"/>
      <c r="W28" s="253"/>
      <c r="X28" s="253"/>
      <c r="Y28" s="253"/>
      <c r="Z28" s="255">
        <f>1000-1000</f>
        <v>0</v>
      </c>
      <c r="AA28" s="255">
        <f>1000-1000</f>
        <v>0</v>
      </c>
      <c r="AB28" s="253"/>
      <c r="AC28" s="253"/>
      <c r="AD28" s="253"/>
      <c r="AE28" s="253"/>
      <c r="AF28" s="253"/>
      <c r="AG28" s="253"/>
      <c r="AH28" s="253"/>
      <c r="AI28" s="253"/>
      <c r="AJ28" s="253"/>
      <c r="AK28" s="253"/>
      <c r="AL28" s="253"/>
      <c r="AM28" s="253"/>
      <c r="AN28" s="253"/>
      <c r="AO28" s="253"/>
      <c r="AP28" s="253"/>
      <c r="AQ28" s="253"/>
      <c r="AR28" s="253"/>
      <c r="AS28" s="253"/>
      <c r="AT28" s="253"/>
      <c r="AU28" s="253"/>
      <c r="AV28" s="253"/>
      <c r="AW28" s="253"/>
      <c r="AX28" s="253"/>
      <c r="AY28" s="253"/>
      <c r="AZ28" s="253"/>
      <c r="BA28" s="253"/>
      <c r="BB28" s="253"/>
      <c r="BC28" s="253"/>
      <c r="BD28" s="253"/>
      <c r="BE28" s="253"/>
      <c r="BF28" s="253"/>
      <c r="BG28" s="253"/>
      <c r="BH28" s="253"/>
      <c r="BI28" s="253"/>
      <c r="BJ28" s="253"/>
      <c r="BK28" s="253"/>
      <c r="BL28" s="253"/>
      <c r="BM28" s="253"/>
      <c r="BN28" s="253"/>
      <c r="BO28" s="253"/>
      <c r="BP28" s="253"/>
      <c r="BQ28" s="253"/>
      <c r="BR28" s="253"/>
      <c r="BS28" s="253"/>
      <c r="BT28" s="253"/>
      <c r="BU28" s="253"/>
      <c r="BV28" s="253"/>
      <c r="BW28" s="253"/>
      <c r="BX28" s="253"/>
      <c r="BY28" s="253"/>
      <c r="BZ28" s="253"/>
      <c r="CA28" s="253"/>
      <c r="CB28" s="253"/>
      <c r="CC28" s="253"/>
      <c r="CD28" s="253"/>
      <c r="CE28" s="253"/>
      <c r="CF28" s="253"/>
      <c r="CG28" s="253"/>
      <c r="CH28" s="253"/>
      <c r="CI28" s="253"/>
      <c r="CJ28" s="253"/>
      <c r="CK28" s="253"/>
      <c r="CL28" s="253"/>
      <c r="CM28" s="253"/>
      <c r="CN28" s="253"/>
      <c r="CO28" s="253"/>
      <c r="CP28" s="253"/>
      <c r="CQ28" s="253"/>
      <c r="CR28" s="253"/>
      <c r="CS28" s="253"/>
      <c r="CT28" s="253"/>
      <c r="CU28" s="253"/>
      <c r="CV28" s="253"/>
      <c r="CW28" s="253"/>
      <c r="CX28" s="253"/>
      <c r="CY28" s="253"/>
      <c r="CZ28" s="253"/>
      <c r="DA28" s="253"/>
      <c r="DB28" s="253"/>
      <c r="DC28" s="253"/>
      <c r="DD28" s="253"/>
      <c r="DE28" s="253"/>
      <c r="DF28" s="253"/>
      <c r="DG28" s="253"/>
      <c r="DH28" s="253"/>
      <c r="DI28" s="253"/>
      <c r="DJ28" s="253"/>
      <c r="DK28" s="253"/>
      <c r="DL28" s="253"/>
      <c r="DM28" s="253"/>
      <c r="DN28" s="253"/>
      <c r="DO28" s="253"/>
      <c r="DP28" s="253"/>
      <c r="DQ28" s="253"/>
      <c r="DR28" s="253"/>
      <c r="DS28" s="253"/>
      <c r="DT28" s="253"/>
      <c r="DU28" s="253"/>
      <c r="DV28" s="253"/>
      <c r="DW28" s="253"/>
      <c r="DX28" s="253"/>
      <c r="DY28" s="253"/>
      <c r="DZ28" s="253"/>
      <c r="EA28" s="253"/>
      <c r="EB28" s="253"/>
      <c r="EC28" s="253"/>
      <c r="ED28" s="253"/>
      <c r="EE28" s="255">
        <f>500-500</f>
        <v>0</v>
      </c>
      <c r="EF28" s="255">
        <f>500-500</f>
        <v>0</v>
      </c>
      <c r="EG28" s="255">
        <f>500-500</f>
        <v>0</v>
      </c>
      <c r="EH28" s="253"/>
      <c r="EI28" s="255">
        <f>500-500</f>
        <v>0</v>
      </c>
      <c r="EJ28" s="253"/>
      <c r="EK28" s="255">
        <f>500-500</f>
        <v>0</v>
      </c>
      <c r="EL28" s="253"/>
      <c r="EM28" s="253"/>
      <c r="EN28" s="255">
        <f>500-500</f>
        <v>0</v>
      </c>
      <c r="EO28" s="253"/>
      <c r="EP28" s="255">
        <f>500-500</f>
        <v>0</v>
      </c>
      <c r="EQ28" s="253"/>
      <c r="ER28" s="253"/>
      <c r="ES28" s="253"/>
      <c r="ET28" s="253"/>
      <c r="EU28" s="253"/>
      <c r="EV28" s="253"/>
      <c r="EW28" s="253"/>
      <c r="EX28" s="253"/>
      <c r="EY28" s="253"/>
      <c r="EZ28" s="253"/>
      <c r="FA28" s="253"/>
      <c r="FB28" s="253"/>
      <c r="FC28" s="253"/>
      <c r="FD28" s="253"/>
      <c r="FE28" s="253"/>
      <c r="FF28" s="253"/>
      <c r="FG28" s="253"/>
      <c r="FH28" s="253"/>
      <c r="FI28" s="253"/>
      <c r="FJ28" s="253"/>
      <c r="FK28" s="253"/>
      <c r="FL28" s="256"/>
      <c r="FM28" s="257" t="s">
        <v>1145</v>
      </c>
      <c r="FN28" s="258" t="s">
        <v>389</v>
      </c>
      <c r="FO28" s="258" t="s">
        <v>828</v>
      </c>
      <c r="FP28" s="258" t="s">
        <v>397</v>
      </c>
      <c r="FQ28" s="259">
        <f t="shared" si="0"/>
        <v>0</v>
      </c>
      <c r="FR28" s="260" t="s">
        <v>398</v>
      </c>
      <c r="FS28" s="260"/>
    </row>
    <row r="29" spans="1:175" s="276" customFormat="1" ht="11.4" hidden="1">
      <c r="A29" s="251" t="s">
        <v>417</v>
      </c>
      <c r="B29" s="251" t="s">
        <v>385</v>
      </c>
      <c r="C29" s="251" t="s">
        <v>394</v>
      </c>
      <c r="D29" s="251" t="s">
        <v>291</v>
      </c>
      <c r="E29" s="252" t="s">
        <v>829</v>
      </c>
      <c r="F29" s="251" t="s">
        <v>388</v>
      </c>
      <c r="G29" s="251"/>
      <c r="H29" s="253"/>
      <c r="I29" s="253"/>
      <c r="J29" s="253"/>
      <c r="K29" s="253"/>
      <c r="L29" s="253"/>
      <c r="M29" s="253"/>
      <c r="N29" s="253"/>
      <c r="O29" s="253"/>
      <c r="P29" s="253"/>
      <c r="Q29" s="253"/>
      <c r="R29" s="253"/>
      <c r="S29" s="253"/>
      <c r="T29" s="253"/>
      <c r="U29" s="253"/>
      <c r="V29" s="253"/>
      <c r="W29" s="253"/>
      <c r="X29" s="253"/>
      <c r="Y29" s="253"/>
      <c r="Z29" s="253"/>
      <c r="AA29" s="253"/>
      <c r="AB29" s="253"/>
      <c r="AC29" s="253"/>
      <c r="AD29" s="255">
        <f>100-100</f>
        <v>0</v>
      </c>
      <c r="AE29" s="253"/>
      <c r="AF29" s="253"/>
      <c r="AG29" s="255">
        <f>50-50</f>
        <v>0</v>
      </c>
      <c r="AH29" s="253"/>
      <c r="AI29" s="253"/>
      <c r="AJ29" s="253"/>
      <c r="AK29" s="253"/>
      <c r="AL29" s="255">
        <f>100-100</f>
        <v>0</v>
      </c>
      <c r="AM29" s="253"/>
      <c r="AN29" s="253"/>
      <c r="AO29" s="253"/>
      <c r="AP29" s="253"/>
      <c r="AQ29" s="253"/>
      <c r="AR29" s="253"/>
      <c r="AS29" s="253"/>
      <c r="AT29" s="253"/>
      <c r="AU29" s="253"/>
      <c r="AV29" s="253"/>
      <c r="AW29" s="253"/>
      <c r="AX29" s="253"/>
      <c r="AY29" s="253"/>
      <c r="AZ29" s="253"/>
      <c r="BA29" s="253"/>
      <c r="BB29" s="253"/>
      <c r="BC29" s="255">
        <f>200-200</f>
        <v>0</v>
      </c>
      <c r="BD29" s="253"/>
      <c r="BE29" s="253"/>
      <c r="BF29" s="253"/>
      <c r="BG29" s="253"/>
      <c r="BH29" s="253"/>
      <c r="BI29" s="253"/>
      <c r="BJ29" s="253"/>
      <c r="BK29" s="253"/>
      <c r="BL29" s="253"/>
      <c r="BM29" s="253"/>
      <c r="BN29" s="253"/>
      <c r="BO29" s="253"/>
      <c r="BP29" s="253"/>
      <c r="BQ29" s="253"/>
      <c r="BR29" s="253"/>
      <c r="BS29" s="253"/>
      <c r="BT29" s="253"/>
      <c r="BU29" s="253"/>
      <c r="BV29" s="253"/>
      <c r="BW29" s="253"/>
      <c r="BX29" s="253"/>
      <c r="BY29" s="253"/>
      <c r="BZ29" s="253"/>
      <c r="CA29" s="253"/>
      <c r="CB29" s="253"/>
      <c r="CC29" s="253"/>
      <c r="CD29" s="253"/>
      <c r="CE29" s="253"/>
      <c r="CF29" s="253"/>
      <c r="CG29" s="253"/>
      <c r="CH29" s="253"/>
      <c r="CI29" s="253"/>
      <c r="CJ29" s="253"/>
      <c r="CK29" s="253"/>
      <c r="CL29" s="253"/>
      <c r="CM29" s="253"/>
      <c r="CN29" s="253"/>
      <c r="CO29" s="253"/>
      <c r="CP29" s="253"/>
      <c r="CQ29" s="253"/>
      <c r="CR29" s="253"/>
      <c r="CS29" s="253"/>
      <c r="CT29" s="253"/>
      <c r="CU29" s="253"/>
      <c r="CV29" s="253"/>
      <c r="CW29" s="253"/>
      <c r="CX29" s="253"/>
      <c r="CY29" s="253"/>
      <c r="CZ29" s="253"/>
      <c r="DA29" s="253"/>
      <c r="DB29" s="253"/>
      <c r="DC29" s="253"/>
      <c r="DD29" s="253"/>
      <c r="DE29" s="253"/>
      <c r="DF29" s="253"/>
      <c r="DG29" s="253"/>
      <c r="DH29" s="253"/>
      <c r="DI29" s="253"/>
      <c r="DJ29" s="253"/>
      <c r="DK29" s="253"/>
      <c r="DL29" s="253"/>
      <c r="DM29" s="253"/>
      <c r="DN29" s="253"/>
      <c r="DO29" s="253"/>
      <c r="DP29" s="253"/>
      <c r="DQ29" s="253"/>
      <c r="DR29" s="253"/>
      <c r="DS29" s="253"/>
      <c r="DT29" s="253"/>
      <c r="DU29" s="253"/>
      <c r="DV29" s="253"/>
      <c r="DW29" s="253"/>
      <c r="DX29" s="253"/>
      <c r="DY29" s="253"/>
      <c r="DZ29" s="253"/>
      <c r="EA29" s="253"/>
      <c r="EB29" s="253"/>
      <c r="EC29" s="253"/>
      <c r="ED29" s="253"/>
      <c r="EE29" s="253"/>
      <c r="EF29" s="253"/>
      <c r="EG29" s="253"/>
      <c r="EH29" s="253"/>
      <c r="EI29" s="253"/>
      <c r="EJ29" s="253"/>
      <c r="EK29" s="253"/>
      <c r="EL29" s="253"/>
      <c r="EM29" s="253"/>
      <c r="EN29" s="253"/>
      <c r="EO29" s="253"/>
      <c r="EP29" s="253"/>
      <c r="EQ29" s="253"/>
      <c r="ER29" s="253"/>
      <c r="ES29" s="253"/>
      <c r="ET29" s="253"/>
      <c r="EU29" s="253"/>
      <c r="EV29" s="253"/>
      <c r="EW29" s="253"/>
      <c r="EX29" s="253"/>
      <c r="EY29" s="253"/>
      <c r="EZ29" s="253"/>
      <c r="FA29" s="253"/>
      <c r="FB29" s="253"/>
      <c r="FC29" s="253"/>
      <c r="FD29" s="253"/>
      <c r="FE29" s="253"/>
      <c r="FF29" s="253"/>
      <c r="FG29" s="253"/>
      <c r="FH29" s="253"/>
      <c r="FI29" s="253"/>
      <c r="FJ29" s="253"/>
      <c r="FK29" s="253"/>
      <c r="FL29" s="256"/>
      <c r="FM29" s="257" t="s">
        <v>1145</v>
      </c>
      <c r="FN29" s="258" t="s">
        <v>389</v>
      </c>
      <c r="FO29" s="258"/>
      <c r="FP29" s="258" t="s">
        <v>824</v>
      </c>
      <c r="FQ29" s="259">
        <f t="shared" si="0"/>
        <v>0</v>
      </c>
      <c r="FR29" s="260" t="s">
        <v>820</v>
      </c>
      <c r="FS29" s="260"/>
    </row>
    <row r="30" spans="1:175" s="276" customFormat="1" ht="11.4" hidden="1">
      <c r="A30" s="251" t="s">
        <v>417</v>
      </c>
      <c r="B30" s="251" t="s">
        <v>385</v>
      </c>
      <c r="C30" s="251" t="s">
        <v>394</v>
      </c>
      <c r="D30" s="251" t="s">
        <v>1</v>
      </c>
      <c r="E30" s="252" t="s">
        <v>829</v>
      </c>
      <c r="F30" s="251" t="s">
        <v>388</v>
      </c>
      <c r="G30" s="251"/>
      <c r="H30" s="253"/>
      <c r="I30" s="253"/>
      <c r="J30" s="253"/>
      <c r="K30" s="253"/>
      <c r="L30" s="253"/>
      <c r="M30" s="253"/>
      <c r="N30" s="253"/>
      <c r="O30" s="253"/>
      <c r="P30" s="253"/>
      <c r="Q30" s="253"/>
      <c r="R30" s="253"/>
      <c r="S30" s="253"/>
      <c r="T30" s="253"/>
      <c r="U30" s="253"/>
      <c r="V30" s="253"/>
      <c r="W30" s="253"/>
      <c r="X30" s="253"/>
      <c r="Y30" s="253"/>
      <c r="Z30" s="253"/>
      <c r="AA30" s="255">
        <f>100-100</f>
        <v>0</v>
      </c>
      <c r="AB30" s="253"/>
      <c r="AC30" s="253"/>
      <c r="AD30" s="253"/>
      <c r="AE30" s="253"/>
      <c r="AF30" s="253"/>
      <c r="AG30" s="253"/>
      <c r="AH30" s="253"/>
      <c r="AI30" s="253"/>
      <c r="AJ30" s="253"/>
      <c r="AK30" s="253"/>
      <c r="AL30" s="253"/>
      <c r="AM30" s="253"/>
      <c r="AN30" s="253"/>
      <c r="AO30" s="253"/>
      <c r="AP30" s="253"/>
      <c r="AQ30" s="253"/>
      <c r="AR30" s="253"/>
      <c r="AS30" s="253"/>
      <c r="AT30" s="255">
        <f>150-150</f>
        <v>0</v>
      </c>
      <c r="AU30" s="253"/>
      <c r="AV30" s="253"/>
      <c r="AW30" s="253"/>
      <c r="AX30" s="253"/>
      <c r="AY30" s="253"/>
      <c r="AZ30" s="253"/>
      <c r="BA30" s="253"/>
      <c r="BB30" s="253"/>
      <c r="BC30" s="253"/>
      <c r="BD30" s="253"/>
      <c r="BE30" s="255">
        <f>50-50</f>
        <v>0</v>
      </c>
      <c r="BF30" s="253"/>
      <c r="BG30" s="253"/>
      <c r="BH30" s="253"/>
      <c r="BI30" s="253"/>
      <c r="BJ30" s="253"/>
      <c r="BK30" s="253"/>
      <c r="BL30" s="253"/>
      <c r="BM30" s="253"/>
      <c r="BN30" s="253"/>
      <c r="BO30" s="253"/>
      <c r="BP30" s="253"/>
      <c r="BQ30" s="253"/>
      <c r="BR30" s="253"/>
      <c r="BS30" s="253"/>
      <c r="BT30" s="253"/>
      <c r="BU30" s="253"/>
      <c r="BV30" s="253"/>
      <c r="BW30" s="253"/>
      <c r="BX30" s="253"/>
      <c r="BY30" s="253"/>
      <c r="BZ30" s="253"/>
      <c r="CA30" s="253"/>
      <c r="CB30" s="253"/>
      <c r="CC30" s="253"/>
      <c r="CD30" s="253"/>
      <c r="CE30" s="253"/>
      <c r="CF30" s="253"/>
      <c r="CG30" s="253"/>
      <c r="CH30" s="253"/>
      <c r="CI30" s="253"/>
      <c r="CJ30" s="253"/>
      <c r="CK30" s="253"/>
      <c r="CL30" s="253"/>
      <c r="CM30" s="253"/>
      <c r="CN30" s="253"/>
      <c r="CO30" s="253"/>
      <c r="CP30" s="253"/>
      <c r="CQ30" s="253"/>
      <c r="CR30" s="253"/>
      <c r="CS30" s="253"/>
      <c r="CT30" s="253"/>
      <c r="CU30" s="253"/>
      <c r="CV30" s="253"/>
      <c r="CW30" s="253"/>
      <c r="CX30" s="253"/>
      <c r="CY30" s="253"/>
      <c r="CZ30" s="253"/>
      <c r="DA30" s="253"/>
      <c r="DB30" s="253"/>
      <c r="DC30" s="253"/>
      <c r="DD30" s="253"/>
      <c r="DE30" s="253"/>
      <c r="DF30" s="253"/>
      <c r="DG30" s="253"/>
      <c r="DH30" s="253"/>
      <c r="DI30" s="253"/>
      <c r="DJ30" s="253"/>
      <c r="DK30" s="253"/>
      <c r="DL30" s="253"/>
      <c r="DM30" s="253"/>
      <c r="DN30" s="253"/>
      <c r="DO30" s="253"/>
      <c r="DP30" s="253"/>
      <c r="DQ30" s="253"/>
      <c r="DR30" s="253"/>
      <c r="DS30" s="253"/>
      <c r="DT30" s="253"/>
      <c r="DU30" s="253"/>
      <c r="DV30" s="253"/>
      <c r="DW30" s="253"/>
      <c r="DX30" s="253"/>
      <c r="DY30" s="253"/>
      <c r="DZ30" s="253"/>
      <c r="EA30" s="253"/>
      <c r="EB30" s="253"/>
      <c r="EC30" s="253"/>
      <c r="ED30" s="253"/>
      <c r="EE30" s="253"/>
      <c r="EF30" s="253"/>
      <c r="EG30" s="253"/>
      <c r="EH30" s="253"/>
      <c r="EI30" s="253"/>
      <c r="EJ30" s="253"/>
      <c r="EK30" s="253"/>
      <c r="EL30" s="253"/>
      <c r="EM30" s="253"/>
      <c r="EN30" s="253"/>
      <c r="EO30" s="253"/>
      <c r="EP30" s="253"/>
      <c r="EQ30" s="253"/>
      <c r="ER30" s="253"/>
      <c r="ES30" s="253"/>
      <c r="ET30" s="253"/>
      <c r="EU30" s="253"/>
      <c r="EV30" s="253"/>
      <c r="EW30" s="253"/>
      <c r="EX30" s="253"/>
      <c r="EY30" s="253"/>
      <c r="EZ30" s="253"/>
      <c r="FA30" s="253"/>
      <c r="FB30" s="253"/>
      <c r="FC30" s="253"/>
      <c r="FD30" s="253"/>
      <c r="FE30" s="253"/>
      <c r="FF30" s="253"/>
      <c r="FG30" s="253"/>
      <c r="FH30" s="253"/>
      <c r="FI30" s="253"/>
      <c r="FJ30" s="253"/>
      <c r="FK30" s="253"/>
      <c r="FL30" s="256"/>
      <c r="FM30" s="257" t="s">
        <v>1145</v>
      </c>
      <c r="FN30" s="258" t="s">
        <v>389</v>
      </c>
      <c r="FO30" s="258"/>
      <c r="FP30" s="258" t="s">
        <v>824</v>
      </c>
      <c r="FQ30" s="259">
        <f t="shared" si="0"/>
        <v>0</v>
      </c>
      <c r="FR30" s="260" t="s">
        <v>820</v>
      </c>
      <c r="FS30" s="260"/>
    </row>
    <row r="31" spans="1:175" s="276" customFormat="1" ht="11.4" hidden="1">
      <c r="A31" s="251" t="s">
        <v>385</v>
      </c>
      <c r="B31" s="251" t="s">
        <v>385</v>
      </c>
      <c r="C31" s="251" t="s">
        <v>394</v>
      </c>
      <c r="D31" s="251" t="s">
        <v>291</v>
      </c>
      <c r="E31" s="252" t="s">
        <v>404</v>
      </c>
      <c r="F31" s="251" t="s">
        <v>388</v>
      </c>
      <c r="G31" s="251"/>
      <c r="H31" s="253"/>
      <c r="I31" s="255">
        <f>200-200</f>
        <v>0</v>
      </c>
      <c r="J31" s="253"/>
      <c r="K31" s="255">
        <f>200-200</f>
        <v>0</v>
      </c>
      <c r="L31" s="253"/>
      <c r="M31" s="253"/>
      <c r="N31" s="253"/>
      <c r="O31" s="253"/>
      <c r="P31" s="253"/>
      <c r="Q31" s="253"/>
      <c r="R31" s="253"/>
      <c r="S31" s="253"/>
      <c r="T31" s="253"/>
      <c r="U31" s="253"/>
      <c r="V31" s="253"/>
      <c r="W31" s="253"/>
      <c r="X31" s="253"/>
      <c r="Y31" s="253"/>
      <c r="Z31" s="253"/>
      <c r="AA31" s="253"/>
      <c r="AB31" s="253"/>
      <c r="AC31" s="253"/>
      <c r="AD31" s="255">
        <f>500-500</f>
        <v>0</v>
      </c>
      <c r="AE31" s="253"/>
      <c r="AF31" s="255">
        <f>500-500</f>
        <v>0</v>
      </c>
      <c r="AG31" s="255">
        <f>500-500</f>
        <v>0</v>
      </c>
      <c r="AH31" s="253"/>
      <c r="AI31" s="253"/>
      <c r="AJ31" s="253"/>
      <c r="AK31" s="253"/>
      <c r="AL31" s="255">
        <f>500-500</f>
        <v>0</v>
      </c>
      <c r="AM31" s="253"/>
      <c r="AN31" s="255">
        <f>500-500</f>
        <v>0</v>
      </c>
      <c r="AO31" s="253"/>
      <c r="AP31" s="253"/>
      <c r="AQ31" s="253"/>
      <c r="AR31" s="253"/>
      <c r="AS31" s="253"/>
      <c r="AT31" s="253"/>
      <c r="AU31" s="253"/>
      <c r="AV31" s="253"/>
      <c r="AW31" s="253"/>
      <c r="AX31" s="253"/>
      <c r="AY31" s="253"/>
      <c r="AZ31" s="253"/>
      <c r="BA31" s="253"/>
      <c r="BB31" s="253"/>
      <c r="BC31" s="255">
        <f>500-500</f>
        <v>0</v>
      </c>
      <c r="BD31" s="253"/>
      <c r="BE31" s="253"/>
      <c r="BF31" s="253"/>
      <c r="BG31" s="253"/>
      <c r="BH31" s="253"/>
      <c r="BI31" s="253"/>
      <c r="BJ31" s="253"/>
      <c r="BK31" s="253"/>
      <c r="BL31" s="253"/>
      <c r="BM31" s="253"/>
      <c r="BN31" s="253"/>
      <c r="BO31" s="253"/>
      <c r="BP31" s="253"/>
      <c r="BQ31" s="253"/>
      <c r="BR31" s="253"/>
      <c r="BS31" s="253"/>
      <c r="BT31" s="253"/>
      <c r="BU31" s="253"/>
      <c r="BV31" s="253"/>
      <c r="BW31" s="253"/>
      <c r="BX31" s="253"/>
      <c r="BY31" s="253"/>
      <c r="BZ31" s="253"/>
      <c r="CA31" s="253"/>
      <c r="CB31" s="253"/>
      <c r="CC31" s="253"/>
      <c r="CD31" s="253"/>
      <c r="CE31" s="253"/>
      <c r="CF31" s="253"/>
      <c r="CG31" s="253"/>
      <c r="CH31" s="253"/>
      <c r="CI31" s="253"/>
      <c r="CJ31" s="253"/>
      <c r="CK31" s="253"/>
      <c r="CL31" s="253"/>
      <c r="CM31" s="253"/>
      <c r="CN31" s="253"/>
      <c r="CO31" s="253"/>
      <c r="CP31" s="253"/>
      <c r="CQ31" s="253"/>
      <c r="CR31" s="253"/>
      <c r="CS31" s="253"/>
      <c r="CT31" s="253"/>
      <c r="CU31" s="253"/>
      <c r="CV31" s="253"/>
      <c r="CW31" s="253"/>
      <c r="CX31" s="253"/>
      <c r="CY31" s="253"/>
      <c r="CZ31" s="253"/>
      <c r="DA31" s="253"/>
      <c r="DB31" s="253"/>
      <c r="DC31" s="253"/>
      <c r="DD31" s="253"/>
      <c r="DE31" s="253"/>
      <c r="DF31" s="253"/>
      <c r="DG31" s="253"/>
      <c r="DH31" s="253"/>
      <c r="DI31" s="253"/>
      <c r="DJ31" s="253"/>
      <c r="DK31" s="253"/>
      <c r="DL31" s="253"/>
      <c r="DM31" s="253"/>
      <c r="DN31" s="253"/>
      <c r="DO31" s="253"/>
      <c r="DP31" s="253"/>
      <c r="DQ31" s="253"/>
      <c r="DR31" s="253"/>
      <c r="DS31" s="253"/>
      <c r="DT31" s="253"/>
      <c r="DU31" s="253"/>
      <c r="DV31" s="255">
        <f>100-100</f>
        <v>0</v>
      </c>
      <c r="DW31" s="255">
        <f>100-100</f>
        <v>0</v>
      </c>
      <c r="DX31" s="253"/>
      <c r="DY31" s="253"/>
      <c r="DZ31" s="253"/>
      <c r="EA31" s="255">
        <f>0-0</f>
        <v>0</v>
      </c>
      <c r="EB31" s="255">
        <f>0-0</f>
        <v>0</v>
      </c>
      <c r="EC31" s="253"/>
      <c r="ED31" s="253"/>
      <c r="EE31" s="253"/>
      <c r="EF31" s="253"/>
      <c r="EG31" s="253"/>
      <c r="EH31" s="253"/>
      <c r="EI31" s="253"/>
      <c r="EJ31" s="253"/>
      <c r="EK31" s="253"/>
      <c r="EL31" s="253"/>
      <c r="EM31" s="253"/>
      <c r="EN31" s="253"/>
      <c r="EO31" s="253"/>
      <c r="EP31" s="253"/>
      <c r="EQ31" s="253"/>
      <c r="ER31" s="253"/>
      <c r="ES31" s="253"/>
      <c r="ET31" s="253"/>
      <c r="EU31" s="253"/>
      <c r="EV31" s="253"/>
      <c r="EW31" s="253"/>
      <c r="EX31" s="253"/>
      <c r="EY31" s="253"/>
      <c r="EZ31" s="253"/>
      <c r="FA31" s="253"/>
      <c r="FB31" s="253"/>
      <c r="FC31" s="253"/>
      <c r="FD31" s="253"/>
      <c r="FE31" s="253"/>
      <c r="FF31" s="253"/>
      <c r="FG31" s="253"/>
      <c r="FH31" s="253"/>
      <c r="FI31" s="253"/>
      <c r="FJ31" s="253"/>
      <c r="FK31" s="253"/>
      <c r="FL31" s="256"/>
      <c r="FM31" s="257" t="s">
        <v>1145</v>
      </c>
      <c r="FN31" s="258" t="s">
        <v>389</v>
      </c>
      <c r="FO31" s="258"/>
      <c r="FP31" s="258" t="s">
        <v>402</v>
      </c>
      <c r="FQ31" s="259">
        <f t="shared" si="0"/>
        <v>0</v>
      </c>
      <c r="FR31" s="260" t="s">
        <v>403</v>
      </c>
      <c r="FS31" s="260"/>
    </row>
    <row r="32" spans="1:175" s="276" customFormat="1" ht="11.4" hidden="1">
      <c r="A32" s="251" t="s">
        <v>385</v>
      </c>
      <c r="B32" s="251" t="s">
        <v>385</v>
      </c>
      <c r="C32" s="251" t="s">
        <v>394</v>
      </c>
      <c r="D32" s="251" t="s">
        <v>1</v>
      </c>
      <c r="E32" s="252" t="s">
        <v>404</v>
      </c>
      <c r="F32" s="251" t="s">
        <v>388</v>
      </c>
      <c r="G32" s="251"/>
      <c r="H32" s="253"/>
      <c r="I32" s="253"/>
      <c r="J32" s="253"/>
      <c r="K32" s="253"/>
      <c r="L32" s="254">
        <f>200-200+40</f>
        <v>40</v>
      </c>
      <c r="M32" s="253"/>
      <c r="N32" s="254">
        <f>100-100+20</f>
        <v>20</v>
      </c>
      <c r="O32" s="254">
        <f>100-100+20</f>
        <v>20</v>
      </c>
      <c r="P32" s="255">
        <f>100-100</f>
        <v>0</v>
      </c>
      <c r="Q32" s="253"/>
      <c r="R32" s="253"/>
      <c r="S32" s="255">
        <f>500-500</f>
        <v>0</v>
      </c>
      <c r="T32" s="253"/>
      <c r="U32" s="255">
        <f>500-500</f>
        <v>0</v>
      </c>
      <c r="V32" s="255">
        <f>500-500</f>
        <v>0</v>
      </c>
      <c r="W32" s="253"/>
      <c r="X32" s="253"/>
      <c r="Y32" s="255">
        <f>500-500</f>
        <v>0</v>
      </c>
      <c r="Z32" s="255">
        <f>500-500</f>
        <v>0</v>
      </c>
      <c r="AA32" s="255">
        <f>500-500</f>
        <v>0</v>
      </c>
      <c r="AB32" s="255">
        <f>500-500</f>
        <v>0</v>
      </c>
      <c r="AC32" s="255">
        <f>500-500</f>
        <v>0</v>
      </c>
      <c r="AD32" s="253"/>
      <c r="AE32" s="255">
        <f>500-500</f>
        <v>0</v>
      </c>
      <c r="AF32" s="253"/>
      <c r="AG32" s="253"/>
      <c r="AH32" s="255">
        <f>500-500</f>
        <v>0</v>
      </c>
      <c r="AI32" s="253"/>
      <c r="AJ32" s="253"/>
      <c r="AK32" s="253"/>
      <c r="AL32" s="253"/>
      <c r="AM32" s="253"/>
      <c r="AN32" s="253"/>
      <c r="AO32" s="253"/>
      <c r="AP32" s="253"/>
      <c r="AQ32" s="253"/>
      <c r="AR32" s="253"/>
      <c r="AS32" s="253"/>
      <c r="AT32" s="255">
        <f>500-500</f>
        <v>0</v>
      </c>
      <c r="AU32" s="253"/>
      <c r="AV32" s="253"/>
      <c r="AW32" s="253"/>
      <c r="AX32" s="253"/>
      <c r="AY32" s="253"/>
      <c r="AZ32" s="253"/>
      <c r="BA32" s="253"/>
      <c r="BB32" s="253"/>
      <c r="BC32" s="253"/>
      <c r="BD32" s="253"/>
      <c r="BE32" s="253"/>
      <c r="BF32" s="253"/>
      <c r="BG32" s="253"/>
      <c r="BH32" s="253"/>
      <c r="BI32" s="253"/>
      <c r="BJ32" s="253"/>
      <c r="BK32" s="253"/>
      <c r="BL32" s="253"/>
      <c r="BM32" s="253"/>
      <c r="BN32" s="253"/>
      <c r="BO32" s="253"/>
      <c r="BP32" s="253"/>
      <c r="BQ32" s="253"/>
      <c r="BR32" s="253"/>
      <c r="BS32" s="253"/>
      <c r="BT32" s="253"/>
      <c r="BU32" s="253"/>
      <c r="BV32" s="253"/>
      <c r="BW32" s="253"/>
      <c r="BX32" s="253"/>
      <c r="BY32" s="253"/>
      <c r="BZ32" s="253"/>
      <c r="CA32" s="253"/>
      <c r="CB32" s="253"/>
      <c r="CC32" s="253"/>
      <c r="CD32" s="253"/>
      <c r="CE32" s="253"/>
      <c r="CF32" s="253"/>
      <c r="CG32" s="253"/>
      <c r="CH32" s="253"/>
      <c r="CI32" s="253"/>
      <c r="CJ32" s="253"/>
      <c r="CK32" s="253"/>
      <c r="CL32" s="253"/>
      <c r="CM32" s="253"/>
      <c r="CN32" s="253"/>
      <c r="CO32" s="253"/>
      <c r="CP32" s="253"/>
      <c r="CQ32" s="253"/>
      <c r="CR32" s="253"/>
      <c r="CS32" s="253"/>
      <c r="CT32" s="253"/>
      <c r="CU32" s="253"/>
      <c r="CV32" s="253"/>
      <c r="CW32" s="253"/>
      <c r="CX32" s="253"/>
      <c r="CY32" s="253"/>
      <c r="CZ32" s="253"/>
      <c r="DA32" s="253"/>
      <c r="DB32" s="253"/>
      <c r="DC32" s="253"/>
      <c r="DD32" s="253"/>
      <c r="DE32" s="253"/>
      <c r="DF32" s="253"/>
      <c r="DG32" s="253"/>
      <c r="DH32" s="253"/>
      <c r="DI32" s="253"/>
      <c r="DJ32" s="253"/>
      <c r="DK32" s="253"/>
      <c r="DL32" s="253"/>
      <c r="DM32" s="253"/>
      <c r="DN32" s="253"/>
      <c r="DO32" s="253"/>
      <c r="DP32" s="253"/>
      <c r="DQ32" s="253"/>
      <c r="DR32" s="253"/>
      <c r="DS32" s="253"/>
      <c r="DT32" s="253"/>
      <c r="DU32" s="253"/>
      <c r="DV32" s="253"/>
      <c r="DW32" s="253"/>
      <c r="DX32" s="253"/>
      <c r="DY32" s="255">
        <f>100-100</f>
        <v>0</v>
      </c>
      <c r="DZ32" s="253"/>
      <c r="EA32" s="253"/>
      <c r="EB32" s="253"/>
      <c r="EC32" s="253"/>
      <c r="ED32" s="253"/>
      <c r="EE32" s="253"/>
      <c r="EF32" s="253"/>
      <c r="EG32" s="253"/>
      <c r="EH32" s="253"/>
      <c r="EI32" s="253"/>
      <c r="EJ32" s="253"/>
      <c r="EK32" s="255">
        <f t="shared" ref="EK32:EQ32" si="2">100-100</f>
        <v>0</v>
      </c>
      <c r="EL32" s="255">
        <f t="shared" si="2"/>
        <v>0</v>
      </c>
      <c r="EM32" s="255">
        <f t="shared" si="2"/>
        <v>0</v>
      </c>
      <c r="EN32" s="255">
        <f t="shared" si="2"/>
        <v>0</v>
      </c>
      <c r="EO32" s="255">
        <f t="shared" si="2"/>
        <v>0</v>
      </c>
      <c r="EP32" s="255">
        <f t="shared" si="2"/>
        <v>0</v>
      </c>
      <c r="EQ32" s="255">
        <f t="shared" si="2"/>
        <v>0</v>
      </c>
      <c r="ER32" s="253"/>
      <c r="ES32" s="255">
        <f>100-100</f>
        <v>0</v>
      </c>
      <c r="ET32" s="255">
        <f>100-100</f>
        <v>0</v>
      </c>
      <c r="EU32" s="255">
        <f>50-50</f>
        <v>0</v>
      </c>
      <c r="EV32" s="253"/>
      <c r="EW32" s="255">
        <f>50-50</f>
        <v>0</v>
      </c>
      <c r="EX32" s="253"/>
      <c r="EY32" s="253"/>
      <c r="EZ32" s="253"/>
      <c r="FA32" s="255">
        <f>50-50</f>
        <v>0</v>
      </c>
      <c r="FB32" s="255">
        <f>50-50</f>
        <v>0</v>
      </c>
      <c r="FC32" s="253"/>
      <c r="FD32" s="253"/>
      <c r="FE32" s="255">
        <f>50-50</f>
        <v>0</v>
      </c>
      <c r="FF32" s="253"/>
      <c r="FG32" s="253"/>
      <c r="FH32" s="255">
        <f>50-50</f>
        <v>0</v>
      </c>
      <c r="FI32" s="255">
        <f>50-50</f>
        <v>0</v>
      </c>
      <c r="FJ32" s="253"/>
      <c r="FK32" s="253"/>
      <c r="FL32" s="256"/>
      <c r="FM32" s="257" t="s">
        <v>1145</v>
      </c>
      <c r="FN32" s="258" t="s">
        <v>389</v>
      </c>
      <c r="FO32" s="258"/>
      <c r="FP32" s="258" t="s">
        <v>402</v>
      </c>
      <c r="FQ32" s="259">
        <f t="shared" si="0"/>
        <v>80</v>
      </c>
      <c r="FR32" s="260" t="s">
        <v>403</v>
      </c>
      <c r="FS32" s="260"/>
    </row>
    <row r="33" spans="1:175" s="276" customFormat="1" ht="11.4" hidden="1">
      <c r="A33" s="251" t="s">
        <v>385</v>
      </c>
      <c r="B33" s="251" t="s">
        <v>385</v>
      </c>
      <c r="C33" s="251" t="s">
        <v>394</v>
      </c>
      <c r="D33" s="251" t="s">
        <v>293</v>
      </c>
      <c r="E33" s="252" t="s">
        <v>404</v>
      </c>
      <c r="F33" s="251" t="s">
        <v>388</v>
      </c>
      <c r="G33" s="251"/>
      <c r="H33" s="253"/>
      <c r="I33" s="253"/>
      <c r="J33" s="255">
        <f>200-200</f>
        <v>0</v>
      </c>
      <c r="K33" s="253"/>
      <c r="L33" s="253"/>
      <c r="M33" s="253"/>
      <c r="N33" s="253"/>
      <c r="O33" s="253"/>
      <c r="P33" s="253"/>
      <c r="Q33" s="253"/>
      <c r="R33" s="253"/>
      <c r="S33" s="253"/>
      <c r="T33" s="253"/>
      <c r="U33" s="253"/>
      <c r="V33" s="253"/>
      <c r="W33" s="253"/>
      <c r="X33" s="253"/>
      <c r="Y33" s="253"/>
      <c r="Z33" s="253"/>
      <c r="AA33" s="253"/>
      <c r="AB33" s="253"/>
      <c r="AC33" s="253"/>
      <c r="AD33" s="253"/>
      <c r="AE33" s="253"/>
      <c r="AF33" s="253"/>
      <c r="AG33" s="253"/>
      <c r="AH33" s="253"/>
      <c r="AI33" s="253"/>
      <c r="AJ33" s="253"/>
      <c r="AK33" s="253"/>
      <c r="AL33" s="253"/>
      <c r="AM33" s="253"/>
      <c r="AN33" s="253"/>
      <c r="AO33" s="253"/>
      <c r="AP33" s="253"/>
      <c r="AQ33" s="253"/>
      <c r="AR33" s="253"/>
      <c r="AS33" s="253"/>
      <c r="AT33" s="253"/>
      <c r="AU33" s="253"/>
      <c r="AV33" s="253"/>
      <c r="AW33" s="253"/>
      <c r="AX33" s="253"/>
      <c r="AY33" s="253"/>
      <c r="AZ33" s="253"/>
      <c r="BA33" s="253"/>
      <c r="BB33" s="253"/>
      <c r="BC33" s="253"/>
      <c r="BD33" s="253"/>
      <c r="BE33" s="253"/>
      <c r="BF33" s="253"/>
      <c r="BG33" s="253"/>
      <c r="BH33" s="253"/>
      <c r="BI33" s="253"/>
      <c r="BJ33" s="253"/>
      <c r="BK33" s="253"/>
      <c r="BL33" s="253"/>
      <c r="BM33" s="253"/>
      <c r="BN33" s="253"/>
      <c r="BO33" s="253"/>
      <c r="BP33" s="253"/>
      <c r="BQ33" s="253"/>
      <c r="BR33" s="253"/>
      <c r="BS33" s="253"/>
      <c r="BT33" s="253"/>
      <c r="BU33" s="253"/>
      <c r="BV33" s="253"/>
      <c r="BW33" s="253"/>
      <c r="BX33" s="253"/>
      <c r="BY33" s="253"/>
      <c r="BZ33" s="253"/>
      <c r="CA33" s="253"/>
      <c r="CB33" s="253"/>
      <c r="CC33" s="253"/>
      <c r="CD33" s="253"/>
      <c r="CE33" s="253"/>
      <c r="CF33" s="253"/>
      <c r="CG33" s="253"/>
      <c r="CH33" s="253"/>
      <c r="CI33" s="253"/>
      <c r="CJ33" s="253"/>
      <c r="CK33" s="253"/>
      <c r="CL33" s="253"/>
      <c r="CM33" s="253"/>
      <c r="CN33" s="253"/>
      <c r="CO33" s="253"/>
      <c r="CP33" s="253"/>
      <c r="CQ33" s="253"/>
      <c r="CR33" s="253"/>
      <c r="CS33" s="253"/>
      <c r="CT33" s="253"/>
      <c r="CU33" s="253"/>
      <c r="CV33" s="253"/>
      <c r="CW33" s="253"/>
      <c r="CX33" s="253"/>
      <c r="CY33" s="253"/>
      <c r="CZ33" s="253"/>
      <c r="DA33" s="253"/>
      <c r="DB33" s="253"/>
      <c r="DC33" s="253"/>
      <c r="DD33" s="253"/>
      <c r="DE33" s="253"/>
      <c r="DF33" s="253"/>
      <c r="DG33" s="253"/>
      <c r="DH33" s="253"/>
      <c r="DI33" s="253"/>
      <c r="DJ33" s="253"/>
      <c r="DK33" s="253"/>
      <c r="DL33" s="253"/>
      <c r="DM33" s="253"/>
      <c r="DN33" s="253"/>
      <c r="DO33" s="253"/>
      <c r="DP33" s="253"/>
      <c r="DQ33" s="253"/>
      <c r="DR33" s="253"/>
      <c r="DS33" s="253"/>
      <c r="DT33" s="253"/>
      <c r="DU33" s="253"/>
      <c r="DV33" s="253"/>
      <c r="DW33" s="253"/>
      <c r="DX33" s="253"/>
      <c r="DY33" s="253"/>
      <c r="DZ33" s="253"/>
      <c r="EA33" s="253"/>
      <c r="EB33" s="253"/>
      <c r="EC33" s="253"/>
      <c r="ED33" s="253"/>
      <c r="EE33" s="253"/>
      <c r="EF33" s="253"/>
      <c r="EG33" s="253"/>
      <c r="EH33" s="253"/>
      <c r="EI33" s="253"/>
      <c r="EJ33" s="253"/>
      <c r="EK33" s="253"/>
      <c r="EL33" s="253"/>
      <c r="EM33" s="253"/>
      <c r="EN33" s="253"/>
      <c r="EO33" s="253"/>
      <c r="EP33" s="253"/>
      <c r="EQ33" s="253"/>
      <c r="ER33" s="253"/>
      <c r="ES33" s="253"/>
      <c r="ET33" s="253"/>
      <c r="EU33" s="253"/>
      <c r="EV33" s="255">
        <f>50-50</f>
        <v>0</v>
      </c>
      <c r="EW33" s="253"/>
      <c r="EX33" s="253"/>
      <c r="EY33" s="253"/>
      <c r="EZ33" s="255">
        <f>50-50</f>
        <v>0</v>
      </c>
      <c r="FA33" s="253"/>
      <c r="FB33" s="253"/>
      <c r="FC33" s="253"/>
      <c r="FD33" s="255">
        <f>50-50</f>
        <v>0</v>
      </c>
      <c r="FE33" s="253"/>
      <c r="FF33" s="253"/>
      <c r="FG33" s="253"/>
      <c r="FH33" s="253"/>
      <c r="FI33" s="253"/>
      <c r="FJ33" s="253"/>
      <c r="FK33" s="253"/>
      <c r="FL33" s="256"/>
      <c r="FM33" s="257" t="s">
        <v>1145</v>
      </c>
      <c r="FN33" s="258" t="s">
        <v>389</v>
      </c>
      <c r="FO33" s="258"/>
      <c r="FP33" s="258" t="s">
        <v>402</v>
      </c>
      <c r="FQ33" s="259">
        <f t="shared" si="0"/>
        <v>0</v>
      </c>
      <c r="FR33" s="260" t="s">
        <v>403</v>
      </c>
      <c r="FS33" s="260"/>
    </row>
    <row r="34" spans="1:175" s="276" customFormat="1" ht="11.4" hidden="1">
      <c r="A34" s="251" t="s">
        <v>417</v>
      </c>
      <c r="B34" s="251" t="s">
        <v>385</v>
      </c>
      <c r="C34" s="251" t="s">
        <v>394</v>
      </c>
      <c r="D34" s="251" t="s">
        <v>1</v>
      </c>
      <c r="E34" s="252" t="s">
        <v>1155</v>
      </c>
      <c r="F34" s="251" t="s">
        <v>388</v>
      </c>
      <c r="G34" s="251"/>
      <c r="H34" s="253"/>
      <c r="I34" s="253"/>
      <c r="J34" s="253"/>
      <c r="K34" s="253"/>
      <c r="L34" s="253"/>
      <c r="M34" s="253"/>
      <c r="N34" s="253"/>
      <c r="O34" s="253"/>
      <c r="P34" s="253"/>
      <c r="Q34" s="253"/>
      <c r="R34" s="253"/>
      <c r="S34" s="253"/>
      <c r="T34" s="253"/>
      <c r="U34" s="253"/>
      <c r="V34" s="253"/>
      <c r="W34" s="253"/>
      <c r="X34" s="253"/>
      <c r="Y34" s="255">
        <f>50-50</f>
        <v>0</v>
      </c>
      <c r="Z34" s="253"/>
      <c r="AA34" s="253"/>
      <c r="AB34" s="255">
        <f>50-50</f>
        <v>0</v>
      </c>
      <c r="AC34" s="253"/>
      <c r="AD34" s="253"/>
      <c r="AE34" s="253"/>
      <c r="AF34" s="253"/>
      <c r="AG34" s="253"/>
      <c r="AH34" s="253"/>
      <c r="AI34" s="253"/>
      <c r="AJ34" s="253"/>
      <c r="AK34" s="253"/>
      <c r="AL34" s="253"/>
      <c r="AM34" s="253"/>
      <c r="AN34" s="253"/>
      <c r="AO34" s="253"/>
      <c r="AP34" s="253"/>
      <c r="AQ34" s="253"/>
      <c r="AR34" s="253"/>
      <c r="AS34" s="253"/>
      <c r="AT34" s="255">
        <f>20-20</f>
        <v>0</v>
      </c>
      <c r="AU34" s="253"/>
      <c r="AV34" s="253"/>
      <c r="AW34" s="253"/>
      <c r="AX34" s="253"/>
      <c r="AY34" s="253"/>
      <c r="AZ34" s="253"/>
      <c r="BA34" s="253"/>
      <c r="BB34" s="253"/>
      <c r="BC34" s="253"/>
      <c r="BD34" s="253"/>
      <c r="BE34" s="253"/>
      <c r="BF34" s="253"/>
      <c r="BG34" s="253"/>
      <c r="BH34" s="253"/>
      <c r="BI34" s="253"/>
      <c r="BJ34" s="253"/>
      <c r="BK34" s="253"/>
      <c r="BL34" s="253"/>
      <c r="BM34" s="253"/>
      <c r="BN34" s="253"/>
      <c r="BO34" s="253"/>
      <c r="BP34" s="253"/>
      <c r="BQ34" s="253"/>
      <c r="BR34" s="253"/>
      <c r="BS34" s="253"/>
      <c r="BT34" s="253"/>
      <c r="BU34" s="253"/>
      <c r="BV34" s="253"/>
      <c r="BW34" s="253"/>
      <c r="BX34" s="253"/>
      <c r="BY34" s="253"/>
      <c r="BZ34" s="253"/>
      <c r="CA34" s="253"/>
      <c r="CB34" s="253"/>
      <c r="CC34" s="253"/>
      <c r="CD34" s="253"/>
      <c r="CE34" s="253"/>
      <c r="CF34" s="253"/>
      <c r="CG34" s="253"/>
      <c r="CH34" s="253"/>
      <c r="CI34" s="253"/>
      <c r="CJ34" s="253"/>
      <c r="CK34" s="253"/>
      <c r="CL34" s="253"/>
      <c r="CM34" s="253"/>
      <c r="CN34" s="253"/>
      <c r="CO34" s="253"/>
      <c r="CP34" s="253"/>
      <c r="CQ34" s="253"/>
      <c r="CR34" s="253"/>
      <c r="CS34" s="253"/>
      <c r="CT34" s="253"/>
      <c r="CU34" s="253"/>
      <c r="CV34" s="253"/>
      <c r="CW34" s="253"/>
      <c r="CX34" s="253"/>
      <c r="CY34" s="253"/>
      <c r="CZ34" s="253"/>
      <c r="DA34" s="253"/>
      <c r="DB34" s="253"/>
      <c r="DC34" s="253"/>
      <c r="DD34" s="253"/>
      <c r="DE34" s="253"/>
      <c r="DF34" s="253"/>
      <c r="DG34" s="253"/>
      <c r="DH34" s="253"/>
      <c r="DI34" s="253"/>
      <c r="DJ34" s="253"/>
      <c r="DK34" s="253"/>
      <c r="DL34" s="253"/>
      <c r="DM34" s="253"/>
      <c r="DN34" s="253"/>
      <c r="DO34" s="253"/>
      <c r="DP34" s="253"/>
      <c r="DQ34" s="253"/>
      <c r="DR34" s="253"/>
      <c r="DS34" s="253"/>
      <c r="DT34" s="253"/>
      <c r="DU34" s="253"/>
      <c r="DV34" s="253"/>
      <c r="DW34" s="253"/>
      <c r="DX34" s="253"/>
      <c r="DY34" s="253"/>
      <c r="DZ34" s="253"/>
      <c r="EA34" s="253"/>
      <c r="EB34" s="253"/>
      <c r="EC34" s="253"/>
      <c r="ED34" s="253"/>
      <c r="EE34" s="253"/>
      <c r="EF34" s="253"/>
      <c r="EG34" s="253"/>
      <c r="EH34" s="253"/>
      <c r="EI34" s="253"/>
      <c r="EJ34" s="253"/>
      <c r="EK34" s="253"/>
      <c r="EL34" s="253"/>
      <c r="EM34" s="253"/>
      <c r="EN34" s="253"/>
      <c r="EO34" s="253"/>
      <c r="EP34" s="253"/>
      <c r="EQ34" s="253"/>
      <c r="ER34" s="253"/>
      <c r="ES34" s="253"/>
      <c r="ET34" s="253"/>
      <c r="EU34" s="253"/>
      <c r="EV34" s="253"/>
      <c r="EW34" s="253"/>
      <c r="EX34" s="253"/>
      <c r="EY34" s="253"/>
      <c r="EZ34" s="253"/>
      <c r="FA34" s="253"/>
      <c r="FB34" s="253"/>
      <c r="FC34" s="253"/>
      <c r="FD34" s="253"/>
      <c r="FE34" s="253"/>
      <c r="FF34" s="253"/>
      <c r="FG34" s="253"/>
      <c r="FH34" s="253"/>
      <c r="FI34" s="253"/>
      <c r="FJ34" s="253"/>
      <c r="FK34" s="253"/>
      <c r="FL34" s="256"/>
      <c r="FM34" s="257" t="s">
        <v>1145</v>
      </c>
      <c r="FN34" s="258" t="s">
        <v>389</v>
      </c>
      <c r="FO34" s="258"/>
      <c r="FP34" s="258" t="s">
        <v>1156</v>
      </c>
      <c r="FQ34" s="259">
        <f t="shared" si="0"/>
        <v>0</v>
      </c>
      <c r="FR34" s="260" t="s">
        <v>820</v>
      </c>
      <c r="FS34" s="260"/>
    </row>
    <row r="35" spans="1:175" s="276" customFormat="1" ht="11.4" hidden="1">
      <c r="A35" s="251" t="s">
        <v>393</v>
      </c>
      <c r="B35" s="251" t="s">
        <v>385</v>
      </c>
      <c r="C35" s="251" t="s">
        <v>394</v>
      </c>
      <c r="D35" s="251" t="s">
        <v>291</v>
      </c>
      <c r="E35" s="252" t="s">
        <v>830</v>
      </c>
      <c r="F35" s="251" t="s">
        <v>388</v>
      </c>
      <c r="G35" s="251"/>
      <c r="H35" s="253"/>
      <c r="I35" s="253"/>
      <c r="J35" s="253"/>
      <c r="K35" s="253"/>
      <c r="L35" s="253"/>
      <c r="M35" s="253"/>
      <c r="N35" s="253"/>
      <c r="O35" s="253"/>
      <c r="P35" s="253"/>
      <c r="Q35" s="253"/>
      <c r="R35" s="253"/>
      <c r="S35" s="253"/>
      <c r="T35" s="253"/>
      <c r="U35" s="253"/>
      <c r="V35" s="253"/>
      <c r="W35" s="253"/>
      <c r="X35" s="253"/>
      <c r="Y35" s="253"/>
      <c r="Z35" s="253"/>
      <c r="AA35" s="253"/>
      <c r="AB35" s="253"/>
      <c r="AC35" s="253"/>
      <c r="AD35" s="255">
        <f>50-50</f>
        <v>0</v>
      </c>
      <c r="AE35" s="253"/>
      <c r="AF35" s="253"/>
      <c r="AG35" s="255">
        <f>50-50</f>
        <v>0</v>
      </c>
      <c r="AH35" s="253"/>
      <c r="AI35" s="253"/>
      <c r="AJ35" s="253"/>
      <c r="AK35" s="253"/>
      <c r="AL35" s="253"/>
      <c r="AM35" s="253"/>
      <c r="AN35" s="253"/>
      <c r="AO35" s="253"/>
      <c r="AP35" s="253"/>
      <c r="AQ35" s="253"/>
      <c r="AR35" s="253"/>
      <c r="AS35" s="253"/>
      <c r="AT35" s="253"/>
      <c r="AU35" s="253"/>
      <c r="AV35" s="253"/>
      <c r="AW35" s="253"/>
      <c r="AX35" s="253"/>
      <c r="AY35" s="253"/>
      <c r="AZ35" s="253"/>
      <c r="BA35" s="253"/>
      <c r="BB35" s="253"/>
      <c r="BC35" s="255">
        <f>50-50</f>
        <v>0</v>
      </c>
      <c r="BD35" s="253"/>
      <c r="BE35" s="253"/>
      <c r="BF35" s="253"/>
      <c r="BG35" s="253"/>
      <c r="BH35" s="253"/>
      <c r="BI35" s="253"/>
      <c r="BJ35" s="253"/>
      <c r="BK35" s="253"/>
      <c r="BL35" s="253"/>
      <c r="BM35" s="253"/>
      <c r="BN35" s="253"/>
      <c r="BO35" s="253"/>
      <c r="BP35" s="253"/>
      <c r="BQ35" s="253"/>
      <c r="BR35" s="253"/>
      <c r="BS35" s="253"/>
      <c r="BT35" s="253"/>
      <c r="BU35" s="253"/>
      <c r="BV35" s="253"/>
      <c r="BW35" s="253"/>
      <c r="BX35" s="253"/>
      <c r="BY35" s="253"/>
      <c r="BZ35" s="253"/>
      <c r="CA35" s="253"/>
      <c r="CB35" s="253"/>
      <c r="CC35" s="253"/>
      <c r="CD35" s="253"/>
      <c r="CE35" s="253"/>
      <c r="CF35" s="253"/>
      <c r="CG35" s="253"/>
      <c r="CH35" s="253"/>
      <c r="CI35" s="253"/>
      <c r="CJ35" s="253"/>
      <c r="CK35" s="253"/>
      <c r="CL35" s="253"/>
      <c r="CM35" s="253"/>
      <c r="CN35" s="253"/>
      <c r="CO35" s="253"/>
      <c r="CP35" s="253"/>
      <c r="CQ35" s="253"/>
      <c r="CR35" s="253"/>
      <c r="CS35" s="253"/>
      <c r="CT35" s="253"/>
      <c r="CU35" s="253"/>
      <c r="CV35" s="253"/>
      <c r="CW35" s="253"/>
      <c r="CX35" s="253"/>
      <c r="CY35" s="253"/>
      <c r="CZ35" s="253"/>
      <c r="DA35" s="253"/>
      <c r="DB35" s="253"/>
      <c r="DC35" s="253"/>
      <c r="DD35" s="253"/>
      <c r="DE35" s="253"/>
      <c r="DF35" s="253"/>
      <c r="DG35" s="253"/>
      <c r="DH35" s="253"/>
      <c r="DI35" s="253"/>
      <c r="DJ35" s="253"/>
      <c r="DK35" s="253"/>
      <c r="DL35" s="253"/>
      <c r="DM35" s="253"/>
      <c r="DN35" s="253"/>
      <c r="DO35" s="253"/>
      <c r="DP35" s="253"/>
      <c r="DQ35" s="253"/>
      <c r="DR35" s="253"/>
      <c r="DS35" s="253"/>
      <c r="DT35" s="253"/>
      <c r="DU35" s="253"/>
      <c r="DV35" s="253"/>
      <c r="DW35" s="253"/>
      <c r="DX35" s="253"/>
      <c r="DY35" s="253"/>
      <c r="DZ35" s="253"/>
      <c r="EA35" s="253"/>
      <c r="EB35" s="253"/>
      <c r="EC35" s="253"/>
      <c r="ED35" s="253"/>
      <c r="EE35" s="253"/>
      <c r="EF35" s="253"/>
      <c r="EG35" s="253"/>
      <c r="EH35" s="253"/>
      <c r="EI35" s="253"/>
      <c r="EJ35" s="253"/>
      <c r="EK35" s="253"/>
      <c r="EL35" s="253"/>
      <c r="EM35" s="253"/>
      <c r="EN35" s="253"/>
      <c r="EO35" s="253"/>
      <c r="EP35" s="253"/>
      <c r="EQ35" s="253"/>
      <c r="ER35" s="253"/>
      <c r="ES35" s="253"/>
      <c r="ET35" s="253"/>
      <c r="EU35" s="253"/>
      <c r="EV35" s="253"/>
      <c r="EW35" s="253"/>
      <c r="EX35" s="253"/>
      <c r="EY35" s="253"/>
      <c r="EZ35" s="253"/>
      <c r="FA35" s="253"/>
      <c r="FB35" s="253"/>
      <c r="FC35" s="253"/>
      <c r="FD35" s="253"/>
      <c r="FE35" s="253"/>
      <c r="FF35" s="253"/>
      <c r="FG35" s="253"/>
      <c r="FH35" s="253"/>
      <c r="FI35" s="253"/>
      <c r="FJ35" s="253"/>
      <c r="FK35" s="253"/>
      <c r="FL35" s="256"/>
      <c r="FM35" s="257" t="s">
        <v>1145</v>
      </c>
      <c r="FN35" s="258" t="s">
        <v>389</v>
      </c>
      <c r="FO35" s="258"/>
      <c r="FP35" s="258" t="s">
        <v>824</v>
      </c>
      <c r="FQ35" s="259">
        <f t="shared" si="0"/>
        <v>0</v>
      </c>
      <c r="FR35" s="260" t="s">
        <v>820</v>
      </c>
      <c r="FS35" s="260"/>
    </row>
    <row r="36" spans="1:175" s="276" customFormat="1" ht="11.4" hidden="1">
      <c r="A36" s="251" t="s">
        <v>393</v>
      </c>
      <c r="B36" s="251" t="s">
        <v>385</v>
      </c>
      <c r="C36" s="251" t="s">
        <v>394</v>
      </c>
      <c r="D36" s="251" t="s">
        <v>1</v>
      </c>
      <c r="E36" s="252" t="s">
        <v>830</v>
      </c>
      <c r="F36" s="251" t="s">
        <v>388</v>
      </c>
      <c r="G36" s="251"/>
      <c r="H36" s="253"/>
      <c r="I36" s="253"/>
      <c r="J36" s="253"/>
      <c r="K36" s="253"/>
      <c r="L36" s="253"/>
      <c r="M36" s="253"/>
      <c r="N36" s="253"/>
      <c r="O36" s="253"/>
      <c r="P36" s="253"/>
      <c r="Q36" s="253"/>
      <c r="R36" s="253"/>
      <c r="S36" s="253"/>
      <c r="T36" s="253"/>
      <c r="U36" s="253"/>
      <c r="V36" s="253"/>
      <c r="W36" s="253"/>
      <c r="X36" s="253"/>
      <c r="Y36" s="253"/>
      <c r="Z36" s="253"/>
      <c r="AA36" s="255">
        <f>50-50</f>
        <v>0</v>
      </c>
      <c r="AB36" s="253"/>
      <c r="AC36" s="253"/>
      <c r="AD36" s="253"/>
      <c r="AE36" s="253"/>
      <c r="AF36" s="253"/>
      <c r="AG36" s="253"/>
      <c r="AH36" s="253"/>
      <c r="AI36" s="253"/>
      <c r="AJ36" s="253"/>
      <c r="AK36" s="253"/>
      <c r="AL36" s="253"/>
      <c r="AM36" s="253"/>
      <c r="AN36" s="253"/>
      <c r="AO36" s="253"/>
      <c r="AP36" s="253"/>
      <c r="AQ36" s="253"/>
      <c r="AR36" s="253"/>
      <c r="AS36" s="253"/>
      <c r="AT36" s="255">
        <f>200-200</f>
        <v>0</v>
      </c>
      <c r="AU36" s="253"/>
      <c r="AV36" s="253"/>
      <c r="AW36" s="253"/>
      <c r="AX36" s="253"/>
      <c r="AY36" s="253"/>
      <c r="AZ36" s="253"/>
      <c r="BA36" s="253"/>
      <c r="BB36" s="253"/>
      <c r="BC36" s="253"/>
      <c r="BD36" s="253"/>
      <c r="BE36" s="255">
        <f>20-20</f>
        <v>0</v>
      </c>
      <c r="BF36" s="253"/>
      <c r="BG36" s="253"/>
      <c r="BH36" s="253"/>
      <c r="BI36" s="253"/>
      <c r="BJ36" s="253"/>
      <c r="BK36" s="253"/>
      <c r="BL36" s="253"/>
      <c r="BM36" s="253"/>
      <c r="BN36" s="253"/>
      <c r="BO36" s="253"/>
      <c r="BP36" s="253"/>
      <c r="BQ36" s="253"/>
      <c r="BR36" s="253"/>
      <c r="BS36" s="253"/>
      <c r="BT36" s="253"/>
      <c r="BU36" s="253"/>
      <c r="BV36" s="253"/>
      <c r="BW36" s="253"/>
      <c r="BX36" s="253"/>
      <c r="BY36" s="253"/>
      <c r="BZ36" s="253"/>
      <c r="CA36" s="253"/>
      <c r="CB36" s="253"/>
      <c r="CC36" s="253"/>
      <c r="CD36" s="253"/>
      <c r="CE36" s="253"/>
      <c r="CF36" s="253"/>
      <c r="CG36" s="253"/>
      <c r="CH36" s="253"/>
      <c r="CI36" s="253"/>
      <c r="CJ36" s="253"/>
      <c r="CK36" s="253"/>
      <c r="CL36" s="253"/>
      <c r="CM36" s="253"/>
      <c r="CN36" s="253"/>
      <c r="CO36" s="253"/>
      <c r="CP36" s="253"/>
      <c r="CQ36" s="253"/>
      <c r="CR36" s="253"/>
      <c r="CS36" s="253"/>
      <c r="CT36" s="253"/>
      <c r="CU36" s="253"/>
      <c r="CV36" s="253"/>
      <c r="CW36" s="253"/>
      <c r="CX36" s="253"/>
      <c r="CY36" s="253"/>
      <c r="CZ36" s="253"/>
      <c r="DA36" s="253"/>
      <c r="DB36" s="253"/>
      <c r="DC36" s="253"/>
      <c r="DD36" s="253"/>
      <c r="DE36" s="253"/>
      <c r="DF36" s="253"/>
      <c r="DG36" s="253"/>
      <c r="DH36" s="253"/>
      <c r="DI36" s="253"/>
      <c r="DJ36" s="253"/>
      <c r="DK36" s="253"/>
      <c r="DL36" s="253"/>
      <c r="DM36" s="253"/>
      <c r="DN36" s="253"/>
      <c r="DO36" s="253"/>
      <c r="DP36" s="253"/>
      <c r="DQ36" s="253"/>
      <c r="DR36" s="253"/>
      <c r="DS36" s="253"/>
      <c r="DT36" s="253"/>
      <c r="DU36" s="253"/>
      <c r="DV36" s="253"/>
      <c r="DW36" s="253"/>
      <c r="DX36" s="253"/>
      <c r="DY36" s="253"/>
      <c r="DZ36" s="253"/>
      <c r="EA36" s="253"/>
      <c r="EB36" s="253"/>
      <c r="EC36" s="253"/>
      <c r="ED36" s="253"/>
      <c r="EE36" s="253"/>
      <c r="EF36" s="253"/>
      <c r="EG36" s="253"/>
      <c r="EH36" s="253"/>
      <c r="EI36" s="253"/>
      <c r="EJ36" s="253"/>
      <c r="EK36" s="253"/>
      <c r="EL36" s="253"/>
      <c r="EM36" s="253"/>
      <c r="EN36" s="253"/>
      <c r="EO36" s="253"/>
      <c r="EP36" s="253"/>
      <c r="EQ36" s="253"/>
      <c r="ER36" s="253"/>
      <c r="ES36" s="253"/>
      <c r="ET36" s="253"/>
      <c r="EU36" s="253"/>
      <c r="EV36" s="253"/>
      <c r="EW36" s="253"/>
      <c r="EX36" s="253"/>
      <c r="EY36" s="253"/>
      <c r="EZ36" s="253"/>
      <c r="FA36" s="253"/>
      <c r="FB36" s="253"/>
      <c r="FC36" s="253"/>
      <c r="FD36" s="253"/>
      <c r="FE36" s="253"/>
      <c r="FF36" s="253"/>
      <c r="FG36" s="253"/>
      <c r="FH36" s="253"/>
      <c r="FI36" s="253"/>
      <c r="FJ36" s="253"/>
      <c r="FK36" s="253"/>
      <c r="FL36" s="256"/>
      <c r="FM36" s="257" t="s">
        <v>1145</v>
      </c>
      <c r="FN36" s="258" t="s">
        <v>389</v>
      </c>
      <c r="FO36" s="258"/>
      <c r="FP36" s="258" t="s">
        <v>824</v>
      </c>
      <c r="FQ36" s="259">
        <f t="shared" si="0"/>
        <v>0</v>
      </c>
      <c r="FR36" s="260" t="s">
        <v>820</v>
      </c>
      <c r="FS36" s="260"/>
    </row>
    <row r="37" spans="1:175" s="276" customFormat="1" ht="11.4" hidden="1">
      <c r="A37" s="251" t="s">
        <v>393</v>
      </c>
      <c r="B37" s="251" t="s">
        <v>385</v>
      </c>
      <c r="C37" s="251" t="s">
        <v>394</v>
      </c>
      <c r="D37" s="251" t="s">
        <v>291</v>
      </c>
      <c r="E37" s="252" t="s">
        <v>405</v>
      </c>
      <c r="F37" s="251" t="s">
        <v>388</v>
      </c>
      <c r="G37" s="251" t="s">
        <v>1157</v>
      </c>
      <c r="H37" s="253"/>
      <c r="I37" s="253"/>
      <c r="J37" s="253"/>
      <c r="K37" s="253"/>
      <c r="L37" s="253"/>
      <c r="M37" s="253"/>
      <c r="N37" s="253"/>
      <c r="O37" s="253"/>
      <c r="P37" s="253"/>
      <c r="Q37" s="253"/>
      <c r="R37" s="253"/>
      <c r="S37" s="253"/>
      <c r="T37" s="253"/>
      <c r="U37" s="253"/>
      <c r="V37" s="253"/>
      <c r="W37" s="253"/>
      <c r="X37" s="253"/>
      <c r="Y37" s="253"/>
      <c r="Z37" s="253"/>
      <c r="AA37" s="253"/>
      <c r="AB37" s="253"/>
      <c r="AC37" s="253"/>
      <c r="AD37" s="255">
        <f>50-50</f>
        <v>0</v>
      </c>
      <c r="AE37" s="253"/>
      <c r="AF37" s="255">
        <f>50-50</f>
        <v>0</v>
      </c>
      <c r="AG37" s="255">
        <f>50-50</f>
        <v>0</v>
      </c>
      <c r="AH37" s="253"/>
      <c r="AI37" s="253"/>
      <c r="AJ37" s="253"/>
      <c r="AK37" s="253"/>
      <c r="AL37" s="253"/>
      <c r="AM37" s="253"/>
      <c r="AN37" s="255">
        <f>100-100</f>
        <v>0</v>
      </c>
      <c r="AO37" s="253"/>
      <c r="AP37" s="253"/>
      <c r="AQ37" s="253"/>
      <c r="AR37" s="253"/>
      <c r="AS37" s="253"/>
      <c r="AT37" s="253"/>
      <c r="AU37" s="253"/>
      <c r="AV37" s="253"/>
      <c r="AW37" s="253"/>
      <c r="AX37" s="253"/>
      <c r="AY37" s="253"/>
      <c r="AZ37" s="253"/>
      <c r="BA37" s="253"/>
      <c r="BB37" s="253"/>
      <c r="BC37" s="253"/>
      <c r="BD37" s="253"/>
      <c r="BE37" s="253"/>
      <c r="BF37" s="253"/>
      <c r="BG37" s="253"/>
      <c r="BH37" s="253"/>
      <c r="BI37" s="253"/>
      <c r="BJ37" s="253"/>
      <c r="BK37" s="253"/>
      <c r="BL37" s="253"/>
      <c r="BM37" s="253"/>
      <c r="BN37" s="253"/>
      <c r="BO37" s="253"/>
      <c r="BP37" s="253"/>
      <c r="BQ37" s="253"/>
      <c r="BR37" s="253"/>
      <c r="BS37" s="253"/>
      <c r="BT37" s="253"/>
      <c r="BU37" s="253"/>
      <c r="BV37" s="253"/>
      <c r="BW37" s="253"/>
      <c r="BX37" s="253"/>
      <c r="BY37" s="253"/>
      <c r="BZ37" s="253"/>
      <c r="CA37" s="253"/>
      <c r="CB37" s="253"/>
      <c r="CC37" s="253"/>
      <c r="CD37" s="253"/>
      <c r="CE37" s="253"/>
      <c r="CF37" s="253"/>
      <c r="CG37" s="253"/>
      <c r="CH37" s="253"/>
      <c r="CI37" s="253"/>
      <c r="CJ37" s="253"/>
      <c r="CK37" s="253"/>
      <c r="CL37" s="253"/>
      <c r="CM37" s="253"/>
      <c r="CN37" s="253"/>
      <c r="CO37" s="253"/>
      <c r="CP37" s="253"/>
      <c r="CQ37" s="253"/>
      <c r="CR37" s="253"/>
      <c r="CS37" s="253"/>
      <c r="CT37" s="253"/>
      <c r="CU37" s="253"/>
      <c r="CV37" s="253"/>
      <c r="CW37" s="253"/>
      <c r="CX37" s="253"/>
      <c r="CY37" s="253"/>
      <c r="CZ37" s="253"/>
      <c r="DA37" s="253"/>
      <c r="DB37" s="253"/>
      <c r="DC37" s="253"/>
      <c r="DD37" s="253"/>
      <c r="DE37" s="253"/>
      <c r="DF37" s="253"/>
      <c r="DG37" s="253"/>
      <c r="DH37" s="253"/>
      <c r="DI37" s="253"/>
      <c r="DJ37" s="253"/>
      <c r="DK37" s="253"/>
      <c r="DL37" s="253"/>
      <c r="DM37" s="253"/>
      <c r="DN37" s="253"/>
      <c r="DO37" s="253"/>
      <c r="DP37" s="253"/>
      <c r="DQ37" s="253"/>
      <c r="DR37" s="253"/>
      <c r="DS37" s="253"/>
      <c r="DT37" s="253"/>
      <c r="DU37" s="253"/>
      <c r="DV37" s="253"/>
      <c r="DW37" s="253"/>
      <c r="DX37" s="253"/>
      <c r="DY37" s="253"/>
      <c r="DZ37" s="253"/>
      <c r="EA37" s="253"/>
      <c r="EB37" s="253"/>
      <c r="EC37" s="253"/>
      <c r="ED37" s="253"/>
      <c r="EE37" s="253"/>
      <c r="EF37" s="253"/>
      <c r="EG37" s="253"/>
      <c r="EH37" s="253"/>
      <c r="EI37" s="253"/>
      <c r="EJ37" s="253"/>
      <c r="EK37" s="253"/>
      <c r="EL37" s="253"/>
      <c r="EM37" s="253"/>
      <c r="EN37" s="253"/>
      <c r="EO37" s="253"/>
      <c r="EP37" s="253"/>
      <c r="EQ37" s="253"/>
      <c r="ER37" s="253"/>
      <c r="ES37" s="253"/>
      <c r="ET37" s="253"/>
      <c r="EU37" s="253"/>
      <c r="EV37" s="253"/>
      <c r="EW37" s="253"/>
      <c r="EX37" s="253"/>
      <c r="EY37" s="253"/>
      <c r="EZ37" s="253"/>
      <c r="FA37" s="253"/>
      <c r="FB37" s="253"/>
      <c r="FC37" s="253"/>
      <c r="FD37" s="253"/>
      <c r="FE37" s="253"/>
      <c r="FF37" s="253"/>
      <c r="FG37" s="253"/>
      <c r="FH37" s="253"/>
      <c r="FI37" s="253"/>
      <c r="FJ37" s="253"/>
      <c r="FK37" s="253"/>
      <c r="FL37" s="256"/>
      <c r="FM37" s="257" t="s">
        <v>1145</v>
      </c>
      <c r="FN37" s="258" t="s">
        <v>389</v>
      </c>
      <c r="FO37" s="258" t="s">
        <v>406</v>
      </c>
      <c r="FP37" s="258" t="s">
        <v>397</v>
      </c>
      <c r="FQ37" s="259">
        <f t="shared" si="0"/>
        <v>0</v>
      </c>
      <c r="FR37" s="260" t="s">
        <v>398</v>
      </c>
      <c r="FS37" s="260"/>
    </row>
    <row r="38" spans="1:175" s="276" customFormat="1" ht="11.4" hidden="1">
      <c r="A38" s="251" t="s">
        <v>393</v>
      </c>
      <c r="B38" s="251" t="s">
        <v>385</v>
      </c>
      <c r="C38" s="251" t="s">
        <v>394</v>
      </c>
      <c r="D38" s="251" t="s">
        <v>1</v>
      </c>
      <c r="E38" s="252" t="s">
        <v>405</v>
      </c>
      <c r="F38" s="251" t="s">
        <v>388</v>
      </c>
      <c r="G38" s="251" t="s">
        <v>1157</v>
      </c>
      <c r="H38" s="253"/>
      <c r="I38" s="253"/>
      <c r="J38" s="253"/>
      <c r="K38" s="253"/>
      <c r="L38" s="253"/>
      <c r="M38" s="253"/>
      <c r="N38" s="253"/>
      <c r="O38" s="253"/>
      <c r="P38" s="253"/>
      <c r="Q38" s="253"/>
      <c r="R38" s="253"/>
      <c r="S38" s="253"/>
      <c r="T38" s="253"/>
      <c r="U38" s="253"/>
      <c r="V38" s="253"/>
      <c r="W38" s="253"/>
      <c r="X38" s="253"/>
      <c r="Y38" s="253"/>
      <c r="Z38" s="255">
        <f>50-50</f>
        <v>0</v>
      </c>
      <c r="AA38" s="253"/>
      <c r="AB38" s="253"/>
      <c r="AC38" s="253"/>
      <c r="AD38" s="253"/>
      <c r="AE38" s="255">
        <f>50-50</f>
        <v>0</v>
      </c>
      <c r="AF38" s="253"/>
      <c r="AG38" s="253"/>
      <c r="AH38" s="253"/>
      <c r="AI38" s="253"/>
      <c r="AJ38" s="253"/>
      <c r="AK38" s="253"/>
      <c r="AL38" s="253"/>
      <c r="AM38" s="253"/>
      <c r="AN38" s="253"/>
      <c r="AO38" s="253"/>
      <c r="AP38" s="253"/>
      <c r="AQ38" s="253"/>
      <c r="AR38" s="253"/>
      <c r="AS38" s="253"/>
      <c r="AT38" s="255">
        <f>200-200</f>
        <v>0</v>
      </c>
      <c r="AU38" s="253"/>
      <c r="AV38" s="253"/>
      <c r="AW38" s="253"/>
      <c r="AX38" s="253"/>
      <c r="AY38" s="253"/>
      <c r="AZ38" s="253"/>
      <c r="BA38" s="253"/>
      <c r="BB38" s="253"/>
      <c r="BC38" s="253"/>
      <c r="BD38" s="253"/>
      <c r="BE38" s="253"/>
      <c r="BF38" s="253"/>
      <c r="BG38" s="253"/>
      <c r="BH38" s="253"/>
      <c r="BI38" s="253"/>
      <c r="BJ38" s="253"/>
      <c r="BK38" s="253"/>
      <c r="BL38" s="253"/>
      <c r="BM38" s="253"/>
      <c r="BN38" s="253"/>
      <c r="BO38" s="253"/>
      <c r="BP38" s="253"/>
      <c r="BQ38" s="253"/>
      <c r="BR38" s="253"/>
      <c r="BS38" s="253"/>
      <c r="BT38" s="253"/>
      <c r="BU38" s="253"/>
      <c r="BV38" s="253"/>
      <c r="BW38" s="253"/>
      <c r="BX38" s="253"/>
      <c r="BY38" s="253"/>
      <c r="BZ38" s="253"/>
      <c r="CA38" s="253"/>
      <c r="CB38" s="253"/>
      <c r="CC38" s="253"/>
      <c r="CD38" s="253"/>
      <c r="CE38" s="253"/>
      <c r="CF38" s="253"/>
      <c r="CG38" s="253"/>
      <c r="CH38" s="253"/>
      <c r="CI38" s="253"/>
      <c r="CJ38" s="253"/>
      <c r="CK38" s="253"/>
      <c r="CL38" s="253"/>
      <c r="CM38" s="253"/>
      <c r="CN38" s="253"/>
      <c r="CO38" s="253"/>
      <c r="CP38" s="253"/>
      <c r="CQ38" s="253"/>
      <c r="CR38" s="253"/>
      <c r="CS38" s="253"/>
      <c r="CT38" s="253"/>
      <c r="CU38" s="253"/>
      <c r="CV38" s="253"/>
      <c r="CW38" s="253"/>
      <c r="CX38" s="253"/>
      <c r="CY38" s="253"/>
      <c r="CZ38" s="253"/>
      <c r="DA38" s="253"/>
      <c r="DB38" s="253"/>
      <c r="DC38" s="253"/>
      <c r="DD38" s="253"/>
      <c r="DE38" s="253"/>
      <c r="DF38" s="253"/>
      <c r="DG38" s="253"/>
      <c r="DH38" s="253"/>
      <c r="DI38" s="253"/>
      <c r="DJ38" s="253"/>
      <c r="DK38" s="253"/>
      <c r="DL38" s="253"/>
      <c r="DM38" s="253"/>
      <c r="DN38" s="253"/>
      <c r="DO38" s="253"/>
      <c r="DP38" s="253"/>
      <c r="DQ38" s="253"/>
      <c r="DR38" s="253"/>
      <c r="DS38" s="253"/>
      <c r="DT38" s="253"/>
      <c r="DU38" s="253"/>
      <c r="DV38" s="253"/>
      <c r="DW38" s="253"/>
      <c r="DX38" s="253"/>
      <c r="DY38" s="253"/>
      <c r="DZ38" s="253"/>
      <c r="EA38" s="253"/>
      <c r="EB38" s="253"/>
      <c r="EC38" s="253"/>
      <c r="ED38" s="253"/>
      <c r="EE38" s="253"/>
      <c r="EF38" s="253"/>
      <c r="EG38" s="253"/>
      <c r="EH38" s="253"/>
      <c r="EI38" s="255">
        <f>100-100</f>
        <v>0</v>
      </c>
      <c r="EJ38" s="253"/>
      <c r="EK38" s="255">
        <f>100-100</f>
        <v>0</v>
      </c>
      <c r="EL38" s="253"/>
      <c r="EM38" s="253"/>
      <c r="EN38" s="255">
        <f>50-50</f>
        <v>0</v>
      </c>
      <c r="EO38" s="253"/>
      <c r="EP38" s="255">
        <f>200-200</f>
        <v>0</v>
      </c>
      <c r="EQ38" s="255">
        <f>20-20</f>
        <v>0</v>
      </c>
      <c r="ER38" s="253"/>
      <c r="ES38" s="255">
        <f>50-50</f>
        <v>0</v>
      </c>
      <c r="ET38" s="255">
        <f>50-50</f>
        <v>0</v>
      </c>
      <c r="EU38" s="255">
        <f>10-10</f>
        <v>0</v>
      </c>
      <c r="EV38" s="253"/>
      <c r="EW38" s="255">
        <f>50-50</f>
        <v>0</v>
      </c>
      <c r="EX38" s="255">
        <f>20-20</f>
        <v>0</v>
      </c>
      <c r="EY38" s="255">
        <f>20-20</f>
        <v>0</v>
      </c>
      <c r="EZ38" s="253"/>
      <c r="FA38" s="255">
        <f>50-50</f>
        <v>0</v>
      </c>
      <c r="FB38" s="255">
        <f>10-10</f>
        <v>0</v>
      </c>
      <c r="FC38" s="253"/>
      <c r="FD38" s="253"/>
      <c r="FE38" s="255">
        <f>10-10</f>
        <v>0</v>
      </c>
      <c r="FF38" s="253"/>
      <c r="FG38" s="253"/>
      <c r="FH38" s="253"/>
      <c r="FI38" s="253"/>
      <c r="FJ38" s="253"/>
      <c r="FK38" s="253"/>
      <c r="FL38" s="256"/>
      <c r="FM38" s="257" t="s">
        <v>1145</v>
      </c>
      <c r="FN38" s="258" t="s">
        <v>389</v>
      </c>
      <c r="FO38" s="258" t="s">
        <v>406</v>
      </c>
      <c r="FP38" s="258" t="s">
        <v>397</v>
      </c>
      <c r="FQ38" s="259">
        <f t="shared" si="0"/>
        <v>0</v>
      </c>
      <c r="FR38" s="260" t="s">
        <v>398</v>
      </c>
      <c r="FS38" s="260"/>
    </row>
    <row r="39" spans="1:175" s="276" customFormat="1" ht="11.4" hidden="1">
      <c r="A39" s="251" t="s">
        <v>393</v>
      </c>
      <c r="B39" s="251" t="s">
        <v>385</v>
      </c>
      <c r="C39" s="251" t="s">
        <v>407</v>
      </c>
      <c r="D39" s="251" t="s">
        <v>291</v>
      </c>
      <c r="E39" s="252" t="s">
        <v>971</v>
      </c>
      <c r="F39" s="251" t="s">
        <v>388</v>
      </c>
      <c r="G39" s="251"/>
      <c r="H39" s="253"/>
      <c r="I39" s="255">
        <f>200-200</f>
        <v>0</v>
      </c>
      <c r="J39" s="253"/>
      <c r="K39" s="253"/>
      <c r="L39" s="253"/>
      <c r="M39" s="253"/>
      <c r="N39" s="253"/>
      <c r="O39" s="253"/>
      <c r="P39" s="253"/>
      <c r="Q39" s="253"/>
      <c r="R39" s="253"/>
      <c r="S39" s="253"/>
      <c r="T39" s="253"/>
      <c r="U39" s="253"/>
      <c r="V39" s="253"/>
      <c r="W39" s="253"/>
      <c r="X39" s="253"/>
      <c r="Y39" s="253"/>
      <c r="Z39" s="253"/>
      <c r="AA39" s="253"/>
      <c r="AB39" s="253"/>
      <c r="AC39" s="253"/>
      <c r="AD39" s="253"/>
      <c r="AE39" s="253"/>
      <c r="AF39" s="253"/>
      <c r="AG39" s="253"/>
      <c r="AH39" s="253"/>
      <c r="AI39" s="253"/>
      <c r="AJ39" s="253"/>
      <c r="AK39" s="253"/>
      <c r="AL39" s="255">
        <f>500-500</f>
        <v>0</v>
      </c>
      <c r="AM39" s="253"/>
      <c r="AN39" s="253"/>
      <c r="AO39" s="253"/>
      <c r="AP39" s="253"/>
      <c r="AQ39" s="253"/>
      <c r="AR39" s="253"/>
      <c r="AS39" s="253"/>
      <c r="AT39" s="253"/>
      <c r="AU39" s="253"/>
      <c r="AV39" s="253"/>
      <c r="AW39" s="253"/>
      <c r="AX39" s="253"/>
      <c r="AY39" s="253"/>
      <c r="AZ39" s="253"/>
      <c r="BA39" s="253"/>
      <c r="BB39" s="253"/>
      <c r="BC39" s="255">
        <f>2000-2000</f>
        <v>0</v>
      </c>
      <c r="BD39" s="253"/>
      <c r="BE39" s="253"/>
      <c r="BF39" s="253"/>
      <c r="BG39" s="253"/>
      <c r="BH39" s="253"/>
      <c r="BI39" s="253"/>
      <c r="BJ39" s="253"/>
      <c r="BK39" s="253"/>
      <c r="BL39" s="253"/>
      <c r="BM39" s="253"/>
      <c r="BN39" s="253"/>
      <c r="BO39" s="253"/>
      <c r="BP39" s="253"/>
      <c r="BQ39" s="253"/>
      <c r="BR39" s="253"/>
      <c r="BS39" s="253"/>
      <c r="BT39" s="253"/>
      <c r="BU39" s="253"/>
      <c r="BV39" s="253"/>
      <c r="BW39" s="253"/>
      <c r="BX39" s="253"/>
      <c r="BY39" s="253"/>
      <c r="BZ39" s="253"/>
      <c r="CA39" s="253"/>
      <c r="CB39" s="253"/>
      <c r="CC39" s="253"/>
      <c r="CD39" s="253"/>
      <c r="CE39" s="253"/>
      <c r="CF39" s="253"/>
      <c r="CG39" s="253"/>
      <c r="CH39" s="253"/>
      <c r="CI39" s="253"/>
      <c r="CJ39" s="253"/>
      <c r="CK39" s="253"/>
      <c r="CL39" s="253"/>
      <c r="CM39" s="253"/>
      <c r="CN39" s="253"/>
      <c r="CO39" s="253"/>
      <c r="CP39" s="253"/>
      <c r="CQ39" s="253"/>
      <c r="CR39" s="253"/>
      <c r="CS39" s="253"/>
      <c r="CT39" s="253"/>
      <c r="CU39" s="253"/>
      <c r="CV39" s="253"/>
      <c r="CW39" s="253"/>
      <c r="CX39" s="253"/>
      <c r="CY39" s="253"/>
      <c r="CZ39" s="253"/>
      <c r="DA39" s="253"/>
      <c r="DB39" s="253"/>
      <c r="DC39" s="253"/>
      <c r="DD39" s="253"/>
      <c r="DE39" s="253"/>
      <c r="DF39" s="253"/>
      <c r="DG39" s="253"/>
      <c r="DH39" s="253"/>
      <c r="DI39" s="253"/>
      <c r="DJ39" s="253"/>
      <c r="DK39" s="253"/>
      <c r="DL39" s="253"/>
      <c r="DM39" s="253"/>
      <c r="DN39" s="253"/>
      <c r="DO39" s="253"/>
      <c r="DP39" s="253"/>
      <c r="DQ39" s="253"/>
      <c r="DR39" s="253"/>
      <c r="DS39" s="253"/>
      <c r="DT39" s="253"/>
      <c r="DU39" s="253"/>
      <c r="DV39" s="253"/>
      <c r="DW39" s="253"/>
      <c r="DX39" s="253"/>
      <c r="DY39" s="253"/>
      <c r="DZ39" s="253"/>
      <c r="EA39" s="253"/>
      <c r="EB39" s="253"/>
      <c r="EC39" s="253"/>
      <c r="ED39" s="253"/>
      <c r="EE39" s="253"/>
      <c r="EF39" s="253"/>
      <c r="EG39" s="253"/>
      <c r="EH39" s="253"/>
      <c r="EI39" s="253"/>
      <c r="EJ39" s="253"/>
      <c r="EK39" s="253"/>
      <c r="EL39" s="253"/>
      <c r="EM39" s="253"/>
      <c r="EN39" s="253"/>
      <c r="EO39" s="253"/>
      <c r="EP39" s="253"/>
      <c r="EQ39" s="253"/>
      <c r="ER39" s="253"/>
      <c r="ES39" s="253"/>
      <c r="ET39" s="253"/>
      <c r="EU39" s="253"/>
      <c r="EV39" s="253"/>
      <c r="EW39" s="253"/>
      <c r="EX39" s="253"/>
      <c r="EY39" s="253"/>
      <c r="EZ39" s="253"/>
      <c r="FA39" s="253"/>
      <c r="FB39" s="253"/>
      <c r="FC39" s="253"/>
      <c r="FD39" s="253"/>
      <c r="FE39" s="253"/>
      <c r="FF39" s="253"/>
      <c r="FG39" s="253"/>
      <c r="FH39" s="253"/>
      <c r="FI39" s="253"/>
      <c r="FJ39" s="253"/>
      <c r="FK39" s="253"/>
      <c r="FL39" s="256"/>
      <c r="FM39" s="257" t="s">
        <v>1145</v>
      </c>
      <c r="FN39" s="258" t="s">
        <v>389</v>
      </c>
      <c r="FO39" s="258"/>
      <c r="FP39" s="258" t="s">
        <v>409</v>
      </c>
      <c r="FQ39" s="259">
        <f t="shared" ref="FQ39:FQ71" si="3">SUM(H39:FK39)</f>
        <v>0</v>
      </c>
      <c r="FR39" s="260" t="s">
        <v>410</v>
      </c>
      <c r="FS39" s="260"/>
    </row>
    <row r="40" spans="1:175" s="276" customFormat="1" ht="11.4" hidden="1">
      <c r="A40" s="251" t="s">
        <v>393</v>
      </c>
      <c r="B40" s="251" t="s">
        <v>385</v>
      </c>
      <c r="C40" s="251" t="s">
        <v>407</v>
      </c>
      <c r="D40" s="251" t="s">
        <v>1</v>
      </c>
      <c r="E40" s="252" t="s">
        <v>971</v>
      </c>
      <c r="F40" s="251" t="s">
        <v>388</v>
      </c>
      <c r="G40" s="251"/>
      <c r="H40" s="253"/>
      <c r="I40" s="253"/>
      <c r="J40" s="253"/>
      <c r="K40" s="253"/>
      <c r="L40" s="253"/>
      <c r="M40" s="253"/>
      <c r="N40" s="254">
        <f>500-500+40</f>
        <v>40</v>
      </c>
      <c r="O40" s="254">
        <f>1000-1000+20</f>
        <v>20</v>
      </c>
      <c r="P40" s="255">
        <f>500-500</f>
        <v>0</v>
      </c>
      <c r="Q40" s="253"/>
      <c r="R40" s="253"/>
      <c r="S40" s="253"/>
      <c r="T40" s="253"/>
      <c r="U40" s="253"/>
      <c r="V40" s="253"/>
      <c r="W40" s="253"/>
      <c r="X40" s="253"/>
      <c r="Y40" s="253"/>
      <c r="Z40" s="253"/>
      <c r="AA40" s="255">
        <f>1500-1500</f>
        <v>0</v>
      </c>
      <c r="AB40" s="253"/>
      <c r="AC40" s="253"/>
      <c r="AD40" s="253"/>
      <c r="AE40" s="253"/>
      <c r="AF40" s="253"/>
      <c r="AG40" s="253"/>
      <c r="AH40" s="253"/>
      <c r="AI40" s="253"/>
      <c r="AJ40" s="253"/>
      <c r="AK40" s="253"/>
      <c r="AL40" s="253"/>
      <c r="AM40" s="253"/>
      <c r="AN40" s="253"/>
      <c r="AO40" s="253"/>
      <c r="AP40" s="253"/>
      <c r="AQ40" s="253"/>
      <c r="AR40" s="253"/>
      <c r="AS40" s="253"/>
      <c r="AT40" s="255">
        <f>2000-2000</f>
        <v>0</v>
      </c>
      <c r="AU40" s="253"/>
      <c r="AV40" s="253"/>
      <c r="AW40" s="253"/>
      <c r="AX40" s="253"/>
      <c r="AY40" s="253"/>
      <c r="AZ40" s="253"/>
      <c r="BA40" s="253"/>
      <c r="BB40" s="253"/>
      <c r="BC40" s="253"/>
      <c r="BD40" s="253"/>
      <c r="BE40" s="253"/>
      <c r="BF40" s="253"/>
      <c r="BG40" s="253"/>
      <c r="BH40" s="253"/>
      <c r="BI40" s="253"/>
      <c r="BJ40" s="253"/>
      <c r="BK40" s="253"/>
      <c r="BL40" s="253"/>
      <c r="BM40" s="253"/>
      <c r="BN40" s="253"/>
      <c r="BO40" s="253"/>
      <c r="BP40" s="253"/>
      <c r="BQ40" s="253"/>
      <c r="BR40" s="253"/>
      <c r="BS40" s="253"/>
      <c r="BT40" s="253"/>
      <c r="BU40" s="253"/>
      <c r="BV40" s="253"/>
      <c r="BW40" s="253"/>
      <c r="BX40" s="253"/>
      <c r="BY40" s="253"/>
      <c r="BZ40" s="253"/>
      <c r="CA40" s="253"/>
      <c r="CB40" s="253"/>
      <c r="CC40" s="253"/>
      <c r="CD40" s="253"/>
      <c r="CE40" s="253"/>
      <c r="CF40" s="253"/>
      <c r="CG40" s="253"/>
      <c r="CH40" s="253"/>
      <c r="CI40" s="253"/>
      <c r="CJ40" s="253"/>
      <c r="CK40" s="253"/>
      <c r="CL40" s="253"/>
      <c r="CM40" s="253"/>
      <c r="CN40" s="253"/>
      <c r="CO40" s="253"/>
      <c r="CP40" s="253"/>
      <c r="CQ40" s="253"/>
      <c r="CR40" s="253"/>
      <c r="CS40" s="253"/>
      <c r="CT40" s="253"/>
      <c r="CU40" s="253"/>
      <c r="CV40" s="253"/>
      <c r="CW40" s="253"/>
      <c r="CX40" s="253"/>
      <c r="CY40" s="253"/>
      <c r="CZ40" s="253"/>
      <c r="DA40" s="253"/>
      <c r="DB40" s="253"/>
      <c r="DC40" s="253"/>
      <c r="DD40" s="253"/>
      <c r="DE40" s="253"/>
      <c r="DF40" s="253"/>
      <c r="DG40" s="253"/>
      <c r="DH40" s="253"/>
      <c r="DI40" s="253"/>
      <c r="DJ40" s="253"/>
      <c r="DK40" s="253"/>
      <c r="DL40" s="253"/>
      <c r="DM40" s="253"/>
      <c r="DN40" s="253"/>
      <c r="DO40" s="253"/>
      <c r="DP40" s="253"/>
      <c r="DQ40" s="253"/>
      <c r="DR40" s="253"/>
      <c r="DS40" s="253"/>
      <c r="DT40" s="253"/>
      <c r="DU40" s="253"/>
      <c r="DV40" s="253"/>
      <c r="DW40" s="253"/>
      <c r="DX40" s="253"/>
      <c r="DY40" s="253"/>
      <c r="DZ40" s="253"/>
      <c r="EA40" s="253"/>
      <c r="EB40" s="253"/>
      <c r="EC40" s="253"/>
      <c r="ED40" s="253"/>
      <c r="EE40" s="253"/>
      <c r="EF40" s="253"/>
      <c r="EG40" s="253"/>
      <c r="EH40" s="253"/>
      <c r="EI40" s="253"/>
      <c r="EJ40" s="253"/>
      <c r="EK40" s="253"/>
      <c r="EL40" s="253"/>
      <c r="EM40" s="253"/>
      <c r="EN40" s="253"/>
      <c r="EO40" s="253"/>
      <c r="EP40" s="253"/>
      <c r="EQ40" s="253"/>
      <c r="ER40" s="253"/>
      <c r="ES40" s="253"/>
      <c r="ET40" s="253"/>
      <c r="EU40" s="253"/>
      <c r="EV40" s="253"/>
      <c r="EW40" s="253"/>
      <c r="EX40" s="253"/>
      <c r="EY40" s="253"/>
      <c r="EZ40" s="253"/>
      <c r="FA40" s="253"/>
      <c r="FB40" s="253"/>
      <c r="FC40" s="253"/>
      <c r="FD40" s="253"/>
      <c r="FE40" s="253"/>
      <c r="FF40" s="253"/>
      <c r="FG40" s="253"/>
      <c r="FH40" s="253"/>
      <c r="FI40" s="253"/>
      <c r="FJ40" s="253"/>
      <c r="FK40" s="253"/>
      <c r="FL40" s="256"/>
      <c r="FM40" s="257" t="s">
        <v>1145</v>
      </c>
      <c r="FN40" s="258" t="s">
        <v>389</v>
      </c>
      <c r="FO40" s="258"/>
      <c r="FP40" s="258" t="s">
        <v>409</v>
      </c>
      <c r="FQ40" s="259">
        <f t="shared" si="3"/>
        <v>60</v>
      </c>
      <c r="FR40" s="260" t="s">
        <v>410</v>
      </c>
      <c r="FS40" s="260"/>
    </row>
    <row r="41" spans="1:175" s="276" customFormat="1" ht="11.4" hidden="1">
      <c r="A41" s="251" t="s">
        <v>385</v>
      </c>
      <c r="B41" s="251" t="s">
        <v>385</v>
      </c>
      <c r="C41" s="251" t="s">
        <v>893</v>
      </c>
      <c r="D41" s="251" t="s">
        <v>291</v>
      </c>
      <c r="E41" s="252" t="s">
        <v>894</v>
      </c>
      <c r="F41" s="251" t="s">
        <v>388</v>
      </c>
      <c r="G41" s="251"/>
      <c r="H41" s="253"/>
      <c r="I41" s="253"/>
      <c r="J41" s="253"/>
      <c r="K41" s="253"/>
      <c r="L41" s="253"/>
      <c r="M41" s="253"/>
      <c r="N41" s="253"/>
      <c r="O41" s="253"/>
      <c r="P41" s="253"/>
      <c r="Q41" s="253"/>
      <c r="R41" s="253"/>
      <c r="S41" s="253"/>
      <c r="T41" s="253"/>
      <c r="U41" s="253"/>
      <c r="V41" s="253"/>
      <c r="W41" s="253"/>
      <c r="X41" s="253"/>
      <c r="Y41" s="253"/>
      <c r="Z41" s="253"/>
      <c r="AA41" s="253"/>
      <c r="AB41" s="253"/>
      <c r="AC41" s="253"/>
      <c r="AD41" s="253"/>
      <c r="AE41" s="253"/>
      <c r="AF41" s="253"/>
      <c r="AG41" s="253"/>
      <c r="AH41" s="253"/>
      <c r="AI41" s="253"/>
      <c r="AJ41" s="253"/>
      <c r="AK41" s="253"/>
      <c r="AL41" s="253"/>
      <c r="AM41" s="253"/>
      <c r="AN41" s="253"/>
      <c r="AO41" s="253"/>
      <c r="AP41" s="253"/>
      <c r="AQ41" s="253"/>
      <c r="AR41" s="253"/>
      <c r="AS41" s="253"/>
      <c r="AT41" s="253"/>
      <c r="AU41" s="253"/>
      <c r="AV41" s="253"/>
      <c r="AW41" s="253"/>
      <c r="AX41" s="253"/>
      <c r="AY41" s="253"/>
      <c r="AZ41" s="253"/>
      <c r="BA41" s="253"/>
      <c r="BB41" s="253"/>
      <c r="BC41" s="253"/>
      <c r="BD41" s="253"/>
      <c r="BE41" s="253"/>
      <c r="BF41" s="253"/>
      <c r="BG41" s="253"/>
      <c r="BH41" s="253"/>
      <c r="BI41" s="253"/>
      <c r="BJ41" s="253"/>
      <c r="BK41" s="253"/>
      <c r="BL41" s="253"/>
      <c r="BM41" s="253"/>
      <c r="BN41" s="253"/>
      <c r="BO41" s="253"/>
      <c r="BP41" s="253"/>
      <c r="BQ41" s="253"/>
      <c r="BR41" s="253"/>
      <c r="BS41" s="253"/>
      <c r="BT41" s="253"/>
      <c r="BU41" s="253"/>
      <c r="BV41" s="253"/>
      <c r="BW41" s="253"/>
      <c r="BX41" s="253"/>
      <c r="BY41" s="253"/>
      <c r="BZ41" s="253"/>
      <c r="CA41" s="253"/>
      <c r="CB41" s="253"/>
      <c r="CC41" s="253"/>
      <c r="CD41" s="253"/>
      <c r="CE41" s="253"/>
      <c r="CF41" s="253"/>
      <c r="CG41" s="253"/>
      <c r="CH41" s="253"/>
      <c r="CI41" s="253"/>
      <c r="CJ41" s="253"/>
      <c r="CK41" s="253"/>
      <c r="CL41" s="253"/>
      <c r="CM41" s="253"/>
      <c r="CN41" s="253"/>
      <c r="CO41" s="253"/>
      <c r="CP41" s="253"/>
      <c r="CQ41" s="253"/>
      <c r="CR41" s="253"/>
      <c r="CS41" s="253"/>
      <c r="CT41" s="253"/>
      <c r="CU41" s="253"/>
      <c r="CV41" s="253"/>
      <c r="CW41" s="253"/>
      <c r="CX41" s="253"/>
      <c r="CY41" s="253"/>
      <c r="CZ41" s="253"/>
      <c r="DA41" s="253"/>
      <c r="DB41" s="253"/>
      <c r="DC41" s="253"/>
      <c r="DD41" s="253"/>
      <c r="DE41" s="253"/>
      <c r="DF41" s="253"/>
      <c r="DG41" s="253"/>
      <c r="DH41" s="253"/>
      <c r="DI41" s="253"/>
      <c r="DJ41" s="253"/>
      <c r="DK41" s="253"/>
      <c r="DL41" s="253"/>
      <c r="DM41" s="253"/>
      <c r="DN41" s="253"/>
      <c r="DO41" s="253"/>
      <c r="DP41" s="253"/>
      <c r="DQ41" s="253"/>
      <c r="DR41" s="253"/>
      <c r="DS41" s="253"/>
      <c r="DT41" s="253"/>
      <c r="DU41" s="253"/>
      <c r="DV41" s="253"/>
      <c r="DW41" s="253"/>
      <c r="DX41" s="253"/>
      <c r="DY41" s="253"/>
      <c r="DZ41" s="253"/>
      <c r="EA41" s="253"/>
      <c r="EB41" s="253"/>
      <c r="EC41" s="253"/>
      <c r="ED41" s="253"/>
      <c r="EE41" s="253"/>
      <c r="EF41" s="253"/>
      <c r="EG41" s="253"/>
      <c r="EH41" s="253"/>
      <c r="EI41" s="253"/>
      <c r="EJ41" s="253"/>
      <c r="EK41" s="253"/>
      <c r="EL41" s="253"/>
      <c r="EM41" s="253"/>
      <c r="EN41" s="253"/>
      <c r="EO41" s="253"/>
      <c r="EP41" s="253"/>
      <c r="EQ41" s="253"/>
      <c r="ER41" s="253"/>
      <c r="ES41" s="253"/>
      <c r="ET41" s="253"/>
      <c r="EU41" s="253"/>
      <c r="EV41" s="253"/>
      <c r="EW41" s="253"/>
      <c r="EX41" s="253"/>
      <c r="EY41" s="253"/>
      <c r="EZ41" s="253"/>
      <c r="FA41" s="253"/>
      <c r="FB41" s="253"/>
      <c r="FC41" s="253"/>
      <c r="FD41" s="253"/>
      <c r="FE41" s="253"/>
      <c r="FF41" s="253"/>
      <c r="FG41" s="253"/>
      <c r="FH41" s="253"/>
      <c r="FI41" s="253"/>
      <c r="FJ41" s="253"/>
      <c r="FK41" s="253"/>
      <c r="FL41" s="256"/>
      <c r="FM41" s="257" t="s">
        <v>1145</v>
      </c>
      <c r="FN41" s="258" t="s">
        <v>389</v>
      </c>
      <c r="FO41" s="258"/>
      <c r="FP41" s="258" t="s">
        <v>895</v>
      </c>
      <c r="FQ41" s="259">
        <f t="shared" si="3"/>
        <v>0</v>
      </c>
      <c r="FR41" s="260" t="s">
        <v>410</v>
      </c>
      <c r="FS41" s="260"/>
    </row>
    <row r="42" spans="1:175" s="276" customFormat="1" ht="11.4" hidden="1">
      <c r="A42" s="251" t="s">
        <v>385</v>
      </c>
      <c r="B42" s="251" t="s">
        <v>385</v>
      </c>
      <c r="C42" s="251" t="s">
        <v>893</v>
      </c>
      <c r="D42" s="251" t="s">
        <v>1</v>
      </c>
      <c r="E42" s="252" t="s">
        <v>894</v>
      </c>
      <c r="F42" s="251" t="s">
        <v>388</v>
      </c>
      <c r="G42" s="251"/>
      <c r="H42" s="253"/>
      <c r="I42" s="253"/>
      <c r="J42" s="253"/>
      <c r="K42" s="253"/>
      <c r="L42" s="253"/>
      <c r="M42" s="253"/>
      <c r="N42" s="254">
        <f>200-200+100</f>
        <v>100</v>
      </c>
      <c r="O42" s="253"/>
      <c r="P42" s="253"/>
      <c r="Q42" s="253"/>
      <c r="R42" s="253"/>
      <c r="S42" s="253"/>
      <c r="T42" s="253"/>
      <c r="U42" s="253"/>
      <c r="V42" s="253"/>
      <c r="W42" s="253"/>
      <c r="X42" s="253"/>
      <c r="Y42" s="253"/>
      <c r="Z42" s="253"/>
      <c r="AA42" s="253"/>
      <c r="AB42" s="253"/>
      <c r="AC42" s="253"/>
      <c r="AD42" s="253"/>
      <c r="AE42" s="253"/>
      <c r="AF42" s="253"/>
      <c r="AG42" s="253"/>
      <c r="AH42" s="253"/>
      <c r="AI42" s="253"/>
      <c r="AJ42" s="253"/>
      <c r="AK42" s="253"/>
      <c r="AL42" s="253"/>
      <c r="AM42" s="253"/>
      <c r="AN42" s="253"/>
      <c r="AO42" s="253"/>
      <c r="AP42" s="253"/>
      <c r="AQ42" s="253"/>
      <c r="AR42" s="253"/>
      <c r="AS42" s="253"/>
      <c r="AT42" s="253"/>
      <c r="AU42" s="253"/>
      <c r="AV42" s="253"/>
      <c r="AW42" s="253"/>
      <c r="AX42" s="253"/>
      <c r="AY42" s="253"/>
      <c r="AZ42" s="253"/>
      <c r="BA42" s="253"/>
      <c r="BB42" s="253"/>
      <c r="BC42" s="253"/>
      <c r="BD42" s="253"/>
      <c r="BE42" s="253"/>
      <c r="BF42" s="253"/>
      <c r="BG42" s="253"/>
      <c r="BH42" s="253"/>
      <c r="BI42" s="253"/>
      <c r="BJ42" s="253"/>
      <c r="BK42" s="253"/>
      <c r="BL42" s="253"/>
      <c r="BM42" s="253"/>
      <c r="BN42" s="253"/>
      <c r="BO42" s="253"/>
      <c r="BP42" s="253"/>
      <c r="BQ42" s="253"/>
      <c r="BR42" s="253"/>
      <c r="BS42" s="253"/>
      <c r="BT42" s="253"/>
      <c r="BU42" s="253"/>
      <c r="BV42" s="253"/>
      <c r="BW42" s="253"/>
      <c r="BX42" s="253"/>
      <c r="BY42" s="253"/>
      <c r="BZ42" s="253"/>
      <c r="CA42" s="253"/>
      <c r="CB42" s="253"/>
      <c r="CC42" s="253"/>
      <c r="CD42" s="253"/>
      <c r="CE42" s="253"/>
      <c r="CF42" s="253"/>
      <c r="CG42" s="253"/>
      <c r="CH42" s="253"/>
      <c r="CI42" s="253"/>
      <c r="CJ42" s="253"/>
      <c r="CK42" s="253"/>
      <c r="CL42" s="253"/>
      <c r="CM42" s="253"/>
      <c r="CN42" s="253"/>
      <c r="CO42" s="253"/>
      <c r="CP42" s="253"/>
      <c r="CQ42" s="253"/>
      <c r="CR42" s="253"/>
      <c r="CS42" s="253"/>
      <c r="CT42" s="253"/>
      <c r="CU42" s="253"/>
      <c r="CV42" s="253"/>
      <c r="CW42" s="253"/>
      <c r="CX42" s="253"/>
      <c r="CY42" s="253"/>
      <c r="CZ42" s="253"/>
      <c r="DA42" s="253"/>
      <c r="DB42" s="253"/>
      <c r="DC42" s="253"/>
      <c r="DD42" s="253"/>
      <c r="DE42" s="253"/>
      <c r="DF42" s="253"/>
      <c r="DG42" s="253"/>
      <c r="DH42" s="253"/>
      <c r="DI42" s="253"/>
      <c r="DJ42" s="253"/>
      <c r="DK42" s="253"/>
      <c r="DL42" s="253"/>
      <c r="DM42" s="253"/>
      <c r="DN42" s="253"/>
      <c r="DO42" s="253"/>
      <c r="DP42" s="253"/>
      <c r="DQ42" s="253"/>
      <c r="DR42" s="253"/>
      <c r="DS42" s="253"/>
      <c r="DT42" s="253"/>
      <c r="DU42" s="253"/>
      <c r="DV42" s="253"/>
      <c r="DW42" s="253"/>
      <c r="DX42" s="253"/>
      <c r="DY42" s="253"/>
      <c r="DZ42" s="253"/>
      <c r="EA42" s="253"/>
      <c r="EB42" s="253"/>
      <c r="EC42" s="253"/>
      <c r="ED42" s="253"/>
      <c r="EE42" s="253"/>
      <c r="EF42" s="253"/>
      <c r="EG42" s="253"/>
      <c r="EH42" s="253"/>
      <c r="EI42" s="253"/>
      <c r="EJ42" s="253"/>
      <c r="EK42" s="253"/>
      <c r="EL42" s="253"/>
      <c r="EM42" s="253"/>
      <c r="EN42" s="253"/>
      <c r="EO42" s="253"/>
      <c r="EP42" s="253"/>
      <c r="EQ42" s="253"/>
      <c r="ER42" s="253"/>
      <c r="ES42" s="253"/>
      <c r="ET42" s="253"/>
      <c r="EU42" s="253"/>
      <c r="EV42" s="253"/>
      <c r="EW42" s="253"/>
      <c r="EX42" s="253"/>
      <c r="EY42" s="253"/>
      <c r="EZ42" s="253"/>
      <c r="FA42" s="253"/>
      <c r="FB42" s="253"/>
      <c r="FC42" s="253"/>
      <c r="FD42" s="253"/>
      <c r="FE42" s="253"/>
      <c r="FF42" s="253"/>
      <c r="FG42" s="253"/>
      <c r="FH42" s="255">
        <f>30-30</f>
        <v>0</v>
      </c>
      <c r="FI42" s="255">
        <f>30-30</f>
        <v>0</v>
      </c>
      <c r="FJ42" s="253"/>
      <c r="FK42" s="253"/>
      <c r="FL42" s="256"/>
      <c r="FM42" s="257" t="s">
        <v>1145</v>
      </c>
      <c r="FN42" s="258" t="s">
        <v>389</v>
      </c>
      <c r="FO42" s="258"/>
      <c r="FP42" s="258" t="s">
        <v>895</v>
      </c>
      <c r="FQ42" s="259">
        <f t="shared" si="3"/>
        <v>100</v>
      </c>
      <c r="FR42" s="260" t="s">
        <v>410</v>
      </c>
      <c r="FS42" s="260"/>
    </row>
    <row r="43" spans="1:175">
      <c r="A43" s="251" t="s">
        <v>393</v>
      </c>
      <c r="B43" s="251" t="s">
        <v>385</v>
      </c>
      <c r="C43" s="251" t="s">
        <v>411</v>
      </c>
      <c r="D43" s="251" t="s">
        <v>291</v>
      </c>
      <c r="E43" s="252" t="s">
        <v>831</v>
      </c>
      <c r="F43" s="251" t="s">
        <v>388</v>
      </c>
      <c r="G43" s="251" t="s">
        <v>1158</v>
      </c>
      <c r="H43" s="253"/>
      <c r="I43" s="253"/>
      <c r="J43" s="253"/>
      <c r="K43" s="253"/>
      <c r="L43" s="253"/>
      <c r="M43" s="253"/>
      <c r="N43" s="253"/>
      <c r="O43" s="253"/>
      <c r="P43" s="253"/>
      <c r="Q43" s="253"/>
      <c r="R43" s="253"/>
      <c r="S43" s="253"/>
      <c r="T43" s="253"/>
      <c r="U43" s="253"/>
      <c r="V43" s="253"/>
      <c r="W43" s="253"/>
      <c r="X43" s="253"/>
      <c r="Y43" s="253"/>
      <c r="Z43" s="253"/>
      <c r="AA43" s="253"/>
      <c r="AB43" s="253"/>
      <c r="AC43" s="253"/>
      <c r="AD43" s="253"/>
      <c r="AE43" s="253"/>
      <c r="AF43" s="255">
        <f>100-100</f>
        <v>0</v>
      </c>
      <c r="AG43" s="253"/>
      <c r="AH43" s="253"/>
      <c r="AI43" s="253"/>
      <c r="AJ43" s="253"/>
      <c r="AK43" s="253"/>
      <c r="AL43" s="255">
        <f>100-100</f>
        <v>0</v>
      </c>
      <c r="AM43" s="253"/>
      <c r="AN43" s="253"/>
      <c r="AO43" s="253"/>
      <c r="AP43" s="253"/>
      <c r="AQ43" s="253"/>
      <c r="AR43" s="253"/>
      <c r="AS43" s="253"/>
      <c r="AT43" s="253"/>
      <c r="AU43" s="253"/>
      <c r="AV43" s="253"/>
      <c r="AW43" s="253"/>
      <c r="AX43" s="253"/>
      <c r="AY43" s="253"/>
      <c r="AZ43" s="253"/>
      <c r="BA43" s="253"/>
      <c r="BB43" s="253"/>
      <c r="BC43" s="255">
        <f>100-100</f>
        <v>0</v>
      </c>
      <c r="BD43" s="253"/>
      <c r="BE43" s="253"/>
      <c r="BF43" s="253"/>
      <c r="BG43" s="253"/>
      <c r="BH43" s="253"/>
      <c r="BI43" s="253"/>
      <c r="BJ43" s="253"/>
      <c r="BK43" s="253"/>
      <c r="BL43" s="253"/>
      <c r="BM43" s="253"/>
      <c r="BN43" s="253"/>
      <c r="BO43" s="253"/>
      <c r="BP43" s="253"/>
      <c r="BQ43" s="253"/>
      <c r="BR43" s="253"/>
      <c r="BS43" s="253"/>
      <c r="BT43" s="253"/>
      <c r="BU43" s="253"/>
      <c r="BV43" s="253"/>
      <c r="BW43" s="253"/>
      <c r="BX43" s="253"/>
      <c r="BY43" s="253"/>
      <c r="BZ43" s="253"/>
      <c r="CA43" s="253"/>
      <c r="CB43" s="253"/>
      <c r="CC43" s="253"/>
      <c r="CD43" s="253"/>
      <c r="CE43" s="253"/>
      <c r="CF43" s="253"/>
      <c r="CG43" s="253"/>
      <c r="CH43" s="253"/>
      <c r="CI43" s="253"/>
      <c r="CJ43" s="253"/>
      <c r="CK43" s="253"/>
      <c r="CL43" s="253"/>
      <c r="CM43" s="253"/>
      <c r="CN43" s="253"/>
      <c r="CO43" s="253"/>
      <c r="CP43" s="253"/>
      <c r="CQ43" s="253"/>
      <c r="CR43" s="253"/>
      <c r="CS43" s="253"/>
      <c r="CT43" s="253"/>
      <c r="CU43" s="253"/>
      <c r="CV43" s="253"/>
      <c r="CW43" s="253"/>
      <c r="CX43" s="253"/>
      <c r="CY43" s="253"/>
      <c r="CZ43" s="253"/>
      <c r="DA43" s="253"/>
      <c r="DB43" s="253"/>
      <c r="DC43" s="253"/>
      <c r="DD43" s="253"/>
      <c r="DE43" s="253"/>
      <c r="DF43" s="253"/>
      <c r="DG43" s="253"/>
      <c r="DH43" s="253"/>
      <c r="DI43" s="253"/>
      <c r="DJ43" s="253"/>
      <c r="DK43" s="253"/>
      <c r="DL43" s="253"/>
      <c r="DM43" s="253"/>
      <c r="DN43" s="253"/>
      <c r="DO43" s="253"/>
      <c r="DP43" s="253"/>
      <c r="DQ43" s="253"/>
      <c r="DR43" s="253"/>
      <c r="DS43" s="253"/>
      <c r="DT43" s="253"/>
      <c r="DU43" s="253"/>
      <c r="DV43" s="253"/>
      <c r="DW43" s="253"/>
      <c r="DX43" s="253"/>
      <c r="DY43" s="253"/>
      <c r="DZ43" s="253"/>
      <c r="EA43" s="253"/>
      <c r="EB43" s="253"/>
      <c r="EC43" s="253"/>
      <c r="ED43" s="253"/>
      <c r="EE43" s="253"/>
      <c r="EF43" s="253"/>
      <c r="EG43" s="253"/>
      <c r="EH43" s="253"/>
      <c r="EI43" s="253"/>
      <c r="EJ43" s="253"/>
      <c r="EK43" s="253"/>
      <c r="EL43" s="253"/>
      <c r="EM43" s="253"/>
      <c r="EN43" s="253"/>
      <c r="EO43" s="253"/>
      <c r="EP43" s="253"/>
      <c r="EQ43" s="253"/>
      <c r="ER43" s="253"/>
      <c r="ES43" s="253"/>
      <c r="ET43" s="253"/>
      <c r="EU43" s="253"/>
      <c r="EV43" s="253"/>
      <c r="EW43" s="253"/>
      <c r="EX43" s="253"/>
      <c r="EY43" s="253"/>
      <c r="EZ43" s="253"/>
      <c r="FA43" s="253"/>
      <c r="FB43" s="253"/>
      <c r="FC43" s="253"/>
      <c r="FD43" s="253"/>
      <c r="FE43" s="253"/>
      <c r="FF43" s="253"/>
      <c r="FG43" s="253"/>
      <c r="FH43" s="253"/>
      <c r="FI43" s="253"/>
      <c r="FJ43" s="253"/>
      <c r="FK43" s="253"/>
      <c r="FL43" s="256"/>
      <c r="FM43" s="257" t="s">
        <v>1145</v>
      </c>
      <c r="FN43" s="258" t="s">
        <v>389</v>
      </c>
      <c r="FO43" s="258" t="s">
        <v>833</v>
      </c>
      <c r="FP43" s="258" t="s">
        <v>834</v>
      </c>
      <c r="FQ43" s="259">
        <f t="shared" si="3"/>
        <v>0</v>
      </c>
      <c r="FR43" s="260" t="s">
        <v>433</v>
      </c>
      <c r="FS43" s="260"/>
    </row>
    <row r="44" spans="1:175">
      <c r="A44" s="251" t="s">
        <v>393</v>
      </c>
      <c r="B44" s="251" t="s">
        <v>385</v>
      </c>
      <c r="C44" s="251" t="s">
        <v>411</v>
      </c>
      <c r="D44" s="251" t="s">
        <v>1</v>
      </c>
      <c r="E44" s="252" t="s">
        <v>831</v>
      </c>
      <c r="F44" s="251" t="s">
        <v>388</v>
      </c>
      <c r="G44" s="251" t="s">
        <v>1158</v>
      </c>
      <c r="H44" s="253"/>
      <c r="I44" s="253"/>
      <c r="J44" s="253"/>
      <c r="K44" s="253"/>
      <c r="L44" s="253"/>
      <c r="M44" s="253"/>
      <c r="N44" s="255">
        <f>100-100</f>
        <v>0</v>
      </c>
      <c r="O44" s="255">
        <f>100-100</f>
        <v>0</v>
      </c>
      <c r="P44" s="255">
        <f>100-100</f>
        <v>0</v>
      </c>
      <c r="Q44" s="253"/>
      <c r="R44" s="253"/>
      <c r="S44" s="253"/>
      <c r="T44" s="253"/>
      <c r="U44" s="253"/>
      <c r="V44" s="253"/>
      <c r="W44" s="253"/>
      <c r="X44" s="253"/>
      <c r="Y44" s="253"/>
      <c r="Z44" s="253"/>
      <c r="AA44" s="255">
        <f>100-100</f>
        <v>0</v>
      </c>
      <c r="AB44" s="255">
        <f>100-100</f>
        <v>0</v>
      </c>
      <c r="AC44" s="253"/>
      <c r="AD44" s="253"/>
      <c r="AE44" s="253"/>
      <c r="AF44" s="253"/>
      <c r="AG44" s="253"/>
      <c r="AH44" s="253"/>
      <c r="AI44" s="253"/>
      <c r="AJ44" s="255">
        <f>100-100</f>
        <v>0</v>
      </c>
      <c r="AK44" s="253"/>
      <c r="AL44" s="253"/>
      <c r="AM44" s="253"/>
      <c r="AN44" s="253"/>
      <c r="AO44" s="253"/>
      <c r="AP44" s="253"/>
      <c r="AQ44" s="253"/>
      <c r="AR44" s="253"/>
      <c r="AS44" s="253"/>
      <c r="AT44" s="255">
        <f>100-100</f>
        <v>0</v>
      </c>
      <c r="AU44" s="253"/>
      <c r="AV44" s="253"/>
      <c r="AW44" s="253"/>
      <c r="AX44" s="253"/>
      <c r="AY44" s="253"/>
      <c r="AZ44" s="253"/>
      <c r="BA44" s="253"/>
      <c r="BB44" s="253"/>
      <c r="BC44" s="253"/>
      <c r="BD44" s="253"/>
      <c r="BE44" s="253"/>
      <c r="BF44" s="253"/>
      <c r="BG44" s="253"/>
      <c r="BH44" s="253"/>
      <c r="BI44" s="253"/>
      <c r="BJ44" s="253"/>
      <c r="BK44" s="253"/>
      <c r="BL44" s="253"/>
      <c r="BM44" s="253"/>
      <c r="BN44" s="253"/>
      <c r="BO44" s="253"/>
      <c r="BP44" s="253"/>
      <c r="BQ44" s="253"/>
      <c r="BR44" s="253"/>
      <c r="BS44" s="253"/>
      <c r="BT44" s="253"/>
      <c r="BU44" s="253"/>
      <c r="BV44" s="253"/>
      <c r="BW44" s="253"/>
      <c r="BX44" s="253"/>
      <c r="BY44" s="253"/>
      <c r="BZ44" s="253"/>
      <c r="CA44" s="253"/>
      <c r="CB44" s="253"/>
      <c r="CC44" s="253"/>
      <c r="CD44" s="253"/>
      <c r="CE44" s="253"/>
      <c r="CF44" s="253"/>
      <c r="CG44" s="253"/>
      <c r="CH44" s="253"/>
      <c r="CI44" s="253"/>
      <c r="CJ44" s="253"/>
      <c r="CK44" s="253"/>
      <c r="CL44" s="253"/>
      <c r="CM44" s="253"/>
      <c r="CN44" s="253"/>
      <c r="CO44" s="253"/>
      <c r="CP44" s="253"/>
      <c r="CQ44" s="253"/>
      <c r="CR44" s="253"/>
      <c r="CS44" s="253"/>
      <c r="CT44" s="253"/>
      <c r="CU44" s="253"/>
      <c r="CV44" s="253"/>
      <c r="CW44" s="253"/>
      <c r="CX44" s="253"/>
      <c r="CY44" s="253"/>
      <c r="CZ44" s="253"/>
      <c r="DA44" s="253"/>
      <c r="DB44" s="253"/>
      <c r="DC44" s="253"/>
      <c r="DD44" s="253"/>
      <c r="DE44" s="253"/>
      <c r="DF44" s="253"/>
      <c r="DG44" s="253"/>
      <c r="DH44" s="253"/>
      <c r="DI44" s="253"/>
      <c r="DJ44" s="253"/>
      <c r="DK44" s="253"/>
      <c r="DL44" s="253"/>
      <c r="DM44" s="253"/>
      <c r="DN44" s="253"/>
      <c r="DO44" s="253"/>
      <c r="DP44" s="253"/>
      <c r="DQ44" s="253"/>
      <c r="DR44" s="253"/>
      <c r="DS44" s="253"/>
      <c r="DT44" s="253"/>
      <c r="DU44" s="253"/>
      <c r="DV44" s="253"/>
      <c r="DW44" s="253"/>
      <c r="DX44" s="253"/>
      <c r="DY44" s="253"/>
      <c r="DZ44" s="253"/>
      <c r="EA44" s="253"/>
      <c r="EB44" s="253"/>
      <c r="EC44" s="253"/>
      <c r="ED44" s="253"/>
      <c r="EE44" s="253"/>
      <c r="EF44" s="253"/>
      <c r="EG44" s="255">
        <f>100-100</f>
        <v>0</v>
      </c>
      <c r="EH44" s="255">
        <f>100-100</f>
        <v>0</v>
      </c>
      <c r="EI44" s="253"/>
      <c r="EJ44" s="253"/>
      <c r="EK44" s="255">
        <f>100-100</f>
        <v>0</v>
      </c>
      <c r="EL44" s="253"/>
      <c r="EM44" s="253"/>
      <c r="EN44" s="255">
        <f>100-100</f>
        <v>0</v>
      </c>
      <c r="EO44" s="253"/>
      <c r="EP44" s="255">
        <f>100-100</f>
        <v>0</v>
      </c>
      <c r="EQ44" s="253"/>
      <c r="ER44" s="253"/>
      <c r="ES44" s="253"/>
      <c r="ET44" s="253"/>
      <c r="EU44" s="253"/>
      <c r="EV44" s="253"/>
      <c r="EW44" s="253"/>
      <c r="EX44" s="253"/>
      <c r="EY44" s="253"/>
      <c r="EZ44" s="253"/>
      <c r="FA44" s="253"/>
      <c r="FB44" s="253"/>
      <c r="FC44" s="253"/>
      <c r="FD44" s="253"/>
      <c r="FE44" s="253"/>
      <c r="FF44" s="253"/>
      <c r="FG44" s="253"/>
      <c r="FH44" s="253"/>
      <c r="FI44" s="253"/>
      <c r="FJ44" s="253"/>
      <c r="FK44" s="253"/>
      <c r="FL44" s="256"/>
      <c r="FM44" s="257" t="s">
        <v>1145</v>
      </c>
      <c r="FN44" s="258" t="s">
        <v>389</v>
      </c>
      <c r="FO44" s="258" t="s">
        <v>833</v>
      </c>
      <c r="FP44" s="258" t="s">
        <v>834</v>
      </c>
      <c r="FQ44" s="259">
        <f t="shared" si="3"/>
        <v>0</v>
      </c>
      <c r="FR44" s="260" t="s">
        <v>433</v>
      </c>
      <c r="FS44" s="260"/>
    </row>
    <row r="45" spans="1:175">
      <c r="A45" s="251" t="s">
        <v>417</v>
      </c>
      <c r="B45" s="251" t="s">
        <v>385</v>
      </c>
      <c r="C45" s="251" t="s">
        <v>411</v>
      </c>
      <c r="D45" s="251" t="s">
        <v>291</v>
      </c>
      <c r="E45" s="252" t="s">
        <v>975</v>
      </c>
      <c r="F45" s="251" t="s">
        <v>388</v>
      </c>
      <c r="G45" s="251" t="s">
        <v>1159</v>
      </c>
      <c r="H45" s="253"/>
      <c r="I45" s="253"/>
      <c r="J45" s="253"/>
      <c r="K45" s="253"/>
      <c r="L45" s="253"/>
      <c r="M45" s="253"/>
      <c r="N45" s="253"/>
      <c r="O45" s="253"/>
      <c r="P45" s="253"/>
      <c r="Q45" s="253"/>
      <c r="R45" s="253"/>
      <c r="S45" s="253"/>
      <c r="T45" s="253"/>
      <c r="U45" s="253"/>
      <c r="V45" s="253"/>
      <c r="W45" s="253"/>
      <c r="X45" s="253"/>
      <c r="Y45" s="253"/>
      <c r="Z45" s="253"/>
      <c r="AA45" s="253"/>
      <c r="AB45" s="253"/>
      <c r="AC45" s="253"/>
      <c r="AD45" s="255">
        <f>40-40</f>
        <v>0</v>
      </c>
      <c r="AE45" s="253"/>
      <c r="AF45" s="253"/>
      <c r="AG45" s="253"/>
      <c r="AH45" s="253"/>
      <c r="AI45" s="253"/>
      <c r="AJ45" s="253"/>
      <c r="AK45" s="253"/>
      <c r="AL45" s="253"/>
      <c r="AM45" s="253"/>
      <c r="AN45" s="253"/>
      <c r="AO45" s="253"/>
      <c r="AP45" s="253"/>
      <c r="AQ45" s="253"/>
      <c r="AR45" s="253"/>
      <c r="AS45" s="253"/>
      <c r="AT45" s="253"/>
      <c r="AU45" s="253"/>
      <c r="AV45" s="253"/>
      <c r="AW45" s="253"/>
      <c r="AX45" s="253"/>
      <c r="AY45" s="253"/>
      <c r="AZ45" s="253"/>
      <c r="BA45" s="253"/>
      <c r="BB45" s="253"/>
      <c r="BC45" s="255">
        <f>20-20</f>
        <v>0</v>
      </c>
      <c r="BD45" s="253"/>
      <c r="BE45" s="253"/>
      <c r="BF45" s="253"/>
      <c r="BG45" s="253"/>
      <c r="BH45" s="253"/>
      <c r="BI45" s="253"/>
      <c r="BJ45" s="253"/>
      <c r="BK45" s="253"/>
      <c r="BL45" s="253"/>
      <c r="BM45" s="253"/>
      <c r="BN45" s="253"/>
      <c r="BO45" s="253"/>
      <c r="BP45" s="253"/>
      <c r="BQ45" s="253"/>
      <c r="BR45" s="253"/>
      <c r="BS45" s="253"/>
      <c r="BT45" s="253"/>
      <c r="BU45" s="253"/>
      <c r="BV45" s="253"/>
      <c r="BW45" s="253"/>
      <c r="BX45" s="253"/>
      <c r="BY45" s="253"/>
      <c r="BZ45" s="253"/>
      <c r="CA45" s="253"/>
      <c r="CB45" s="253"/>
      <c r="CC45" s="253"/>
      <c r="CD45" s="253"/>
      <c r="CE45" s="253"/>
      <c r="CF45" s="253"/>
      <c r="CG45" s="253"/>
      <c r="CH45" s="253"/>
      <c r="CI45" s="253"/>
      <c r="CJ45" s="253"/>
      <c r="CK45" s="253"/>
      <c r="CL45" s="253"/>
      <c r="CM45" s="253"/>
      <c r="CN45" s="253"/>
      <c r="CO45" s="253"/>
      <c r="CP45" s="253"/>
      <c r="CQ45" s="253"/>
      <c r="CR45" s="253"/>
      <c r="CS45" s="253"/>
      <c r="CT45" s="253"/>
      <c r="CU45" s="253"/>
      <c r="CV45" s="253"/>
      <c r="CW45" s="253"/>
      <c r="CX45" s="253"/>
      <c r="CY45" s="253"/>
      <c r="CZ45" s="253"/>
      <c r="DA45" s="253"/>
      <c r="DB45" s="253"/>
      <c r="DC45" s="253"/>
      <c r="DD45" s="253"/>
      <c r="DE45" s="253"/>
      <c r="DF45" s="253"/>
      <c r="DG45" s="253"/>
      <c r="DH45" s="253"/>
      <c r="DI45" s="253"/>
      <c r="DJ45" s="253"/>
      <c r="DK45" s="253"/>
      <c r="DL45" s="253"/>
      <c r="DM45" s="253"/>
      <c r="DN45" s="253"/>
      <c r="DO45" s="253"/>
      <c r="DP45" s="253"/>
      <c r="DQ45" s="253"/>
      <c r="DR45" s="253"/>
      <c r="DS45" s="253"/>
      <c r="DT45" s="253"/>
      <c r="DU45" s="253"/>
      <c r="DV45" s="253"/>
      <c r="DW45" s="253"/>
      <c r="DX45" s="253"/>
      <c r="DY45" s="253"/>
      <c r="DZ45" s="253"/>
      <c r="EA45" s="253"/>
      <c r="EB45" s="253"/>
      <c r="EC45" s="253"/>
      <c r="ED45" s="253"/>
      <c r="EE45" s="253"/>
      <c r="EF45" s="253"/>
      <c r="EG45" s="253"/>
      <c r="EH45" s="253"/>
      <c r="EI45" s="253"/>
      <c r="EJ45" s="253"/>
      <c r="EK45" s="253"/>
      <c r="EL45" s="253"/>
      <c r="EM45" s="253"/>
      <c r="EN45" s="253"/>
      <c r="EO45" s="253"/>
      <c r="EP45" s="253"/>
      <c r="EQ45" s="253"/>
      <c r="ER45" s="253"/>
      <c r="ES45" s="253"/>
      <c r="ET45" s="253"/>
      <c r="EU45" s="253"/>
      <c r="EV45" s="253"/>
      <c r="EW45" s="253"/>
      <c r="EX45" s="253"/>
      <c r="EY45" s="253"/>
      <c r="EZ45" s="253"/>
      <c r="FA45" s="253"/>
      <c r="FB45" s="253"/>
      <c r="FC45" s="253"/>
      <c r="FD45" s="253"/>
      <c r="FE45" s="253"/>
      <c r="FF45" s="253"/>
      <c r="FG45" s="253"/>
      <c r="FH45" s="253"/>
      <c r="FI45" s="253"/>
      <c r="FJ45" s="253"/>
      <c r="FK45" s="253"/>
      <c r="FL45" s="256"/>
      <c r="FM45" s="257" t="s">
        <v>1145</v>
      </c>
      <c r="FN45" s="258" t="s">
        <v>389</v>
      </c>
      <c r="FO45" s="258" t="s">
        <v>976</v>
      </c>
      <c r="FP45" s="258" t="s">
        <v>977</v>
      </c>
      <c r="FQ45" s="259">
        <f t="shared" si="3"/>
        <v>0</v>
      </c>
      <c r="FR45" s="260" t="s">
        <v>433</v>
      </c>
      <c r="FS45" s="260"/>
    </row>
    <row r="46" spans="1:175">
      <c r="A46" s="251" t="s">
        <v>417</v>
      </c>
      <c r="B46" s="251" t="s">
        <v>385</v>
      </c>
      <c r="C46" s="251" t="s">
        <v>411</v>
      </c>
      <c r="D46" s="251" t="s">
        <v>1</v>
      </c>
      <c r="E46" s="252" t="s">
        <v>975</v>
      </c>
      <c r="F46" s="251" t="s">
        <v>388</v>
      </c>
      <c r="G46" s="251" t="s">
        <v>1159</v>
      </c>
      <c r="H46" s="253"/>
      <c r="I46" s="253"/>
      <c r="J46" s="253"/>
      <c r="K46" s="253"/>
      <c r="L46" s="253"/>
      <c r="M46" s="253"/>
      <c r="N46" s="253"/>
      <c r="O46" s="253"/>
      <c r="P46" s="253"/>
      <c r="Q46" s="253"/>
      <c r="R46" s="253"/>
      <c r="S46" s="253"/>
      <c r="T46" s="253"/>
      <c r="U46" s="253"/>
      <c r="V46" s="253"/>
      <c r="W46" s="253"/>
      <c r="X46" s="253"/>
      <c r="Y46" s="253"/>
      <c r="Z46" s="253"/>
      <c r="AA46" s="253"/>
      <c r="AB46" s="253"/>
      <c r="AC46" s="253"/>
      <c r="AD46" s="253"/>
      <c r="AE46" s="253"/>
      <c r="AF46" s="253"/>
      <c r="AG46" s="253"/>
      <c r="AH46" s="253"/>
      <c r="AI46" s="253"/>
      <c r="AJ46" s="253"/>
      <c r="AK46" s="253"/>
      <c r="AL46" s="253"/>
      <c r="AM46" s="253"/>
      <c r="AN46" s="253"/>
      <c r="AO46" s="253"/>
      <c r="AP46" s="253"/>
      <c r="AQ46" s="253"/>
      <c r="AR46" s="253"/>
      <c r="AS46" s="253"/>
      <c r="AT46" s="253"/>
      <c r="AU46" s="253"/>
      <c r="AV46" s="253"/>
      <c r="AW46" s="253"/>
      <c r="AX46" s="253"/>
      <c r="AY46" s="253"/>
      <c r="AZ46" s="253"/>
      <c r="BA46" s="253"/>
      <c r="BB46" s="253"/>
      <c r="BC46" s="253"/>
      <c r="BD46" s="253"/>
      <c r="BE46" s="253"/>
      <c r="BF46" s="253"/>
      <c r="BG46" s="253"/>
      <c r="BH46" s="253"/>
      <c r="BI46" s="253"/>
      <c r="BJ46" s="253"/>
      <c r="BK46" s="253"/>
      <c r="BL46" s="253"/>
      <c r="BM46" s="253"/>
      <c r="BN46" s="253"/>
      <c r="BO46" s="253"/>
      <c r="BP46" s="253"/>
      <c r="BQ46" s="255">
        <f>20-20</f>
        <v>0</v>
      </c>
      <c r="BR46" s="253"/>
      <c r="BS46" s="253"/>
      <c r="BT46" s="253"/>
      <c r="BU46" s="253"/>
      <c r="BV46" s="253"/>
      <c r="BW46" s="253"/>
      <c r="BX46" s="253"/>
      <c r="BY46" s="253"/>
      <c r="BZ46" s="253"/>
      <c r="CA46" s="253"/>
      <c r="CB46" s="253"/>
      <c r="CC46" s="255">
        <f>20-20</f>
        <v>0</v>
      </c>
      <c r="CD46" s="253"/>
      <c r="CE46" s="253"/>
      <c r="CF46" s="253"/>
      <c r="CG46" s="253"/>
      <c r="CH46" s="253"/>
      <c r="CI46" s="253"/>
      <c r="CJ46" s="253"/>
      <c r="CK46" s="253"/>
      <c r="CL46" s="253"/>
      <c r="CM46" s="253"/>
      <c r="CN46" s="253"/>
      <c r="CO46" s="253"/>
      <c r="CP46" s="253"/>
      <c r="CQ46" s="253"/>
      <c r="CR46" s="253"/>
      <c r="CS46" s="253"/>
      <c r="CT46" s="255">
        <f>10-10</f>
        <v>0</v>
      </c>
      <c r="CU46" s="253"/>
      <c r="CV46" s="253"/>
      <c r="CW46" s="253"/>
      <c r="CX46" s="253"/>
      <c r="CY46" s="253"/>
      <c r="CZ46" s="253"/>
      <c r="DA46" s="255">
        <f>3-3</f>
        <v>0</v>
      </c>
      <c r="DB46" s="253"/>
      <c r="DC46" s="253"/>
      <c r="DD46" s="253"/>
      <c r="DE46" s="253"/>
      <c r="DF46" s="253"/>
      <c r="DG46" s="253"/>
      <c r="DH46" s="253"/>
      <c r="DI46" s="253"/>
      <c r="DJ46" s="253"/>
      <c r="DK46" s="253"/>
      <c r="DL46" s="253"/>
      <c r="DM46" s="253"/>
      <c r="DN46" s="253"/>
      <c r="DO46" s="253"/>
      <c r="DP46" s="253"/>
      <c r="DQ46" s="253"/>
      <c r="DR46" s="253"/>
      <c r="DS46" s="253"/>
      <c r="DT46" s="253"/>
      <c r="DU46" s="253"/>
      <c r="DV46" s="253"/>
      <c r="DW46" s="253"/>
      <c r="DX46" s="253"/>
      <c r="DY46" s="253"/>
      <c r="DZ46" s="253"/>
      <c r="EA46" s="253"/>
      <c r="EB46" s="253"/>
      <c r="EC46" s="253"/>
      <c r="ED46" s="253"/>
      <c r="EE46" s="253"/>
      <c r="EF46" s="253"/>
      <c r="EG46" s="253"/>
      <c r="EH46" s="253"/>
      <c r="EI46" s="253"/>
      <c r="EJ46" s="253"/>
      <c r="EK46" s="253"/>
      <c r="EL46" s="253"/>
      <c r="EM46" s="253"/>
      <c r="EN46" s="253"/>
      <c r="EO46" s="253"/>
      <c r="EP46" s="253"/>
      <c r="EQ46" s="253"/>
      <c r="ER46" s="253"/>
      <c r="ES46" s="253"/>
      <c r="ET46" s="253"/>
      <c r="EU46" s="253"/>
      <c r="EV46" s="253"/>
      <c r="EW46" s="253"/>
      <c r="EX46" s="253"/>
      <c r="EY46" s="253"/>
      <c r="EZ46" s="253"/>
      <c r="FA46" s="253"/>
      <c r="FB46" s="253"/>
      <c r="FC46" s="253"/>
      <c r="FD46" s="253"/>
      <c r="FE46" s="253"/>
      <c r="FF46" s="253"/>
      <c r="FG46" s="253"/>
      <c r="FH46" s="253"/>
      <c r="FI46" s="253"/>
      <c r="FJ46" s="253"/>
      <c r="FK46" s="253"/>
      <c r="FL46" s="256"/>
      <c r="FM46" s="257" t="s">
        <v>1145</v>
      </c>
      <c r="FN46" s="258" t="s">
        <v>389</v>
      </c>
      <c r="FO46" s="258" t="s">
        <v>976</v>
      </c>
      <c r="FP46" s="258" t="s">
        <v>977</v>
      </c>
      <c r="FQ46" s="259">
        <f t="shared" si="3"/>
        <v>0</v>
      </c>
      <c r="FR46" s="260" t="s">
        <v>433</v>
      </c>
      <c r="FS46" s="260"/>
    </row>
    <row r="47" spans="1:175">
      <c r="A47" s="251" t="s">
        <v>385</v>
      </c>
      <c r="B47" s="251" t="s">
        <v>385</v>
      </c>
      <c r="C47" s="251" t="s">
        <v>411</v>
      </c>
      <c r="D47" s="251" t="s">
        <v>291</v>
      </c>
      <c r="E47" s="252" t="s">
        <v>415</v>
      </c>
      <c r="F47" s="251" t="s">
        <v>388</v>
      </c>
      <c r="G47" s="251"/>
      <c r="H47" s="253"/>
      <c r="I47" s="253"/>
      <c r="J47" s="253"/>
      <c r="K47" s="253"/>
      <c r="L47" s="253"/>
      <c r="M47" s="253"/>
      <c r="N47" s="253"/>
      <c r="O47" s="253"/>
      <c r="P47" s="253"/>
      <c r="Q47" s="253"/>
      <c r="R47" s="253"/>
      <c r="S47" s="253"/>
      <c r="T47" s="253"/>
      <c r="U47" s="253"/>
      <c r="V47" s="253"/>
      <c r="W47" s="253"/>
      <c r="X47" s="253"/>
      <c r="Y47" s="253"/>
      <c r="Z47" s="253"/>
      <c r="AA47" s="253"/>
      <c r="AB47" s="253"/>
      <c r="AC47" s="253"/>
      <c r="AD47" s="253"/>
      <c r="AE47" s="253"/>
      <c r="AF47" s="255">
        <f>200-200</f>
        <v>0</v>
      </c>
      <c r="AG47" s="255">
        <f>200-200</f>
        <v>0</v>
      </c>
      <c r="AH47" s="253"/>
      <c r="AI47" s="253"/>
      <c r="AJ47" s="253"/>
      <c r="AK47" s="253"/>
      <c r="AL47" s="255">
        <f>150-150</f>
        <v>0</v>
      </c>
      <c r="AM47" s="253"/>
      <c r="AN47" s="255">
        <f>30-30</f>
        <v>0</v>
      </c>
      <c r="AO47" s="253"/>
      <c r="AP47" s="255">
        <f>600-600</f>
        <v>0</v>
      </c>
      <c r="AQ47" s="255">
        <f>600-600</f>
        <v>0</v>
      </c>
      <c r="AR47" s="253"/>
      <c r="AS47" s="253"/>
      <c r="AT47" s="253"/>
      <c r="AU47" s="253"/>
      <c r="AV47" s="253"/>
      <c r="AW47" s="253"/>
      <c r="AX47" s="253"/>
      <c r="AY47" s="253"/>
      <c r="AZ47" s="253"/>
      <c r="BA47" s="253"/>
      <c r="BB47" s="253"/>
      <c r="BC47" s="253"/>
      <c r="BD47" s="253"/>
      <c r="BE47" s="253"/>
      <c r="BF47" s="253"/>
      <c r="BG47" s="253"/>
      <c r="BH47" s="253"/>
      <c r="BI47" s="253"/>
      <c r="BJ47" s="253"/>
      <c r="BK47" s="253"/>
      <c r="BL47" s="253"/>
      <c r="BM47" s="253"/>
      <c r="BN47" s="253"/>
      <c r="BO47" s="253"/>
      <c r="BP47" s="253"/>
      <c r="BQ47" s="253"/>
      <c r="BR47" s="253"/>
      <c r="BS47" s="253"/>
      <c r="BT47" s="253"/>
      <c r="BU47" s="253"/>
      <c r="BV47" s="253"/>
      <c r="BW47" s="253"/>
      <c r="BX47" s="253"/>
      <c r="BY47" s="253"/>
      <c r="BZ47" s="253"/>
      <c r="CA47" s="253"/>
      <c r="CB47" s="253"/>
      <c r="CC47" s="253"/>
      <c r="CD47" s="253"/>
      <c r="CE47" s="253"/>
      <c r="CF47" s="253"/>
      <c r="CG47" s="253"/>
      <c r="CH47" s="253"/>
      <c r="CI47" s="253"/>
      <c r="CJ47" s="253"/>
      <c r="CK47" s="253"/>
      <c r="CL47" s="253"/>
      <c r="CM47" s="253"/>
      <c r="CN47" s="253"/>
      <c r="CO47" s="253"/>
      <c r="CP47" s="253"/>
      <c r="CQ47" s="253"/>
      <c r="CR47" s="253"/>
      <c r="CS47" s="253"/>
      <c r="CT47" s="253"/>
      <c r="CU47" s="253"/>
      <c r="CV47" s="253"/>
      <c r="CW47" s="253"/>
      <c r="CX47" s="253"/>
      <c r="CY47" s="253"/>
      <c r="CZ47" s="253"/>
      <c r="DA47" s="253"/>
      <c r="DB47" s="253"/>
      <c r="DC47" s="253"/>
      <c r="DD47" s="253"/>
      <c r="DE47" s="253"/>
      <c r="DF47" s="253"/>
      <c r="DG47" s="253"/>
      <c r="DH47" s="253"/>
      <c r="DI47" s="253"/>
      <c r="DJ47" s="253"/>
      <c r="DK47" s="253"/>
      <c r="DL47" s="253"/>
      <c r="DM47" s="253"/>
      <c r="DN47" s="253"/>
      <c r="DO47" s="253"/>
      <c r="DP47" s="253"/>
      <c r="DQ47" s="253"/>
      <c r="DR47" s="253"/>
      <c r="DS47" s="253"/>
      <c r="DT47" s="253"/>
      <c r="DU47" s="253"/>
      <c r="DV47" s="253"/>
      <c r="DW47" s="253"/>
      <c r="DX47" s="253"/>
      <c r="DY47" s="253"/>
      <c r="DZ47" s="253"/>
      <c r="EA47" s="253"/>
      <c r="EB47" s="253"/>
      <c r="EC47" s="253"/>
      <c r="ED47" s="253"/>
      <c r="EE47" s="253"/>
      <c r="EF47" s="253"/>
      <c r="EG47" s="253"/>
      <c r="EH47" s="253"/>
      <c r="EI47" s="253"/>
      <c r="EJ47" s="253"/>
      <c r="EK47" s="253"/>
      <c r="EL47" s="253"/>
      <c r="EM47" s="253"/>
      <c r="EN47" s="253"/>
      <c r="EO47" s="253"/>
      <c r="EP47" s="253"/>
      <c r="EQ47" s="253"/>
      <c r="ER47" s="253"/>
      <c r="ES47" s="253"/>
      <c r="ET47" s="253"/>
      <c r="EU47" s="253"/>
      <c r="EV47" s="253"/>
      <c r="EW47" s="253"/>
      <c r="EX47" s="253"/>
      <c r="EY47" s="253"/>
      <c r="EZ47" s="253"/>
      <c r="FA47" s="253"/>
      <c r="FB47" s="253"/>
      <c r="FC47" s="253"/>
      <c r="FD47" s="253"/>
      <c r="FE47" s="253"/>
      <c r="FF47" s="253"/>
      <c r="FG47" s="253"/>
      <c r="FH47" s="253"/>
      <c r="FI47" s="253"/>
      <c r="FJ47" s="253"/>
      <c r="FK47" s="253"/>
      <c r="FL47" s="256"/>
      <c r="FM47" s="257" t="s">
        <v>1145</v>
      </c>
      <c r="FN47" s="258" t="s">
        <v>389</v>
      </c>
      <c r="FO47" s="258"/>
      <c r="FP47" s="258" t="s">
        <v>416</v>
      </c>
      <c r="FQ47" s="259">
        <f t="shared" si="3"/>
        <v>0</v>
      </c>
      <c r="FR47" s="260" t="s">
        <v>414</v>
      </c>
      <c r="FS47" s="260"/>
    </row>
    <row r="48" spans="1:175">
      <c r="A48" s="251" t="s">
        <v>385</v>
      </c>
      <c r="B48" s="251" t="s">
        <v>385</v>
      </c>
      <c r="C48" s="251" t="s">
        <v>411</v>
      </c>
      <c r="D48" s="251" t="s">
        <v>1</v>
      </c>
      <c r="E48" s="252" t="s">
        <v>415</v>
      </c>
      <c r="F48" s="251" t="s">
        <v>388</v>
      </c>
      <c r="G48" s="251"/>
      <c r="H48" s="253"/>
      <c r="I48" s="253"/>
      <c r="J48" s="253"/>
      <c r="K48" s="253"/>
      <c r="L48" s="253"/>
      <c r="M48" s="253"/>
      <c r="N48" s="253"/>
      <c r="O48" s="253"/>
      <c r="P48" s="253"/>
      <c r="Q48" s="253"/>
      <c r="R48" s="253"/>
      <c r="S48" s="253"/>
      <c r="T48" s="253"/>
      <c r="U48" s="253"/>
      <c r="V48" s="253"/>
      <c r="W48" s="253"/>
      <c r="X48" s="255">
        <f>200-200</f>
        <v>0</v>
      </c>
      <c r="Y48" s="255">
        <f>200-200</f>
        <v>0</v>
      </c>
      <c r="Z48" s="253"/>
      <c r="AA48" s="255">
        <f>200-200</f>
        <v>0</v>
      </c>
      <c r="AB48" s="255">
        <f>200-200</f>
        <v>0</v>
      </c>
      <c r="AC48" s="253"/>
      <c r="AD48" s="253"/>
      <c r="AE48" s="255">
        <f>200-200</f>
        <v>0</v>
      </c>
      <c r="AF48" s="253"/>
      <c r="AG48" s="253"/>
      <c r="AH48" s="255">
        <f>150-150</f>
        <v>0</v>
      </c>
      <c r="AI48" s="253"/>
      <c r="AJ48" s="253"/>
      <c r="AK48" s="253"/>
      <c r="AL48" s="253"/>
      <c r="AM48" s="253"/>
      <c r="AN48" s="253"/>
      <c r="AO48" s="253"/>
      <c r="AP48" s="253"/>
      <c r="AQ48" s="253"/>
      <c r="AR48" s="253"/>
      <c r="AS48" s="253"/>
      <c r="AT48" s="255">
        <f>600-600</f>
        <v>0</v>
      </c>
      <c r="AU48" s="253"/>
      <c r="AV48" s="253"/>
      <c r="AW48" s="253"/>
      <c r="AX48" s="253"/>
      <c r="AY48" s="253"/>
      <c r="AZ48" s="253"/>
      <c r="BA48" s="253"/>
      <c r="BB48" s="253"/>
      <c r="BC48" s="253"/>
      <c r="BD48" s="253"/>
      <c r="BE48" s="253"/>
      <c r="BF48" s="253"/>
      <c r="BG48" s="253"/>
      <c r="BH48" s="253"/>
      <c r="BI48" s="253"/>
      <c r="BJ48" s="253"/>
      <c r="BK48" s="253"/>
      <c r="BL48" s="253"/>
      <c r="BM48" s="253"/>
      <c r="BN48" s="253"/>
      <c r="BO48" s="253"/>
      <c r="BP48" s="253"/>
      <c r="BQ48" s="253"/>
      <c r="BR48" s="253"/>
      <c r="BS48" s="253"/>
      <c r="BT48" s="253"/>
      <c r="BU48" s="253"/>
      <c r="BV48" s="253"/>
      <c r="BW48" s="253"/>
      <c r="BX48" s="253"/>
      <c r="BY48" s="253"/>
      <c r="BZ48" s="253"/>
      <c r="CA48" s="253"/>
      <c r="CB48" s="253"/>
      <c r="CC48" s="253"/>
      <c r="CD48" s="253"/>
      <c r="CE48" s="253"/>
      <c r="CF48" s="253"/>
      <c r="CG48" s="253"/>
      <c r="CH48" s="253"/>
      <c r="CI48" s="253"/>
      <c r="CJ48" s="253"/>
      <c r="CK48" s="253"/>
      <c r="CL48" s="253"/>
      <c r="CM48" s="253"/>
      <c r="CN48" s="253"/>
      <c r="CO48" s="253"/>
      <c r="CP48" s="253"/>
      <c r="CQ48" s="253"/>
      <c r="CR48" s="253"/>
      <c r="CS48" s="253"/>
      <c r="CT48" s="253"/>
      <c r="CU48" s="253"/>
      <c r="CV48" s="253"/>
      <c r="CW48" s="253"/>
      <c r="CX48" s="253"/>
      <c r="CY48" s="253"/>
      <c r="CZ48" s="253"/>
      <c r="DA48" s="253"/>
      <c r="DB48" s="253"/>
      <c r="DC48" s="253"/>
      <c r="DD48" s="253"/>
      <c r="DE48" s="253"/>
      <c r="DF48" s="253"/>
      <c r="DG48" s="253"/>
      <c r="DH48" s="253"/>
      <c r="DI48" s="253"/>
      <c r="DJ48" s="253"/>
      <c r="DK48" s="253"/>
      <c r="DL48" s="253"/>
      <c r="DM48" s="253"/>
      <c r="DN48" s="253"/>
      <c r="DO48" s="253"/>
      <c r="DP48" s="253"/>
      <c r="DQ48" s="253"/>
      <c r="DR48" s="253"/>
      <c r="DS48" s="253"/>
      <c r="DT48" s="253"/>
      <c r="DU48" s="253"/>
      <c r="DV48" s="253"/>
      <c r="DW48" s="253"/>
      <c r="DX48" s="253"/>
      <c r="DY48" s="253"/>
      <c r="DZ48" s="253"/>
      <c r="EA48" s="253"/>
      <c r="EB48" s="253"/>
      <c r="EC48" s="255">
        <f>250-250</f>
        <v>0</v>
      </c>
      <c r="ED48" s="255">
        <f>250-250</f>
        <v>0</v>
      </c>
      <c r="EE48" s="253"/>
      <c r="EF48" s="253"/>
      <c r="EG48" s="255">
        <f>250-250</f>
        <v>0</v>
      </c>
      <c r="EH48" s="255">
        <f>250-250</f>
        <v>0</v>
      </c>
      <c r="EI48" s="253"/>
      <c r="EJ48" s="253"/>
      <c r="EK48" s="255">
        <f>250-250</f>
        <v>0</v>
      </c>
      <c r="EL48" s="255">
        <f>400-400</f>
        <v>0</v>
      </c>
      <c r="EM48" s="255">
        <f>400-400</f>
        <v>0</v>
      </c>
      <c r="EN48" s="255">
        <f>400-400</f>
        <v>0</v>
      </c>
      <c r="EO48" s="255">
        <f>400-400</f>
        <v>0</v>
      </c>
      <c r="EP48" s="255">
        <f>400-400</f>
        <v>0</v>
      </c>
      <c r="EQ48" s="253"/>
      <c r="ER48" s="253"/>
      <c r="ES48" s="253"/>
      <c r="ET48" s="253"/>
      <c r="EU48" s="253"/>
      <c r="EV48" s="253"/>
      <c r="EW48" s="253"/>
      <c r="EX48" s="253"/>
      <c r="EY48" s="253"/>
      <c r="EZ48" s="253"/>
      <c r="FA48" s="253"/>
      <c r="FB48" s="253"/>
      <c r="FC48" s="253"/>
      <c r="FD48" s="253"/>
      <c r="FE48" s="253"/>
      <c r="FF48" s="253"/>
      <c r="FG48" s="253"/>
      <c r="FH48" s="253"/>
      <c r="FI48" s="255">
        <f>400-400</f>
        <v>0</v>
      </c>
      <c r="FJ48" s="253"/>
      <c r="FK48" s="253"/>
      <c r="FL48" s="256"/>
      <c r="FM48" s="257" t="s">
        <v>1145</v>
      </c>
      <c r="FN48" s="258" t="s">
        <v>389</v>
      </c>
      <c r="FO48" s="258"/>
      <c r="FP48" s="258" t="s">
        <v>416</v>
      </c>
      <c r="FQ48" s="259">
        <f t="shared" si="3"/>
        <v>0</v>
      </c>
      <c r="FR48" s="260" t="s">
        <v>414</v>
      </c>
      <c r="FS48" s="260"/>
    </row>
    <row r="49" spans="1:175">
      <c r="A49" s="251" t="s">
        <v>393</v>
      </c>
      <c r="B49" s="251" t="s">
        <v>385</v>
      </c>
      <c r="C49" s="251" t="s">
        <v>411</v>
      </c>
      <c r="D49" s="251" t="s">
        <v>291</v>
      </c>
      <c r="E49" s="252" t="s">
        <v>836</v>
      </c>
      <c r="F49" s="251" t="s">
        <v>388</v>
      </c>
      <c r="G49" s="251"/>
      <c r="H49" s="253"/>
      <c r="I49" s="253"/>
      <c r="J49" s="253"/>
      <c r="K49" s="253"/>
      <c r="L49" s="253"/>
      <c r="M49" s="253"/>
      <c r="N49" s="253"/>
      <c r="O49" s="253"/>
      <c r="P49" s="253"/>
      <c r="Q49" s="253"/>
      <c r="R49" s="253"/>
      <c r="S49" s="253"/>
      <c r="T49" s="253"/>
      <c r="U49" s="253"/>
      <c r="V49" s="253"/>
      <c r="W49" s="253"/>
      <c r="X49" s="253"/>
      <c r="Y49" s="253"/>
      <c r="Z49" s="253"/>
      <c r="AA49" s="253"/>
      <c r="AB49" s="253"/>
      <c r="AC49" s="253"/>
      <c r="AD49" s="253"/>
      <c r="AE49" s="253"/>
      <c r="AF49" s="255">
        <f>20-20</f>
        <v>0</v>
      </c>
      <c r="AG49" s="253"/>
      <c r="AH49" s="253"/>
      <c r="AI49" s="253"/>
      <c r="AJ49" s="253"/>
      <c r="AK49" s="253"/>
      <c r="AL49" s="253"/>
      <c r="AM49" s="253"/>
      <c r="AN49" s="253"/>
      <c r="AO49" s="253"/>
      <c r="AP49" s="255">
        <f>20-20</f>
        <v>0</v>
      </c>
      <c r="AQ49" s="255">
        <f>20-20</f>
        <v>0</v>
      </c>
      <c r="AR49" s="253"/>
      <c r="AS49" s="253"/>
      <c r="AT49" s="253"/>
      <c r="AU49" s="253"/>
      <c r="AV49" s="253"/>
      <c r="AW49" s="253"/>
      <c r="AX49" s="253"/>
      <c r="AY49" s="253"/>
      <c r="AZ49" s="253"/>
      <c r="BA49" s="253"/>
      <c r="BB49" s="253"/>
      <c r="BC49" s="255">
        <f>20-20</f>
        <v>0</v>
      </c>
      <c r="BD49" s="253"/>
      <c r="BE49" s="253"/>
      <c r="BF49" s="253"/>
      <c r="BG49" s="253"/>
      <c r="BH49" s="253"/>
      <c r="BI49" s="253"/>
      <c r="BJ49" s="253"/>
      <c r="BK49" s="253"/>
      <c r="BL49" s="253"/>
      <c r="BM49" s="253"/>
      <c r="BN49" s="253"/>
      <c r="BO49" s="253"/>
      <c r="BP49" s="253"/>
      <c r="BQ49" s="253"/>
      <c r="BR49" s="253"/>
      <c r="BS49" s="253"/>
      <c r="BT49" s="253"/>
      <c r="BU49" s="253"/>
      <c r="BV49" s="253"/>
      <c r="BW49" s="253"/>
      <c r="BX49" s="253"/>
      <c r="BY49" s="253"/>
      <c r="BZ49" s="253"/>
      <c r="CA49" s="253"/>
      <c r="CB49" s="253"/>
      <c r="CC49" s="253"/>
      <c r="CD49" s="253"/>
      <c r="CE49" s="253"/>
      <c r="CF49" s="253"/>
      <c r="CG49" s="253"/>
      <c r="CH49" s="253"/>
      <c r="CI49" s="253"/>
      <c r="CJ49" s="253"/>
      <c r="CK49" s="253"/>
      <c r="CL49" s="253"/>
      <c r="CM49" s="253"/>
      <c r="CN49" s="253"/>
      <c r="CO49" s="253"/>
      <c r="CP49" s="253"/>
      <c r="CQ49" s="253"/>
      <c r="CR49" s="253"/>
      <c r="CS49" s="253"/>
      <c r="CT49" s="253"/>
      <c r="CU49" s="253"/>
      <c r="CV49" s="253"/>
      <c r="CW49" s="253"/>
      <c r="CX49" s="253"/>
      <c r="CY49" s="253"/>
      <c r="CZ49" s="253"/>
      <c r="DA49" s="253"/>
      <c r="DB49" s="253"/>
      <c r="DC49" s="253"/>
      <c r="DD49" s="253"/>
      <c r="DE49" s="253"/>
      <c r="DF49" s="253"/>
      <c r="DG49" s="253"/>
      <c r="DH49" s="253"/>
      <c r="DI49" s="253"/>
      <c r="DJ49" s="253"/>
      <c r="DK49" s="253"/>
      <c r="DL49" s="253"/>
      <c r="DM49" s="253"/>
      <c r="DN49" s="253"/>
      <c r="DO49" s="253"/>
      <c r="DP49" s="253"/>
      <c r="DQ49" s="253"/>
      <c r="DR49" s="253"/>
      <c r="DS49" s="253"/>
      <c r="DT49" s="253"/>
      <c r="DU49" s="253"/>
      <c r="DV49" s="253"/>
      <c r="DW49" s="253"/>
      <c r="DX49" s="253"/>
      <c r="DY49" s="253"/>
      <c r="DZ49" s="253"/>
      <c r="EA49" s="253"/>
      <c r="EB49" s="253"/>
      <c r="EC49" s="253"/>
      <c r="ED49" s="253"/>
      <c r="EE49" s="253"/>
      <c r="EF49" s="253"/>
      <c r="EG49" s="253"/>
      <c r="EH49" s="253"/>
      <c r="EI49" s="253"/>
      <c r="EJ49" s="253"/>
      <c r="EK49" s="253"/>
      <c r="EL49" s="253"/>
      <c r="EM49" s="253"/>
      <c r="EN49" s="253"/>
      <c r="EO49" s="253"/>
      <c r="EP49" s="253"/>
      <c r="EQ49" s="253"/>
      <c r="ER49" s="253"/>
      <c r="ES49" s="253"/>
      <c r="ET49" s="253"/>
      <c r="EU49" s="253"/>
      <c r="EV49" s="253"/>
      <c r="EW49" s="253"/>
      <c r="EX49" s="253"/>
      <c r="EY49" s="253"/>
      <c r="EZ49" s="253"/>
      <c r="FA49" s="253"/>
      <c r="FB49" s="253"/>
      <c r="FC49" s="253"/>
      <c r="FD49" s="253"/>
      <c r="FE49" s="253"/>
      <c r="FF49" s="253"/>
      <c r="FG49" s="253"/>
      <c r="FH49" s="253"/>
      <c r="FI49" s="253"/>
      <c r="FJ49" s="253"/>
      <c r="FK49" s="253"/>
      <c r="FL49" s="256"/>
      <c r="FM49" s="257" t="s">
        <v>1145</v>
      </c>
      <c r="FN49" s="258" t="s">
        <v>389</v>
      </c>
      <c r="FO49" s="258"/>
      <c r="FP49" s="258" t="s">
        <v>837</v>
      </c>
      <c r="FQ49" s="259">
        <f t="shared" si="3"/>
        <v>0</v>
      </c>
      <c r="FR49" s="260" t="s">
        <v>414</v>
      </c>
      <c r="FS49" s="260"/>
    </row>
    <row r="50" spans="1:175">
      <c r="A50" s="251" t="s">
        <v>393</v>
      </c>
      <c r="B50" s="251" t="s">
        <v>385</v>
      </c>
      <c r="C50" s="251" t="s">
        <v>411</v>
      </c>
      <c r="D50" s="251" t="s">
        <v>772</v>
      </c>
      <c r="E50" s="252" t="s">
        <v>836</v>
      </c>
      <c r="F50" s="251" t="s">
        <v>388</v>
      </c>
      <c r="G50" s="251"/>
      <c r="H50" s="253"/>
      <c r="I50" s="253"/>
      <c r="J50" s="253"/>
      <c r="K50" s="253"/>
      <c r="L50" s="253"/>
      <c r="M50" s="253"/>
      <c r="N50" s="255">
        <f>40-40</f>
        <v>0</v>
      </c>
      <c r="O50" s="253"/>
      <c r="P50" s="253"/>
      <c r="Q50" s="253"/>
      <c r="R50" s="253"/>
      <c r="S50" s="253"/>
      <c r="T50" s="253"/>
      <c r="U50" s="253"/>
      <c r="V50" s="253"/>
      <c r="W50" s="253"/>
      <c r="X50" s="253"/>
      <c r="Y50" s="253"/>
      <c r="Z50" s="253"/>
      <c r="AA50" s="253"/>
      <c r="AB50" s="253"/>
      <c r="AC50" s="253"/>
      <c r="AD50" s="253"/>
      <c r="AE50" s="253"/>
      <c r="AF50" s="253"/>
      <c r="AG50" s="253"/>
      <c r="AH50" s="253"/>
      <c r="AI50" s="253"/>
      <c r="AJ50" s="253"/>
      <c r="AK50" s="253"/>
      <c r="AL50" s="253"/>
      <c r="AM50" s="253"/>
      <c r="AN50" s="253"/>
      <c r="AO50" s="253"/>
      <c r="AP50" s="253"/>
      <c r="AQ50" s="253"/>
      <c r="AR50" s="253"/>
      <c r="AS50" s="253"/>
      <c r="AT50" s="253"/>
      <c r="AU50" s="253"/>
      <c r="AV50" s="253"/>
      <c r="AW50" s="253"/>
      <c r="AX50" s="253"/>
      <c r="AY50" s="253"/>
      <c r="AZ50" s="253"/>
      <c r="BA50" s="253"/>
      <c r="BB50" s="253"/>
      <c r="BC50" s="253"/>
      <c r="BD50" s="253"/>
      <c r="BE50" s="253"/>
      <c r="BF50" s="253"/>
      <c r="BG50" s="253"/>
      <c r="BH50" s="253"/>
      <c r="BI50" s="253"/>
      <c r="BJ50" s="253"/>
      <c r="BK50" s="253"/>
      <c r="BL50" s="253"/>
      <c r="BM50" s="253"/>
      <c r="BN50" s="253"/>
      <c r="BO50" s="253"/>
      <c r="BP50" s="253"/>
      <c r="BQ50" s="253"/>
      <c r="BR50" s="253"/>
      <c r="BS50" s="253"/>
      <c r="BT50" s="253"/>
      <c r="BU50" s="253"/>
      <c r="BV50" s="253"/>
      <c r="BW50" s="253"/>
      <c r="BX50" s="253"/>
      <c r="BY50" s="253"/>
      <c r="BZ50" s="253"/>
      <c r="CA50" s="253"/>
      <c r="CB50" s="253"/>
      <c r="CC50" s="253"/>
      <c r="CD50" s="253"/>
      <c r="CE50" s="253"/>
      <c r="CF50" s="253"/>
      <c r="CG50" s="253"/>
      <c r="CH50" s="253"/>
      <c r="CI50" s="253"/>
      <c r="CJ50" s="253"/>
      <c r="CK50" s="253"/>
      <c r="CL50" s="253"/>
      <c r="CM50" s="253"/>
      <c r="CN50" s="253"/>
      <c r="CO50" s="253"/>
      <c r="CP50" s="253"/>
      <c r="CQ50" s="253"/>
      <c r="CR50" s="253"/>
      <c r="CS50" s="253"/>
      <c r="CT50" s="253"/>
      <c r="CU50" s="253"/>
      <c r="CV50" s="253"/>
      <c r="CW50" s="253"/>
      <c r="CX50" s="253"/>
      <c r="CY50" s="253"/>
      <c r="CZ50" s="253"/>
      <c r="DA50" s="253"/>
      <c r="DB50" s="253"/>
      <c r="DC50" s="253"/>
      <c r="DD50" s="253"/>
      <c r="DE50" s="253"/>
      <c r="DF50" s="253"/>
      <c r="DG50" s="253"/>
      <c r="DH50" s="253"/>
      <c r="DI50" s="253"/>
      <c r="DJ50" s="253"/>
      <c r="DK50" s="253"/>
      <c r="DL50" s="253"/>
      <c r="DM50" s="253"/>
      <c r="DN50" s="253"/>
      <c r="DO50" s="253"/>
      <c r="DP50" s="253"/>
      <c r="DQ50" s="253"/>
      <c r="DR50" s="253"/>
      <c r="DS50" s="253"/>
      <c r="DT50" s="253"/>
      <c r="DU50" s="253"/>
      <c r="DV50" s="253"/>
      <c r="DW50" s="253"/>
      <c r="DX50" s="253"/>
      <c r="DY50" s="253"/>
      <c r="DZ50" s="253"/>
      <c r="EA50" s="253"/>
      <c r="EB50" s="253"/>
      <c r="EC50" s="253"/>
      <c r="ED50" s="253"/>
      <c r="EE50" s="253"/>
      <c r="EF50" s="253"/>
      <c r="EG50" s="253"/>
      <c r="EH50" s="253"/>
      <c r="EI50" s="253"/>
      <c r="EJ50" s="253"/>
      <c r="EK50" s="253"/>
      <c r="EL50" s="253"/>
      <c r="EM50" s="253"/>
      <c r="EN50" s="253"/>
      <c r="EO50" s="253"/>
      <c r="EP50" s="253"/>
      <c r="EQ50" s="253"/>
      <c r="ER50" s="253"/>
      <c r="ES50" s="253"/>
      <c r="ET50" s="253"/>
      <c r="EU50" s="253"/>
      <c r="EV50" s="253"/>
      <c r="EW50" s="253"/>
      <c r="EX50" s="253"/>
      <c r="EY50" s="253"/>
      <c r="EZ50" s="253"/>
      <c r="FA50" s="253"/>
      <c r="FB50" s="253"/>
      <c r="FC50" s="253"/>
      <c r="FD50" s="253"/>
      <c r="FE50" s="253"/>
      <c r="FF50" s="253"/>
      <c r="FG50" s="253"/>
      <c r="FH50" s="253"/>
      <c r="FI50" s="253"/>
      <c r="FJ50" s="253"/>
      <c r="FK50" s="253"/>
      <c r="FL50" s="256"/>
      <c r="FM50" s="257" t="s">
        <v>1145</v>
      </c>
      <c r="FN50" s="258" t="s">
        <v>389</v>
      </c>
      <c r="FO50" s="258"/>
      <c r="FP50" s="258" t="s">
        <v>837</v>
      </c>
      <c r="FQ50" s="259">
        <f t="shared" ref="FQ50" si="4">SUM(H50:FK50)</f>
        <v>0</v>
      </c>
      <c r="FR50" s="260" t="s">
        <v>414</v>
      </c>
      <c r="FS50" s="260"/>
    </row>
    <row r="51" spans="1:175">
      <c r="A51" s="251" t="s">
        <v>393</v>
      </c>
      <c r="B51" s="251" t="s">
        <v>385</v>
      </c>
      <c r="C51" s="251" t="s">
        <v>411</v>
      </c>
      <c r="D51" s="251" t="s">
        <v>291</v>
      </c>
      <c r="E51" s="252" t="s">
        <v>897</v>
      </c>
      <c r="F51" s="251" t="s">
        <v>388</v>
      </c>
      <c r="G51" s="251" t="s">
        <v>1160</v>
      </c>
      <c r="H51" s="253"/>
      <c r="I51" s="253"/>
      <c r="J51" s="253"/>
      <c r="K51" s="253"/>
      <c r="L51" s="253"/>
      <c r="M51" s="253"/>
      <c r="N51" s="253"/>
      <c r="O51" s="253"/>
      <c r="P51" s="253"/>
      <c r="Q51" s="253"/>
      <c r="R51" s="253"/>
      <c r="S51" s="253"/>
      <c r="T51" s="253"/>
      <c r="U51" s="253"/>
      <c r="V51" s="253"/>
      <c r="W51" s="253"/>
      <c r="X51" s="253"/>
      <c r="Y51" s="253"/>
      <c r="Z51" s="253"/>
      <c r="AA51" s="253"/>
      <c r="AB51" s="253"/>
      <c r="AC51" s="253"/>
      <c r="AD51" s="255">
        <f>300-300</f>
        <v>0</v>
      </c>
      <c r="AE51" s="253"/>
      <c r="AF51" s="253"/>
      <c r="AG51" s="253"/>
      <c r="AH51" s="253"/>
      <c r="AI51" s="253"/>
      <c r="AJ51" s="253"/>
      <c r="AK51" s="253"/>
      <c r="AL51" s="253"/>
      <c r="AM51" s="253"/>
      <c r="AN51" s="255">
        <f>300-300</f>
        <v>0</v>
      </c>
      <c r="AO51" s="253"/>
      <c r="AP51" s="253"/>
      <c r="AQ51" s="253"/>
      <c r="AR51" s="253"/>
      <c r="AS51" s="253"/>
      <c r="AT51" s="253"/>
      <c r="AU51" s="253"/>
      <c r="AV51" s="253"/>
      <c r="AW51" s="253"/>
      <c r="AX51" s="253"/>
      <c r="AY51" s="253"/>
      <c r="AZ51" s="253"/>
      <c r="BA51" s="253"/>
      <c r="BB51" s="253"/>
      <c r="BC51" s="255">
        <f>500-500</f>
        <v>0</v>
      </c>
      <c r="BD51" s="253"/>
      <c r="BE51" s="253"/>
      <c r="BF51" s="253"/>
      <c r="BG51" s="253"/>
      <c r="BH51" s="253"/>
      <c r="BI51" s="253"/>
      <c r="BJ51" s="253"/>
      <c r="BK51" s="253"/>
      <c r="BL51" s="253"/>
      <c r="BM51" s="253"/>
      <c r="BN51" s="253"/>
      <c r="BO51" s="253"/>
      <c r="BP51" s="253"/>
      <c r="BQ51" s="253"/>
      <c r="BR51" s="253"/>
      <c r="BS51" s="253"/>
      <c r="BT51" s="253"/>
      <c r="BU51" s="253"/>
      <c r="BV51" s="253"/>
      <c r="BW51" s="253"/>
      <c r="BX51" s="253"/>
      <c r="BY51" s="253"/>
      <c r="BZ51" s="253"/>
      <c r="CA51" s="253"/>
      <c r="CB51" s="253"/>
      <c r="CC51" s="253"/>
      <c r="CD51" s="253"/>
      <c r="CE51" s="253"/>
      <c r="CF51" s="253"/>
      <c r="CG51" s="253"/>
      <c r="CH51" s="253"/>
      <c r="CI51" s="253"/>
      <c r="CJ51" s="253"/>
      <c r="CK51" s="253"/>
      <c r="CL51" s="253"/>
      <c r="CM51" s="253"/>
      <c r="CN51" s="253"/>
      <c r="CO51" s="253"/>
      <c r="CP51" s="253"/>
      <c r="CQ51" s="253"/>
      <c r="CR51" s="253"/>
      <c r="CS51" s="253"/>
      <c r="CT51" s="253"/>
      <c r="CU51" s="253"/>
      <c r="CV51" s="253"/>
      <c r="CW51" s="253"/>
      <c r="CX51" s="253"/>
      <c r="CY51" s="253"/>
      <c r="CZ51" s="253"/>
      <c r="DA51" s="253"/>
      <c r="DB51" s="253"/>
      <c r="DC51" s="253"/>
      <c r="DD51" s="253"/>
      <c r="DE51" s="253"/>
      <c r="DF51" s="253"/>
      <c r="DG51" s="253"/>
      <c r="DH51" s="253"/>
      <c r="DI51" s="253"/>
      <c r="DJ51" s="253"/>
      <c r="DK51" s="253"/>
      <c r="DL51" s="253"/>
      <c r="DM51" s="253"/>
      <c r="DN51" s="253"/>
      <c r="DO51" s="253"/>
      <c r="DP51" s="253"/>
      <c r="DQ51" s="253"/>
      <c r="DR51" s="253"/>
      <c r="DS51" s="253"/>
      <c r="DT51" s="253"/>
      <c r="DU51" s="253"/>
      <c r="DV51" s="253"/>
      <c r="DW51" s="253"/>
      <c r="DX51" s="253"/>
      <c r="DY51" s="253"/>
      <c r="DZ51" s="253"/>
      <c r="EA51" s="253"/>
      <c r="EB51" s="253"/>
      <c r="EC51" s="253"/>
      <c r="ED51" s="253"/>
      <c r="EE51" s="253"/>
      <c r="EF51" s="253"/>
      <c r="EG51" s="253"/>
      <c r="EH51" s="253"/>
      <c r="EI51" s="253"/>
      <c r="EJ51" s="253"/>
      <c r="EK51" s="253"/>
      <c r="EL51" s="253"/>
      <c r="EM51" s="253"/>
      <c r="EN51" s="253"/>
      <c r="EO51" s="253"/>
      <c r="EP51" s="253"/>
      <c r="EQ51" s="253"/>
      <c r="ER51" s="253"/>
      <c r="ES51" s="253"/>
      <c r="ET51" s="253"/>
      <c r="EU51" s="253"/>
      <c r="EV51" s="253"/>
      <c r="EW51" s="253"/>
      <c r="EX51" s="253"/>
      <c r="EY51" s="253"/>
      <c r="EZ51" s="253"/>
      <c r="FA51" s="253"/>
      <c r="FB51" s="253"/>
      <c r="FC51" s="253"/>
      <c r="FD51" s="253"/>
      <c r="FE51" s="253"/>
      <c r="FF51" s="253"/>
      <c r="FG51" s="253"/>
      <c r="FH51" s="253"/>
      <c r="FI51" s="253"/>
      <c r="FJ51" s="253"/>
      <c r="FK51" s="253"/>
      <c r="FL51" s="256"/>
      <c r="FM51" s="257" t="s">
        <v>1145</v>
      </c>
      <c r="FN51" s="258" t="s">
        <v>389</v>
      </c>
      <c r="FO51" s="258" t="s">
        <v>899</v>
      </c>
      <c r="FP51" s="258" t="s">
        <v>900</v>
      </c>
      <c r="FQ51" s="259">
        <f t="shared" si="3"/>
        <v>0</v>
      </c>
      <c r="FR51" s="260" t="s">
        <v>421</v>
      </c>
      <c r="FS51" s="260"/>
    </row>
    <row r="52" spans="1:175">
      <c r="A52" s="251" t="s">
        <v>393</v>
      </c>
      <c r="B52" s="251" t="s">
        <v>385</v>
      </c>
      <c r="C52" s="251" t="s">
        <v>411</v>
      </c>
      <c r="D52" s="251" t="s">
        <v>1</v>
      </c>
      <c r="E52" s="252" t="s">
        <v>897</v>
      </c>
      <c r="F52" s="251" t="s">
        <v>388</v>
      </c>
      <c r="G52" s="251" t="s">
        <v>1160</v>
      </c>
      <c r="H52" s="253"/>
      <c r="I52" s="253"/>
      <c r="J52" s="253"/>
      <c r="K52" s="253"/>
      <c r="L52" s="253"/>
      <c r="M52" s="253"/>
      <c r="N52" s="253"/>
      <c r="O52" s="253"/>
      <c r="P52" s="253"/>
      <c r="Q52" s="253"/>
      <c r="R52" s="253"/>
      <c r="S52" s="253"/>
      <c r="T52" s="253"/>
      <c r="U52" s="253"/>
      <c r="V52" s="253"/>
      <c r="W52" s="253"/>
      <c r="X52" s="253"/>
      <c r="Y52" s="253"/>
      <c r="Z52" s="253"/>
      <c r="AA52" s="253"/>
      <c r="AB52" s="255">
        <f>200-200</f>
        <v>0</v>
      </c>
      <c r="AC52" s="253"/>
      <c r="AD52" s="253"/>
      <c r="AE52" s="253"/>
      <c r="AF52" s="253"/>
      <c r="AG52" s="253"/>
      <c r="AH52" s="253"/>
      <c r="AI52" s="253"/>
      <c r="AJ52" s="253"/>
      <c r="AK52" s="253"/>
      <c r="AL52" s="253"/>
      <c r="AM52" s="253"/>
      <c r="AN52" s="253"/>
      <c r="AO52" s="253"/>
      <c r="AP52" s="253"/>
      <c r="AQ52" s="253"/>
      <c r="AR52" s="253"/>
      <c r="AS52" s="253"/>
      <c r="AT52" s="255">
        <f>300-300</f>
        <v>0</v>
      </c>
      <c r="AU52" s="253"/>
      <c r="AV52" s="253"/>
      <c r="AW52" s="253"/>
      <c r="AX52" s="253"/>
      <c r="AY52" s="255">
        <f>500-500</f>
        <v>0</v>
      </c>
      <c r="AZ52" s="253"/>
      <c r="BA52" s="253"/>
      <c r="BB52" s="253"/>
      <c r="BC52" s="253"/>
      <c r="BD52" s="253"/>
      <c r="BE52" s="253"/>
      <c r="BF52" s="253"/>
      <c r="BG52" s="253"/>
      <c r="BH52" s="253"/>
      <c r="BI52" s="253"/>
      <c r="BJ52" s="253"/>
      <c r="BK52" s="253"/>
      <c r="BL52" s="253"/>
      <c r="BM52" s="253"/>
      <c r="BN52" s="253"/>
      <c r="BO52" s="253"/>
      <c r="BP52" s="253"/>
      <c r="BQ52" s="253"/>
      <c r="BR52" s="253"/>
      <c r="BS52" s="253"/>
      <c r="BT52" s="253"/>
      <c r="BU52" s="253"/>
      <c r="BV52" s="253"/>
      <c r="BW52" s="253"/>
      <c r="BX52" s="253"/>
      <c r="BY52" s="253"/>
      <c r="BZ52" s="253"/>
      <c r="CA52" s="253"/>
      <c r="CB52" s="253"/>
      <c r="CC52" s="253"/>
      <c r="CD52" s="253"/>
      <c r="CE52" s="253"/>
      <c r="CF52" s="253"/>
      <c r="CG52" s="253"/>
      <c r="CH52" s="253"/>
      <c r="CI52" s="253"/>
      <c r="CJ52" s="253"/>
      <c r="CK52" s="253"/>
      <c r="CL52" s="253"/>
      <c r="CM52" s="253"/>
      <c r="CN52" s="253"/>
      <c r="CO52" s="253"/>
      <c r="CP52" s="253"/>
      <c r="CQ52" s="253"/>
      <c r="CR52" s="253"/>
      <c r="CS52" s="253"/>
      <c r="CT52" s="253"/>
      <c r="CU52" s="253"/>
      <c r="CV52" s="253"/>
      <c r="CW52" s="253"/>
      <c r="CX52" s="253"/>
      <c r="CY52" s="253"/>
      <c r="CZ52" s="253"/>
      <c r="DA52" s="253"/>
      <c r="DB52" s="253"/>
      <c r="DC52" s="253"/>
      <c r="DD52" s="253"/>
      <c r="DE52" s="253"/>
      <c r="DF52" s="253"/>
      <c r="DG52" s="253"/>
      <c r="DH52" s="253"/>
      <c r="DI52" s="253"/>
      <c r="DJ52" s="253"/>
      <c r="DK52" s="253"/>
      <c r="DL52" s="253"/>
      <c r="DM52" s="253"/>
      <c r="DN52" s="253"/>
      <c r="DO52" s="253"/>
      <c r="DP52" s="253"/>
      <c r="DQ52" s="253"/>
      <c r="DR52" s="253"/>
      <c r="DS52" s="253"/>
      <c r="DT52" s="253"/>
      <c r="DU52" s="253"/>
      <c r="DV52" s="253"/>
      <c r="DW52" s="253"/>
      <c r="DX52" s="253"/>
      <c r="DY52" s="253"/>
      <c r="DZ52" s="253"/>
      <c r="EA52" s="253"/>
      <c r="EB52" s="253"/>
      <c r="EC52" s="253"/>
      <c r="ED52" s="253"/>
      <c r="EE52" s="253"/>
      <c r="EF52" s="253"/>
      <c r="EG52" s="253"/>
      <c r="EH52" s="253"/>
      <c r="EI52" s="253"/>
      <c r="EJ52" s="253"/>
      <c r="EK52" s="253"/>
      <c r="EL52" s="253"/>
      <c r="EM52" s="253"/>
      <c r="EN52" s="253"/>
      <c r="EO52" s="253"/>
      <c r="EP52" s="253"/>
      <c r="EQ52" s="253"/>
      <c r="ER52" s="253"/>
      <c r="ES52" s="253"/>
      <c r="ET52" s="253"/>
      <c r="EU52" s="253"/>
      <c r="EV52" s="253"/>
      <c r="EW52" s="253"/>
      <c r="EX52" s="253"/>
      <c r="EY52" s="253"/>
      <c r="EZ52" s="253"/>
      <c r="FA52" s="253"/>
      <c r="FB52" s="253"/>
      <c r="FC52" s="253"/>
      <c r="FD52" s="253"/>
      <c r="FE52" s="253"/>
      <c r="FF52" s="253"/>
      <c r="FG52" s="253"/>
      <c r="FH52" s="253"/>
      <c r="FI52" s="253"/>
      <c r="FJ52" s="253"/>
      <c r="FK52" s="253"/>
      <c r="FL52" s="256"/>
      <c r="FM52" s="257" t="s">
        <v>1145</v>
      </c>
      <c r="FN52" s="258" t="s">
        <v>389</v>
      </c>
      <c r="FO52" s="258" t="s">
        <v>899</v>
      </c>
      <c r="FP52" s="258" t="s">
        <v>900</v>
      </c>
      <c r="FQ52" s="259">
        <f t="shared" si="3"/>
        <v>0</v>
      </c>
      <c r="FR52" s="260" t="s">
        <v>421</v>
      </c>
      <c r="FS52" s="260"/>
    </row>
    <row r="53" spans="1:175">
      <c r="A53" s="251" t="s">
        <v>393</v>
      </c>
      <c r="B53" s="251" t="s">
        <v>392</v>
      </c>
      <c r="C53" s="251" t="s">
        <v>411</v>
      </c>
      <c r="D53" s="251" t="s">
        <v>291</v>
      </c>
      <c r="E53" s="252" t="s">
        <v>904</v>
      </c>
      <c r="F53" s="251" t="s">
        <v>388</v>
      </c>
      <c r="G53" s="251" t="s">
        <v>1161</v>
      </c>
      <c r="H53" s="253"/>
      <c r="I53" s="253"/>
      <c r="J53" s="253"/>
      <c r="K53" s="253"/>
      <c r="L53" s="253"/>
      <c r="M53" s="253"/>
      <c r="N53" s="253"/>
      <c r="O53" s="253"/>
      <c r="P53" s="253"/>
      <c r="Q53" s="255">
        <f>50-50</f>
        <v>0</v>
      </c>
      <c r="R53" s="253"/>
      <c r="S53" s="253"/>
      <c r="T53" s="253"/>
      <c r="U53" s="253"/>
      <c r="V53" s="253"/>
      <c r="W53" s="253"/>
      <c r="X53" s="253"/>
      <c r="Y53" s="253"/>
      <c r="Z53" s="253"/>
      <c r="AA53" s="253"/>
      <c r="AB53" s="253"/>
      <c r="AC53" s="253"/>
      <c r="AD53" s="253"/>
      <c r="AE53" s="253"/>
      <c r="AF53" s="253"/>
      <c r="AG53" s="253"/>
      <c r="AH53" s="253"/>
      <c r="AI53" s="253"/>
      <c r="AJ53" s="253"/>
      <c r="AK53" s="253"/>
      <c r="AL53" s="253"/>
      <c r="AM53" s="253"/>
      <c r="AN53" s="253"/>
      <c r="AO53" s="253"/>
      <c r="AP53" s="255">
        <f>100-100</f>
        <v>0</v>
      </c>
      <c r="AQ53" s="253"/>
      <c r="AR53" s="253"/>
      <c r="AS53" s="253"/>
      <c r="AT53" s="253"/>
      <c r="AU53" s="253"/>
      <c r="AV53" s="253"/>
      <c r="AW53" s="253"/>
      <c r="AX53" s="253"/>
      <c r="AY53" s="253"/>
      <c r="AZ53" s="253"/>
      <c r="BA53" s="253"/>
      <c r="BB53" s="253"/>
      <c r="BC53" s="253"/>
      <c r="BD53" s="253"/>
      <c r="BE53" s="253"/>
      <c r="BF53" s="253"/>
      <c r="BG53" s="253"/>
      <c r="BH53" s="253"/>
      <c r="BI53" s="253"/>
      <c r="BJ53" s="253"/>
      <c r="BK53" s="253"/>
      <c r="BL53" s="253"/>
      <c r="BM53" s="253"/>
      <c r="BN53" s="253"/>
      <c r="BO53" s="253"/>
      <c r="BP53" s="253"/>
      <c r="BQ53" s="253"/>
      <c r="BR53" s="253"/>
      <c r="BS53" s="253"/>
      <c r="BT53" s="253"/>
      <c r="BU53" s="253"/>
      <c r="BV53" s="253"/>
      <c r="BW53" s="253"/>
      <c r="BX53" s="253"/>
      <c r="BY53" s="253"/>
      <c r="BZ53" s="253"/>
      <c r="CA53" s="253"/>
      <c r="CB53" s="253"/>
      <c r="CC53" s="253"/>
      <c r="CD53" s="253"/>
      <c r="CE53" s="253"/>
      <c r="CF53" s="253"/>
      <c r="CG53" s="253"/>
      <c r="CH53" s="253"/>
      <c r="CI53" s="253"/>
      <c r="CJ53" s="253"/>
      <c r="CK53" s="253"/>
      <c r="CL53" s="253"/>
      <c r="CM53" s="253"/>
      <c r="CN53" s="253"/>
      <c r="CO53" s="253"/>
      <c r="CP53" s="253"/>
      <c r="CQ53" s="253"/>
      <c r="CR53" s="253"/>
      <c r="CS53" s="253"/>
      <c r="CT53" s="253"/>
      <c r="CU53" s="253"/>
      <c r="CV53" s="253"/>
      <c r="CW53" s="253"/>
      <c r="CX53" s="253"/>
      <c r="CY53" s="253"/>
      <c r="CZ53" s="253"/>
      <c r="DA53" s="253"/>
      <c r="DB53" s="253"/>
      <c r="DC53" s="253"/>
      <c r="DD53" s="253"/>
      <c r="DE53" s="253"/>
      <c r="DF53" s="253"/>
      <c r="DG53" s="253"/>
      <c r="DH53" s="253"/>
      <c r="DI53" s="253"/>
      <c r="DJ53" s="253"/>
      <c r="DK53" s="253"/>
      <c r="DL53" s="253"/>
      <c r="DM53" s="253"/>
      <c r="DN53" s="253"/>
      <c r="DO53" s="253"/>
      <c r="DP53" s="253"/>
      <c r="DQ53" s="253"/>
      <c r="DR53" s="253"/>
      <c r="DS53" s="253"/>
      <c r="DT53" s="253"/>
      <c r="DU53" s="253"/>
      <c r="DV53" s="253"/>
      <c r="DW53" s="253"/>
      <c r="DX53" s="253"/>
      <c r="DY53" s="253"/>
      <c r="DZ53" s="253"/>
      <c r="EA53" s="253"/>
      <c r="EB53" s="253"/>
      <c r="EC53" s="253"/>
      <c r="ED53" s="253"/>
      <c r="EE53" s="253"/>
      <c r="EF53" s="253"/>
      <c r="EG53" s="253"/>
      <c r="EH53" s="253"/>
      <c r="EI53" s="253"/>
      <c r="EJ53" s="253"/>
      <c r="EK53" s="253"/>
      <c r="EL53" s="253"/>
      <c r="EM53" s="253"/>
      <c r="EN53" s="253"/>
      <c r="EO53" s="253"/>
      <c r="EP53" s="253"/>
      <c r="EQ53" s="253"/>
      <c r="ER53" s="253"/>
      <c r="ES53" s="253"/>
      <c r="ET53" s="253"/>
      <c r="EU53" s="253"/>
      <c r="EV53" s="253"/>
      <c r="EW53" s="253"/>
      <c r="EX53" s="253"/>
      <c r="EY53" s="253"/>
      <c r="EZ53" s="253"/>
      <c r="FA53" s="253"/>
      <c r="FB53" s="253"/>
      <c r="FC53" s="253"/>
      <c r="FD53" s="253"/>
      <c r="FE53" s="253"/>
      <c r="FF53" s="253"/>
      <c r="FG53" s="253"/>
      <c r="FH53" s="253"/>
      <c r="FI53" s="253"/>
      <c r="FJ53" s="253"/>
      <c r="FK53" s="253"/>
      <c r="FL53" s="256"/>
      <c r="FM53" s="257" t="s">
        <v>1145</v>
      </c>
      <c r="FN53" s="258" t="s">
        <v>389</v>
      </c>
      <c r="FO53" s="258" t="s">
        <v>906</v>
      </c>
      <c r="FP53" s="258" t="s">
        <v>420</v>
      </c>
      <c r="FQ53" s="259">
        <f t="shared" si="3"/>
        <v>0</v>
      </c>
      <c r="FR53" s="260" t="s">
        <v>421</v>
      </c>
      <c r="FS53" s="260"/>
    </row>
    <row r="54" spans="1:175">
      <c r="A54" s="251" t="s">
        <v>393</v>
      </c>
      <c r="B54" s="251" t="s">
        <v>392</v>
      </c>
      <c r="C54" s="251" t="s">
        <v>411</v>
      </c>
      <c r="D54" s="251" t="s">
        <v>1</v>
      </c>
      <c r="E54" s="252" t="s">
        <v>904</v>
      </c>
      <c r="F54" s="251" t="s">
        <v>388</v>
      </c>
      <c r="G54" s="251" t="s">
        <v>1161</v>
      </c>
      <c r="H54" s="253"/>
      <c r="I54" s="253"/>
      <c r="J54" s="253"/>
      <c r="K54" s="253"/>
      <c r="L54" s="253"/>
      <c r="M54" s="255">
        <f>50-50</f>
        <v>0</v>
      </c>
      <c r="N54" s="253"/>
      <c r="O54" s="253"/>
      <c r="P54" s="253"/>
      <c r="Q54" s="253"/>
      <c r="R54" s="253"/>
      <c r="S54" s="253"/>
      <c r="T54" s="253"/>
      <c r="U54" s="255">
        <f>100-100</f>
        <v>0</v>
      </c>
      <c r="V54" s="253"/>
      <c r="W54" s="253"/>
      <c r="X54" s="253"/>
      <c r="Y54" s="253"/>
      <c r="Z54" s="253"/>
      <c r="AA54" s="253"/>
      <c r="AB54" s="253"/>
      <c r="AC54" s="253"/>
      <c r="AD54" s="253"/>
      <c r="AE54" s="253"/>
      <c r="AF54" s="253"/>
      <c r="AG54" s="253"/>
      <c r="AH54" s="255">
        <f>50-50</f>
        <v>0</v>
      </c>
      <c r="AI54" s="253"/>
      <c r="AJ54" s="253"/>
      <c r="AK54" s="253"/>
      <c r="AL54" s="253"/>
      <c r="AM54" s="253"/>
      <c r="AN54" s="253"/>
      <c r="AO54" s="253"/>
      <c r="AP54" s="253"/>
      <c r="AQ54" s="253"/>
      <c r="AR54" s="253"/>
      <c r="AS54" s="253"/>
      <c r="AT54" s="253"/>
      <c r="AU54" s="253"/>
      <c r="AV54" s="253"/>
      <c r="AW54" s="253"/>
      <c r="AX54" s="253"/>
      <c r="AY54" s="253"/>
      <c r="AZ54" s="253"/>
      <c r="BA54" s="253"/>
      <c r="BB54" s="253"/>
      <c r="BC54" s="253"/>
      <c r="BD54" s="253"/>
      <c r="BE54" s="253"/>
      <c r="BF54" s="253"/>
      <c r="BG54" s="253"/>
      <c r="BH54" s="253"/>
      <c r="BI54" s="253"/>
      <c r="BJ54" s="253"/>
      <c r="BK54" s="253"/>
      <c r="BL54" s="253"/>
      <c r="BM54" s="253"/>
      <c r="BN54" s="253"/>
      <c r="BO54" s="253"/>
      <c r="BP54" s="253"/>
      <c r="BQ54" s="253"/>
      <c r="BR54" s="253"/>
      <c r="BS54" s="253"/>
      <c r="BT54" s="253"/>
      <c r="BU54" s="253"/>
      <c r="BV54" s="253"/>
      <c r="BW54" s="253"/>
      <c r="BX54" s="253"/>
      <c r="BY54" s="253"/>
      <c r="BZ54" s="253"/>
      <c r="CA54" s="253"/>
      <c r="CB54" s="253"/>
      <c r="CC54" s="253"/>
      <c r="CD54" s="253"/>
      <c r="CE54" s="253"/>
      <c r="CF54" s="253"/>
      <c r="CG54" s="253"/>
      <c r="CH54" s="253"/>
      <c r="CI54" s="253"/>
      <c r="CJ54" s="253"/>
      <c r="CK54" s="253"/>
      <c r="CL54" s="253"/>
      <c r="CM54" s="253"/>
      <c r="CN54" s="253"/>
      <c r="CO54" s="253"/>
      <c r="CP54" s="253"/>
      <c r="CQ54" s="253"/>
      <c r="CR54" s="253"/>
      <c r="CS54" s="253"/>
      <c r="CT54" s="253"/>
      <c r="CU54" s="253"/>
      <c r="CV54" s="253"/>
      <c r="CW54" s="253"/>
      <c r="CX54" s="253"/>
      <c r="CY54" s="253"/>
      <c r="CZ54" s="253"/>
      <c r="DA54" s="253"/>
      <c r="DB54" s="253"/>
      <c r="DC54" s="253"/>
      <c r="DD54" s="253"/>
      <c r="DE54" s="253"/>
      <c r="DF54" s="253"/>
      <c r="DG54" s="253"/>
      <c r="DH54" s="253"/>
      <c r="DI54" s="253"/>
      <c r="DJ54" s="253"/>
      <c r="DK54" s="253"/>
      <c r="DL54" s="253"/>
      <c r="DM54" s="253"/>
      <c r="DN54" s="253"/>
      <c r="DO54" s="253"/>
      <c r="DP54" s="253"/>
      <c r="DQ54" s="253"/>
      <c r="DR54" s="253"/>
      <c r="DS54" s="253"/>
      <c r="DT54" s="253"/>
      <c r="DU54" s="253"/>
      <c r="DV54" s="253"/>
      <c r="DW54" s="253"/>
      <c r="DX54" s="253"/>
      <c r="DY54" s="253"/>
      <c r="DZ54" s="253"/>
      <c r="EA54" s="253"/>
      <c r="EB54" s="253"/>
      <c r="EC54" s="253"/>
      <c r="ED54" s="253"/>
      <c r="EE54" s="253"/>
      <c r="EF54" s="253"/>
      <c r="EG54" s="253"/>
      <c r="EH54" s="253"/>
      <c r="EI54" s="253"/>
      <c r="EJ54" s="253"/>
      <c r="EK54" s="253"/>
      <c r="EL54" s="253"/>
      <c r="EM54" s="253"/>
      <c r="EN54" s="253"/>
      <c r="EO54" s="253"/>
      <c r="EP54" s="253"/>
      <c r="EQ54" s="253"/>
      <c r="ER54" s="253"/>
      <c r="ES54" s="253"/>
      <c r="ET54" s="253"/>
      <c r="EU54" s="253"/>
      <c r="EV54" s="253"/>
      <c r="EW54" s="253"/>
      <c r="EX54" s="253"/>
      <c r="EY54" s="253"/>
      <c r="EZ54" s="253"/>
      <c r="FA54" s="253"/>
      <c r="FB54" s="253"/>
      <c r="FC54" s="253"/>
      <c r="FD54" s="253"/>
      <c r="FE54" s="253"/>
      <c r="FF54" s="253"/>
      <c r="FG54" s="253"/>
      <c r="FH54" s="253"/>
      <c r="FI54" s="253"/>
      <c r="FJ54" s="253"/>
      <c r="FK54" s="253"/>
      <c r="FL54" s="256"/>
      <c r="FM54" s="257" t="s">
        <v>1145</v>
      </c>
      <c r="FN54" s="258" t="s">
        <v>389</v>
      </c>
      <c r="FO54" s="258" t="s">
        <v>906</v>
      </c>
      <c r="FP54" s="258" t="s">
        <v>420</v>
      </c>
      <c r="FQ54" s="259">
        <f t="shared" si="3"/>
        <v>0</v>
      </c>
      <c r="FR54" s="260" t="s">
        <v>421</v>
      </c>
      <c r="FS54" s="260"/>
    </row>
    <row r="55" spans="1:175">
      <c r="A55" s="251" t="s">
        <v>393</v>
      </c>
      <c r="B55" s="251" t="s">
        <v>385</v>
      </c>
      <c r="C55" s="251" t="s">
        <v>411</v>
      </c>
      <c r="D55" s="251" t="s">
        <v>291</v>
      </c>
      <c r="E55" s="252" t="s">
        <v>422</v>
      </c>
      <c r="F55" s="251" t="s">
        <v>388</v>
      </c>
      <c r="G55" s="251"/>
      <c r="H55" s="253"/>
      <c r="I55" s="255">
        <f>200-200</f>
        <v>0</v>
      </c>
      <c r="J55" s="253"/>
      <c r="K55" s="255">
        <f>500-500</f>
        <v>0</v>
      </c>
      <c r="L55" s="253"/>
      <c r="M55" s="253"/>
      <c r="N55" s="253"/>
      <c r="O55" s="253"/>
      <c r="P55" s="253"/>
      <c r="Q55" s="255">
        <f>2000-2000</f>
        <v>0</v>
      </c>
      <c r="R55" s="253"/>
      <c r="S55" s="253"/>
      <c r="T55" s="255">
        <f>2000-2000</f>
        <v>0</v>
      </c>
      <c r="U55" s="253"/>
      <c r="V55" s="253"/>
      <c r="W55" s="253"/>
      <c r="X55" s="253"/>
      <c r="Y55" s="253"/>
      <c r="Z55" s="253"/>
      <c r="AA55" s="253"/>
      <c r="AB55" s="253"/>
      <c r="AC55" s="253"/>
      <c r="AD55" s="255">
        <f>1980-1980</f>
        <v>0</v>
      </c>
      <c r="AE55" s="253"/>
      <c r="AF55" s="255">
        <f>2000-2000</f>
        <v>0</v>
      </c>
      <c r="AG55" s="255">
        <f>2000-2000</f>
        <v>0</v>
      </c>
      <c r="AH55" s="253"/>
      <c r="AI55" s="253"/>
      <c r="AJ55" s="253"/>
      <c r="AK55" s="253"/>
      <c r="AL55" s="255">
        <f>1900-1900</f>
        <v>0</v>
      </c>
      <c r="AM55" s="253"/>
      <c r="AN55" s="255">
        <f>1840-1840</f>
        <v>0</v>
      </c>
      <c r="AO55" s="253"/>
      <c r="AP55" s="255">
        <f>2000-2000</f>
        <v>0</v>
      </c>
      <c r="AQ55" s="253"/>
      <c r="AR55" s="253"/>
      <c r="AS55" s="253"/>
      <c r="AT55" s="253"/>
      <c r="AU55" s="253"/>
      <c r="AV55" s="253"/>
      <c r="AW55" s="255">
        <f>2000-2000</f>
        <v>0</v>
      </c>
      <c r="AX55" s="253"/>
      <c r="AY55" s="253"/>
      <c r="AZ55" s="253"/>
      <c r="BA55" s="253"/>
      <c r="BB55" s="253"/>
      <c r="BC55" s="255">
        <f>500-500</f>
        <v>0</v>
      </c>
      <c r="BD55" s="253"/>
      <c r="BE55" s="253"/>
      <c r="BF55" s="253"/>
      <c r="BG55" s="253"/>
      <c r="BH55" s="253"/>
      <c r="BI55" s="253"/>
      <c r="BJ55" s="253"/>
      <c r="BK55" s="253"/>
      <c r="BL55" s="253"/>
      <c r="BM55" s="253"/>
      <c r="BN55" s="253"/>
      <c r="BO55" s="253"/>
      <c r="BP55" s="253"/>
      <c r="BQ55" s="253"/>
      <c r="BR55" s="253"/>
      <c r="BS55" s="253"/>
      <c r="BT55" s="253"/>
      <c r="BU55" s="253"/>
      <c r="BV55" s="253"/>
      <c r="BW55" s="253"/>
      <c r="BX55" s="253"/>
      <c r="BY55" s="253"/>
      <c r="BZ55" s="253"/>
      <c r="CA55" s="253"/>
      <c r="CB55" s="253"/>
      <c r="CC55" s="253"/>
      <c r="CD55" s="253"/>
      <c r="CE55" s="253"/>
      <c r="CF55" s="253"/>
      <c r="CG55" s="253"/>
      <c r="CH55" s="253"/>
      <c r="CI55" s="253"/>
      <c r="CJ55" s="253"/>
      <c r="CK55" s="253"/>
      <c r="CL55" s="253"/>
      <c r="CM55" s="253"/>
      <c r="CN55" s="253"/>
      <c r="CO55" s="253"/>
      <c r="CP55" s="253"/>
      <c r="CQ55" s="253"/>
      <c r="CR55" s="253"/>
      <c r="CS55" s="253"/>
      <c r="CT55" s="253"/>
      <c r="CU55" s="253"/>
      <c r="CV55" s="253"/>
      <c r="CW55" s="253"/>
      <c r="CX55" s="253"/>
      <c r="CY55" s="253"/>
      <c r="CZ55" s="253"/>
      <c r="DA55" s="253"/>
      <c r="DB55" s="253"/>
      <c r="DC55" s="253"/>
      <c r="DD55" s="253"/>
      <c r="DE55" s="253"/>
      <c r="DF55" s="253"/>
      <c r="DG55" s="253"/>
      <c r="DH55" s="253"/>
      <c r="DI55" s="253"/>
      <c r="DJ55" s="253"/>
      <c r="DK55" s="253"/>
      <c r="DL55" s="253"/>
      <c r="DM55" s="253"/>
      <c r="DN55" s="253"/>
      <c r="DO55" s="253"/>
      <c r="DP55" s="253"/>
      <c r="DQ55" s="253"/>
      <c r="DR55" s="253"/>
      <c r="DS55" s="253"/>
      <c r="DT55" s="253"/>
      <c r="DU55" s="253"/>
      <c r="DV55" s="253"/>
      <c r="DW55" s="253"/>
      <c r="DX55" s="253"/>
      <c r="DY55" s="253"/>
      <c r="DZ55" s="253"/>
      <c r="EA55" s="253"/>
      <c r="EB55" s="253"/>
      <c r="EC55" s="253"/>
      <c r="ED55" s="253"/>
      <c r="EE55" s="253"/>
      <c r="EF55" s="253"/>
      <c r="EG55" s="253"/>
      <c r="EH55" s="253"/>
      <c r="EI55" s="253"/>
      <c r="EJ55" s="253"/>
      <c r="EK55" s="253"/>
      <c r="EL55" s="253"/>
      <c r="EM55" s="253"/>
      <c r="EN55" s="253"/>
      <c r="EO55" s="253"/>
      <c r="EP55" s="253"/>
      <c r="EQ55" s="253"/>
      <c r="ER55" s="253"/>
      <c r="ES55" s="253"/>
      <c r="ET55" s="253"/>
      <c r="EU55" s="253"/>
      <c r="EV55" s="253"/>
      <c r="EW55" s="253"/>
      <c r="EX55" s="253"/>
      <c r="EY55" s="253"/>
      <c r="EZ55" s="253"/>
      <c r="FA55" s="253"/>
      <c r="FB55" s="253"/>
      <c r="FC55" s="253"/>
      <c r="FD55" s="253"/>
      <c r="FE55" s="253"/>
      <c r="FF55" s="253"/>
      <c r="FG55" s="253"/>
      <c r="FH55" s="253"/>
      <c r="FI55" s="253"/>
      <c r="FJ55" s="253"/>
      <c r="FK55" s="253"/>
      <c r="FL55" s="256"/>
      <c r="FM55" s="257" t="s">
        <v>1145</v>
      </c>
      <c r="FN55" s="258" t="s">
        <v>389</v>
      </c>
      <c r="FO55" s="258"/>
      <c r="FP55" s="258" t="s">
        <v>423</v>
      </c>
      <c r="FQ55" s="259">
        <f t="shared" si="3"/>
        <v>0</v>
      </c>
      <c r="FR55" s="260" t="s">
        <v>424</v>
      </c>
      <c r="FS55" s="260"/>
    </row>
    <row r="56" spans="1:175">
      <c r="A56" s="251" t="s">
        <v>393</v>
      </c>
      <c r="B56" s="251" t="s">
        <v>385</v>
      </c>
      <c r="C56" s="251" t="s">
        <v>411</v>
      </c>
      <c r="D56" s="251" t="s">
        <v>1</v>
      </c>
      <c r="E56" s="252" t="s">
        <v>422</v>
      </c>
      <c r="F56" s="251" t="s">
        <v>388</v>
      </c>
      <c r="G56" s="251"/>
      <c r="H56" s="253"/>
      <c r="I56" s="253"/>
      <c r="J56" s="253"/>
      <c r="K56" s="253"/>
      <c r="L56" s="253"/>
      <c r="M56" s="253"/>
      <c r="N56" s="255">
        <f>600-600</f>
        <v>0</v>
      </c>
      <c r="O56" s="255">
        <f>880-880</f>
        <v>0</v>
      </c>
      <c r="P56" s="255">
        <f>300-300</f>
        <v>0</v>
      </c>
      <c r="Q56" s="253"/>
      <c r="R56" s="253"/>
      <c r="S56" s="255">
        <f>2000-2000</f>
        <v>0</v>
      </c>
      <c r="T56" s="253"/>
      <c r="U56" s="255">
        <f>2000-2000</f>
        <v>0</v>
      </c>
      <c r="V56" s="255">
        <f>2000-2000</f>
        <v>0</v>
      </c>
      <c r="W56" s="255">
        <f>2000-2000</f>
        <v>0</v>
      </c>
      <c r="X56" s="254">
        <f>2000-2000+20</f>
        <v>20</v>
      </c>
      <c r="Y56" s="255">
        <f>2000-2000</f>
        <v>0</v>
      </c>
      <c r="Z56" s="253"/>
      <c r="AA56" s="255">
        <f>1990-1990</f>
        <v>0</v>
      </c>
      <c r="AB56" s="255">
        <f>2000-2000</f>
        <v>0</v>
      </c>
      <c r="AC56" s="255">
        <f>2000-2000</f>
        <v>0</v>
      </c>
      <c r="AD56" s="253"/>
      <c r="AE56" s="255">
        <f>2000-2000</f>
        <v>0</v>
      </c>
      <c r="AF56" s="253"/>
      <c r="AG56" s="254">
        <f>0+10</f>
        <v>10</v>
      </c>
      <c r="AH56" s="255">
        <f>2000-2000</f>
        <v>0</v>
      </c>
      <c r="AI56" s="255">
        <f>2000-2000</f>
        <v>0</v>
      </c>
      <c r="AJ56" s="253"/>
      <c r="AK56" s="255">
        <f>2000-2000</f>
        <v>0</v>
      </c>
      <c r="AL56" s="253"/>
      <c r="AM56" s="253"/>
      <c r="AN56" s="253"/>
      <c r="AO56" s="253"/>
      <c r="AP56" s="253"/>
      <c r="AQ56" s="253"/>
      <c r="AR56" s="254">
        <f>2000-2000+20</f>
        <v>20</v>
      </c>
      <c r="AS56" s="255">
        <f>2000-2000</f>
        <v>0</v>
      </c>
      <c r="AT56" s="255">
        <f>1890-1890</f>
        <v>0</v>
      </c>
      <c r="AU56" s="253"/>
      <c r="AV56" s="255">
        <f>2000-2000</f>
        <v>0</v>
      </c>
      <c r="AW56" s="253"/>
      <c r="AX56" s="253"/>
      <c r="AY56" s="255">
        <f>460-460</f>
        <v>0</v>
      </c>
      <c r="AZ56" s="253"/>
      <c r="BA56" s="253"/>
      <c r="BB56" s="253"/>
      <c r="BC56" s="253"/>
      <c r="BD56" s="255">
        <f>500-500</f>
        <v>0</v>
      </c>
      <c r="BE56" s="253"/>
      <c r="BF56" s="253"/>
      <c r="BG56" s="253"/>
      <c r="BH56" s="253"/>
      <c r="BI56" s="253"/>
      <c r="BJ56" s="255">
        <f>1970-1970</f>
        <v>0</v>
      </c>
      <c r="BK56" s="254">
        <f>2000-2000+13</f>
        <v>13</v>
      </c>
      <c r="BL56" s="255">
        <f>1950-1950</f>
        <v>0</v>
      </c>
      <c r="BM56" s="255">
        <f>1670-1670</f>
        <v>0</v>
      </c>
      <c r="BN56" s="255">
        <f>1920-1920</f>
        <v>0</v>
      </c>
      <c r="BO56" s="255">
        <f>2000-2000</f>
        <v>0</v>
      </c>
      <c r="BP56" s="255">
        <f>2000-2000</f>
        <v>0</v>
      </c>
      <c r="BQ56" s="255">
        <f>1995-1995</f>
        <v>0</v>
      </c>
      <c r="BR56" s="255">
        <f>1980-1980</f>
        <v>0</v>
      </c>
      <c r="BS56" s="253"/>
      <c r="BT56" s="255">
        <f>1996-1996</f>
        <v>0</v>
      </c>
      <c r="BU56" s="255">
        <f>2000-2000</f>
        <v>0</v>
      </c>
      <c r="BV56" s="255">
        <f>2000-2000</f>
        <v>0</v>
      </c>
      <c r="BW56" s="255">
        <f>2000-2000</f>
        <v>0</v>
      </c>
      <c r="BX56" s="253"/>
      <c r="BY56" s="255">
        <f>980-980</f>
        <v>0</v>
      </c>
      <c r="BZ56" s="255">
        <f>1000-1000</f>
        <v>0</v>
      </c>
      <c r="CA56" s="255">
        <f>1000-1000</f>
        <v>0</v>
      </c>
      <c r="CB56" s="255">
        <f>850-850</f>
        <v>0</v>
      </c>
      <c r="CC56" s="255">
        <f>1000-1000</f>
        <v>0</v>
      </c>
      <c r="CD56" s="255">
        <f>200-200</f>
        <v>0</v>
      </c>
      <c r="CE56" s="253"/>
      <c r="CF56" s="255">
        <f>192-192</f>
        <v>0</v>
      </c>
      <c r="CG56" s="255">
        <f>200-200</f>
        <v>0</v>
      </c>
      <c r="CH56" s="255">
        <f>195-195</f>
        <v>0</v>
      </c>
      <c r="CI56" s="255">
        <f>200-200</f>
        <v>0</v>
      </c>
      <c r="CJ56" s="255">
        <f>200-200</f>
        <v>0</v>
      </c>
      <c r="CK56" s="255">
        <f>130-130</f>
        <v>0</v>
      </c>
      <c r="CL56" s="255">
        <f>200-200</f>
        <v>0</v>
      </c>
      <c r="CM56" s="255">
        <f>198-198</f>
        <v>0</v>
      </c>
      <c r="CN56" s="253"/>
      <c r="CO56" s="253"/>
      <c r="CP56" s="253"/>
      <c r="CQ56" s="253"/>
      <c r="CR56" s="253"/>
      <c r="CS56" s="255">
        <f>30-30</f>
        <v>0</v>
      </c>
      <c r="CT56" s="255">
        <f>170-170</f>
        <v>0</v>
      </c>
      <c r="CU56" s="253"/>
      <c r="CV56" s="253"/>
      <c r="CW56" s="255">
        <f>50-50</f>
        <v>0</v>
      </c>
      <c r="CX56" s="255">
        <f>46-46</f>
        <v>0</v>
      </c>
      <c r="CY56" s="255">
        <f>45-45</f>
        <v>0</v>
      </c>
      <c r="CZ56" s="255">
        <f>25-25</f>
        <v>0</v>
      </c>
      <c r="DA56" s="255">
        <f>50-50</f>
        <v>0</v>
      </c>
      <c r="DB56" s="255">
        <f>50-50</f>
        <v>0</v>
      </c>
      <c r="DC56" s="255">
        <f>50-50</f>
        <v>0</v>
      </c>
      <c r="DD56" s="253"/>
      <c r="DE56" s="253"/>
      <c r="DF56" s="253"/>
      <c r="DG56" s="253"/>
      <c r="DH56" s="253"/>
      <c r="DI56" s="253"/>
      <c r="DJ56" s="253"/>
      <c r="DK56" s="255">
        <f>50-50</f>
        <v>0</v>
      </c>
      <c r="DL56" s="253"/>
      <c r="DM56" s="253"/>
      <c r="DN56" s="253"/>
      <c r="DO56" s="253"/>
      <c r="DP56" s="253"/>
      <c r="DQ56" s="253"/>
      <c r="DR56" s="253"/>
      <c r="DS56" s="253"/>
      <c r="DT56" s="253"/>
      <c r="DU56" s="253"/>
      <c r="DV56" s="253"/>
      <c r="DW56" s="253"/>
      <c r="DX56" s="253"/>
      <c r="DY56" s="253"/>
      <c r="DZ56" s="253"/>
      <c r="EA56" s="253"/>
      <c r="EB56" s="253"/>
      <c r="EC56" s="255">
        <f>1000-1000</f>
        <v>0</v>
      </c>
      <c r="ED56" s="255">
        <f>1000-1000</f>
        <v>0</v>
      </c>
      <c r="EE56" s="253"/>
      <c r="EF56" s="253"/>
      <c r="EG56" s="255">
        <f>1000-1000</f>
        <v>0</v>
      </c>
      <c r="EH56" s="254">
        <f>1000-1000+10</f>
        <v>10</v>
      </c>
      <c r="EI56" s="255">
        <f>1000-1000</f>
        <v>0</v>
      </c>
      <c r="EJ56" s="255">
        <f>1000-1000</f>
        <v>0</v>
      </c>
      <c r="EK56" s="255">
        <f>1000-1000</f>
        <v>0</v>
      </c>
      <c r="EL56" s="253"/>
      <c r="EM56" s="253"/>
      <c r="EN56" s="255">
        <f>1000-1000</f>
        <v>0</v>
      </c>
      <c r="EO56" s="255">
        <f>1000-1000</f>
        <v>0</v>
      </c>
      <c r="EP56" s="255">
        <f>1000-1000</f>
        <v>0</v>
      </c>
      <c r="EQ56" s="255">
        <f>970-970</f>
        <v>0</v>
      </c>
      <c r="ER56" s="253"/>
      <c r="ES56" s="255">
        <f>970-970</f>
        <v>0</v>
      </c>
      <c r="ET56" s="255">
        <f>930-930</f>
        <v>0</v>
      </c>
      <c r="EU56" s="255">
        <f>295-295</f>
        <v>0</v>
      </c>
      <c r="EV56" s="253"/>
      <c r="EW56" s="255">
        <f>290-290</f>
        <v>0</v>
      </c>
      <c r="EX56" s="255">
        <f>300-300</f>
        <v>0</v>
      </c>
      <c r="EY56" s="255">
        <f>300-300</f>
        <v>0</v>
      </c>
      <c r="EZ56" s="253"/>
      <c r="FA56" s="255">
        <f>300-300</f>
        <v>0</v>
      </c>
      <c r="FB56" s="255">
        <f>46-46</f>
        <v>0</v>
      </c>
      <c r="FC56" s="255">
        <f>15-15</f>
        <v>0</v>
      </c>
      <c r="FD56" s="253"/>
      <c r="FE56" s="255">
        <f>50-50</f>
        <v>0</v>
      </c>
      <c r="FF56" s="253"/>
      <c r="FG56" s="253"/>
      <c r="FH56" s="255">
        <f>3000-3000</f>
        <v>0</v>
      </c>
      <c r="FI56" s="255">
        <f>3000-3000</f>
        <v>0</v>
      </c>
      <c r="FJ56" s="253"/>
      <c r="FK56" s="253"/>
      <c r="FL56" s="256"/>
      <c r="FM56" s="257" t="s">
        <v>1145</v>
      </c>
      <c r="FN56" s="258" t="s">
        <v>389</v>
      </c>
      <c r="FO56" s="258"/>
      <c r="FP56" s="258" t="s">
        <v>423</v>
      </c>
      <c r="FQ56" s="259">
        <f t="shared" si="3"/>
        <v>73</v>
      </c>
      <c r="FR56" s="260" t="s">
        <v>424</v>
      </c>
      <c r="FS56" s="260"/>
    </row>
    <row r="57" spans="1:175">
      <c r="A57" s="251" t="s">
        <v>393</v>
      </c>
      <c r="B57" s="251" t="s">
        <v>385</v>
      </c>
      <c r="C57" s="251" t="s">
        <v>411</v>
      </c>
      <c r="D57" s="251" t="s">
        <v>293</v>
      </c>
      <c r="E57" s="252" t="s">
        <v>422</v>
      </c>
      <c r="F57" s="251" t="s">
        <v>388</v>
      </c>
      <c r="G57" s="251"/>
      <c r="H57" s="253"/>
      <c r="I57" s="253"/>
      <c r="J57" s="253"/>
      <c r="K57" s="253"/>
      <c r="L57" s="253"/>
      <c r="M57" s="253"/>
      <c r="N57" s="253"/>
      <c r="O57" s="253"/>
      <c r="P57" s="253"/>
      <c r="Q57" s="253"/>
      <c r="R57" s="253"/>
      <c r="S57" s="253"/>
      <c r="T57" s="253"/>
      <c r="U57" s="253"/>
      <c r="V57" s="253"/>
      <c r="W57" s="253"/>
      <c r="X57" s="253"/>
      <c r="Y57" s="253"/>
      <c r="Z57" s="253"/>
      <c r="AA57" s="253"/>
      <c r="AB57" s="253"/>
      <c r="AC57" s="253"/>
      <c r="AD57" s="253"/>
      <c r="AE57" s="253"/>
      <c r="AF57" s="253"/>
      <c r="AG57" s="253"/>
      <c r="AH57" s="253"/>
      <c r="AI57" s="253"/>
      <c r="AJ57" s="253"/>
      <c r="AK57" s="253"/>
      <c r="AL57" s="253"/>
      <c r="AM57" s="253"/>
      <c r="AN57" s="253"/>
      <c r="AO57" s="253"/>
      <c r="AP57" s="253"/>
      <c r="AQ57" s="253"/>
      <c r="AR57" s="253"/>
      <c r="AS57" s="253"/>
      <c r="AT57" s="253"/>
      <c r="AU57" s="253"/>
      <c r="AV57" s="253"/>
      <c r="AW57" s="253"/>
      <c r="AX57" s="253"/>
      <c r="AY57" s="253"/>
      <c r="AZ57" s="253"/>
      <c r="BA57" s="253"/>
      <c r="BB57" s="253"/>
      <c r="BC57" s="253"/>
      <c r="BD57" s="253"/>
      <c r="BE57" s="253"/>
      <c r="BF57" s="253"/>
      <c r="BG57" s="253"/>
      <c r="BH57" s="253"/>
      <c r="BI57" s="253"/>
      <c r="BJ57" s="253"/>
      <c r="BK57" s="253"/>
      <c r="BL57" s="253"/>
      <c r="BM57" s="253"/>
      <c r="BN57" s="253"/>
      <c r="BO57" s="253"/>
      <c r="BP57" s="253"/>
      <c r="BQ57" s="253"/>
      <c r="BR57" s="253"/>
      <c r="BS57" s="253"/>
      <c r="BT57" s="253"/>
      <c r="BU57" s="253"/>
      <c r="BV57" s="253"/>
      <c r="BW57" s="253"/>
      <c r="BX57" s="253"/>
      <c r="BY57" s="253"/>
      <c r="BZ57" s="253"/>
      <c r="CA57" s="253"/>
      <c r="CB57" s="253"/>
      <c r="CC57" s="253"/>
      <c r="CD57" s="253"/>
      <c r="CE57" s="253"/>
      <c r="CF57" s="253"/>
      <c r="CG57" s="253"/>
      <c r="CH57" s="253"/>
      <c r="CI57" s="253"/>
      <c r="CJ57" s="253"/>
      <c r="CK57" s="253"/>
      <c r="CL57" s="253"/>
      <c r="CM57" s="253"/>
      <c r="CN57" s="253"/>
      <c r="CO57" s="253"/>
      <c r="CP57" s="253"/>
      <c r="CQ57" s="253"/>
      <c r="CR57" s="253"/>
      <c r="CS57" s="253"/>
      <c r="CT57" s="253"/>
      <c r="CU57" s="253"/>
      <c r="CV57" s="253"/>
      <c r="CW57" s="253"/>
      <c r="CX57" s="253"/>
      <c r="CY57" s="253"/>
      <c r="CZ57" s="253"/>
      <c r="DA57" s="253"/>
      <c r="DB57" s="253"/>
      <c r="DC57" s="253"/>
      <c r="DD57" s="255">
        <f>48-48</f>
        <v>0</v>
      </c>
      <c r="DE57" s="253"/>
      <c r="DF57" s="253"/>
      <c r="DG57" s="253"/>
      <c r="DH57" s="253"/>
      <c r="DI57" s="253"/>
      <c r="DJ57" s="253"/>
      <c r="DK57" s="253"/>
      <c r="DL57" s="253"/>
      <c r="DM57" s="253"/>
      <c r="DN57" s="253"/>
      <c r="DO57" s="253"/>
      <c r="DP57" s="253"/>
      <c r="DQ57" s="253"/>
      <c r="DR57" s="253"/>
      <c r="DS57" s="253"/>
      <c r="DT57" s="253"/>
      <c r="DU57" s="253"/>
      <c r="DV57" s="253"/>
      <c r="DW57" s="253"/>
      <c r="DX57" s="253"/>
      <c r="DY57" s="253"/>
      <c r="DZ57" s="253"/>
      <c r="EA57" s="253"/>
      <c r="EB57" s="253"/>
      <c r="EC57" s="253"/>
      <c r="ED57" s="253"/>
      <c r="EE57" s="253"/>
      <c r="EF57" s="253"/>
      <c r="EG57" s="253"/>
      <c r="EH57" s="253"/>
      <c r="EI57" s="253"/>
      <c r="EJ57" s="253"/>
      <c r="EK57" s="253"/>
      <c r="EL57" s="253"/>
      <c r="EM57" s="253"/>
      <c r="EN57" s="253"/>
      <c r="EO57" s="253"/>
      <c r="EP57" s="253"/>
      <c r="EQ57" s="253"/>
      <c r="ER57" s="255">
        <f>1000-1000</f>
        <v>0</v>
      </c>
      <c r="ES57" s="253"/>
      <c r="ET57" s="253"/>
      <c r="EU57" s="253"/>
      <c r="EV57" s="255">
        <f>300-300</f>
        <v>0</v>
      </c>
      <c r="EW57" s="253"/>
      <c r="EX57" s="253"/>
      <c r="EY57" s="253"/>
      <c r="EZ57" s="255">
        <f>300-300</f>
        <v>0</v>
      </c>
      <c r="FA57" s="253"/>
      <c r="FB57" s="253"/>
      <c r="FC57" s="253"/>
      <c r="FD57" s="255">
        <f>50-50</f>
        <v>0</v>
      </c>
      <c r="FE57" s="253"/>
      <c r="FF57" s="253"/>
      <c r="FG57" s="253"/>
      <c r="FH57" s="253"/>
      <c r="FI57" s="253"/>
      <c r="FJ57" s="253"/>
      <c r="FK57" s="253"/>
      <c r="FL57" s="256"/>
      <c r="FM57" s="257" t="s">
        <v>1145</v>
      </c>
      <c r="FN57" s="258" t="s">
        <v>389</v>
      </c>
      <c r="FO57" s="258"/>
      <c r="FP57" s="258" t="s">
        <v>423</v>
      </c>
      <c r="FQ57" s="259">
        <f t="shared" si="3"/>
        <v>0</v>
      </c>
      <c r="FR57" s="260" t="s">
        <v>424</v>
      </c>
      <c r="FS57" s="260"/>
    </row>
    <row r="58" spans="1:175">
      <c r="A58" s="251" t="s">
        <v>393</v>
      </c>
      <c r="B58" s="251" t="s">
        <v>385</v>
      </c>
      <c r="C58" s="251" t="s">
        <v>411</v>
      </c>
      <c r="D58" s="251" t="s">
        <v>291</v>
      </c>
      <c r="E58" s="252" t="s">
        <v>425</v>
      </c>
      <c r="F58" s="251" t="s">
        <v>388</v>
      </c>
      <c r="G58" s="251"/>
      <c r="H58" s="253"/>
      <c r="I58" s="253"/>
      <c r="J58" s="253"/>
      <c r="K58" s="253"/>
      <c r="L58" s="253"/>
      <c r="M58" s="253"/>
      <c r="N58" s="253"/>
      <c r="O58" s="253"/>
      <c r="P58" s="253"/>
      <c r="Q58" s="253"/>
      <c r="R58" s="253"/>
      <c r="S58" s="253"/>
      <c r="T58" s="253"/>
      <c r="U58" s="253"/>
      <c r="V58" s="253"/>
      <c r="W58" s="253"/>
      <c r="X58" s="253"/>
      <c r="Y58" s="253"/>
      <c r="Z58" s="253"/>
      <c r="AA58" s="253"/>
      <c r="AB58" s="253"/>
      <c r="AC58" s="253"/>
      <c r="AD58" s="253"/>
      <c r="AE58" s="253"/>
      <c r="AF58" s="255">
        <f>100-100</f>
        <v>0</v>
      </c>
      <c r="AG58" s="253"/>
      <c r="AH58" s="253"/>
      <c r="AI58" s="253"/>
      <c r="AJ58" s="253"/>
      <c r="AK58" s="253"/>
      <c r="AL58" s="255">
        <f>100-100</f>
        <v>0</v>
      </c>
      <c r="AM58" s="253"/>
      <c r="AN58" s="255">
        <f>200-200</f>
        <v>0</v>
      </c>
      <c r="AO58" s="253"/>
      <c r="AP58" s="255">
        <f>200-200</f>
        <v>0</v>
      </c>
      <c r="AQ58" s="255">
        <f>200-200</f>
        <v>0</v>
      </c>
      <c r="AR58" s="253"/>
      <c r="AS58" s="253"/>
      <c r="AT58" s="253"/>
      <c r="AU58" s="253"/>
      <c r="AV58" s="253"/>
      <c r="AW58" s="253"/>
      <c r="AX58" s="253"/>
      <c r="AY58" s="253"/>
      <c r="AZ58" s="253"/>
      <c r="BA58" s="253"/>
      <c r="BB58" s="253"/>
      <c r="BC58" s="253"/>
      <c r="BD58" s="253"/>
      <c r="BE58" s="253"/>
      <c r="BF58" s="253"/>
      <c r="BG58" s="253"/>
      <c r="BH58" s="253"/>
      <c r="BI58" s="253"/>
      <c r="BJ58" s="253"/>
      <c r="BK58" s="253"/>
      <c r="BL58" s="253"/>
      <c r="BM58" s="253"/>
      <c r="BN58" s="253"/>
      <c r="BO58" s="253"/>
      <c r="BP58" s="253"/>
      <c r="BQ58" s="253"/>
      <c r="BR58" s="253"/>
      <c r="BS58" s="253"/>
      <c r="BT58" s="253"/>
      <c r="BU58" s="253"/>
      <c r="BV58" s="253"/>
      <c r="BW58" s="253"/>
      <c r="BX58" s="253"/>
      <c r="BY58" s="253"/>
      <c r="BZ58" s="253"/>
      <c r="CA58" s="253"/>
      <c r="CB58" s="253"/>
      <c r="CC58" s="253"/>
      <c r="CD58" s="253"/>
      <c r="CE58" s="253"/>
      <c r="CF58" s="253"/>
      <c r="CG58" s="253"/>
      <c r="CH58" s="253"/>
      <c r="CI58" s="253"/>
      <c r="CJ58" s="253"/>
      <c r="CK58" s="253"/>
      <c r="CL58" s="253"/>
      <c r="CM58" s="253"/>
      <c r="CN58" s="253"/>
      <c r="CO58" s="253"/>
      <c r="CP58" s="253"/>
      <c r="CQ58" s="253"/>
      <c r="CR58" s="253"/>
      <c r="CS58" s="253"/>
      <c r="CT58" s="253"/>
      <c r="CU58" s="253"/>
      <c r="CV58" s="253"/>
      <c r="CW58" s="253"/>
      <c r="CX58" s="253"/>
      <c r="CY58" s="253"/>
      <c r="CZ58" s="253"/>
      <c r="DA58" s="253"/>
      <c r="DB58" s="253"/>
      <c r="DC58" s="253"/>
      <c r="DD58" s="253"/>
      <c r="DE58" s="253"/>
      <c r="DF58" s="253"/>
      <c r="DG58" s="253"/>
      <c r="DH58" s="253"/>
      <c r="DI58" s="253"/>
      <c r="DJ58" s="253"/>
      <c r="DK58" s="253"/>
      <c r="DL58" s="253"/>
      <c r="DM58" s="253"/>
      <c r="DN58" s="253"/>
      <c r="DO58" s="253"/>
      <c r="DP58" s="253"/>
      <c r="DQ58" s="253"/>
      <c r="DR58" s="253"/>
      <c r="DS58" s="253"/>
      <c r="DT58" s="253"/>
      <c r="DU58" s="253"/>
      <c r="DV58" s="253"/>
      <c r="DW58" s="253"/>
      <c r="DX58" s="253"/>
      <c r="DY58" s="253"/>
      <c r="DZ58" s="253"/>
      <c r="EA58" s="253"/>
      <c r="EB58" s="253"/>
      <c r="EC58" s="253"/>
      <c r="ED58" s="253"/>
      <c r="EE58" s="253"/>
      <c r="EF58" s="253"/>
      <c r="EG58" s="253"/>
      <c r="EH58" s="253"/>
      <c r="EI58" s="253"/>
      <c r="EJ58" s="253"/>
      <c r="EK58" s="253"/>
      <c r="EL58" s="253"/>
      <c r="EM58" s="253"/>
      <c r="EN58" s="253"/>
      <c r="EO58" s="253"/>
      <c r="EP58" s="253"/>
      <c r="EQ58" s="253"/>
      <c r="ER58" s="253"/>
      <c r="ES58" s="253"/>
      <c r="ET58" s="253"/>
      <c r="EU58" s="253"/>
      <c r="EV58" s="253"/>
      <c r="EW58" s="253"/>
      <c r="EX58" s="253"/>
      <c r="EY58" s="253"/>
      <c r="EZ58" s="253"/>
      <c r="FA58" s="253"/>
      <c r="FB58" s="253"/>
      <c r="FC58" s="253"/>
      <c r="FD58" s="253"/>
      <c r="FE58" s="253"/>
      <c r="FF58" s="253"/>
      <c r="FG58" s="253"/>
      <c r="FH58" s="253"/>
      <c r="FI58" s="253"/>
      <c r="FJ58" s="253"/>
      <c r="FK58" s="253"/>
      <c r="FL58" s="256"/>
      <c r="FM58" s="257" t="s">
        <v>1145</v>
      </c>
      <c r="FN58" s="258" t="s">
        <v>389</v>
      </c>
      <c r="FO58" s="258"/>
      <c r="FP58" s="258" t="s">
        <v>413</v>
      </c>
      <c r="FQ58" s="259">
        <f t="shared" si="3"/>
        <v>0</v>
      </c>
      <c r="FR58" s="260" t="s">
        <v>414</v>
      </c>
      <c r="FS58" s="260"/>
    </row>
    <row r="59" spans="1:175">
      <c r="A59" s="251" t="s">
        <v>393</v>
      </c>
      <c r="B59" s="251" t="s">
        <v>385</v>
      </c>
      <c r="C59" s="251" t="s">
        <v>411</v>
      </c>
      <c r="D59" s="251" t="s">
        <v>1</v>
      </c>
      <c r="E59" s="252" t="s">
        <v>425</v>
      </c>
      <c r="F59" s="251" t="s">
        <v>388</v>
      </c>
      <c r="G59" s="251"/>
      <c r="H59" s="253"/>
      <c r="I59" s="253"/>
      <c r="J59" s="253"/>
      <c r="K59" s="253"/>
      <c r="L59" s="253"/>
      <c r="M59" s="253"/>
      <c r="N59" s="253"/>
      <c r="O59" s="255">
        <f>200-200</f>
        <v>0</v>
      </c>
      <c r="P59" s="253"/>
      <c r="Q59" s="253"/>
      <c r="R59" s="253"/>
      <c r="S59" s="253"/>
      <c r="T59" s="253"/>
      <c r="U59" s="255">
        <f>100-100</f>
        <v>0</v>
      </c>
      <c r="V59" s="253"/>
      <c r="W59" s="253"/>
      <c r="X59" s="255">
        <f>100-100</f>
        <v>0</v>
      </c>
      <c r="Y59" s="253"/>
      <c r="Z59" s="253"/>
      <c r="AA59" s="253"/>
      <c r="AB59" s="253"/>
      <c r="AC59" s="253"/>
      <c r="AD59" s="253"/>
      <c r="AE59" s="253"/>
      <c r="AF59" s="253"/>
      <c r="AG59" s="253"/>
      <c r="AH59" s="255">
        <f>100-100</f>
        <v>0</v>
      </c>
      <c r="AI59" s="253"/>
      <c r="AJ59" s="255">
        <f>100-100</f>
        <v>0</v>
      </c>
      <c r="AK59" s="253"/>
      <c r="AL59" s="253"/>
      <c r="AM59" s="253"/>
      <c r="AN59" s="253"/>
      <c r="AO59" s="253"/>
      <c r="AP59" s="253"/>
      <c r="AQ59" s="253"/>
      <c r="AR59" s="253"/>
      <c r="AS59" s="253"/>
      <c r="AT59" s="255">
        <f>200-200</f>
        <v>0</v>
      </c>
      <c r="AU59" s="253"/>
      <c r="AV59" s="253"/>
      <c r="AW59" s="253"/>
      <c r="AX59" s="253"/>
      <c r="AY59" s="253"/>
      <c r="AZ59" s="253"/>
      <c r="BA59" s="253"/>
      <c r="BB59" s="253"/>
      <c r="BC59" s="253"/>
      <c r="BD59" s="253"/>
      <c r="BE59" s="253"/>
      <c r="BF59" s="253"/>
      <c r="BG59" s="253"/>
      <c r="BH59" s="253"/>
      <c r="BI59" s="253"/>
      <c r="BJ59" s="253"/>
      <c r="BK59" s="253"/>
      <c r="BL59" s="253"/>
      <c r="BM59" s="253"/>
      <c r="BN59" s="253"/>
      <c r="BO59" s="253"/>
      <c r="BP59" s="253"/>
      <c r="BQ59" s="253"/>
      <c r="BR59" s="253"/>
      <c r="BS59" s="253"/>
      <c r="BT59" s="253"/>
      <c r="BU59" s="253"/>
      <c r="BV59" s="253"/>
      <c r="BW59" s="253"/>
      <c r="BX59" s="253"/>
      <c r="BY59" s="253"/>
      <c r="BZ59" s="253"/>
      <c r="CA59" s="253"/>
      <c r="CB59" s="253"/>
      <c r="CC59" s="253"/>
      <c r="CD59" s="253"/>
      <c r="CE59" s="253"/>
      <c r="CF59" s="253"/>
      <c r="CG59" s="253"/>
      <c r="CH59" s="253"/>
      <c r="CI59" s="253"/>
      <c r="CJ59" s="253"/>
      <c r="CK59" s="253"/>
      <c r="CL59" s="253"/>
      <c r="CM59" s="253"/>
      <c r="CN59" s="253"/>
      <c r="CO59" s="253"/>
      <c r="CP59" s="253"/>
      <c r="CQ59" s="253"/>
      <c r="CR59" s="253"/>
      <c r="CS59" s="253"/>
      <c r="CT59" s="253"/>
      <c r="CU59" s="253"/>
      <c r="CV59" s="253"/>
      <c r="CW59" s="253"/>
      <c r="CX59" s="253"/>
      <c r="CY59" s="253"/>
      <c r="CZ59" s="253"/>
      <c r="DA59" s="253"/>
      <c r="DB59" s="253"/>
      <c r="DC59" s="253"/>
      <c r="DD59" s="253"/>
      <c r="DE59" s="253"/>
      <c r="DF59" s="253"/>
      <c r="DG59" s="253"/>
      <c r="DH59" s="253"/>
      <c r="DI59" s="253"/>
      <c r="DJ59" s="253"/>
      <c r="DK59" s="253"/>
      <c r="DL59" s="253"/>
      <c r="DM59" s="253"/>
      <c r="DN59" s="253"/>
      <c r="DO59" s="253"/>
      <c r="DP59" s="253"/>
      <c r="DQ59" s="253"/>
      <c r="DR59" s="253"/>
      <c r="DS59" s="253"/>
      <c r="DT59" s="253"/>
      <c r="DU59" s="253"/>
      <c r="DV59" s="253"/>
      <c r="DW59" s="253"/>
      <c r="DX59" s="253"/>
      <c r="DY59" s="253"/>
      <c r="DZ59" s="253"/>
      <c r="EA59" s="253"/>
      <c r="EB59" s="253"/>
      <c r="EC59" s="253"/>
      <c r="ED59" s="253"/>
      <c r="EE59" s="253"/>
      <c r="EF59" s="253"/>
      <c r="EG59" s="253"/>
      <c r="EH59" s="253"/>
      <c r="EI59" s="253"/>
      <c r="EJ59" s="253"/>
      <c r="EK59" s="253"/>
      <c r="EL59" s="253"/>
      <c r="EM59" s="253"/>
      <c r="EN59" s="253"/>
      <c r="EO59" s="253"/>
      <c r="EP59" s="253"/>
      <c r="EQ59" s="253"/>
      <c r="ER59" s="253"/>
      <c r="ES59" s="253"/>
      <c r="ET59" s="253"/>
      <c r="EU59" s="253"/>
      <c r="EV59" s="253"/>
      <c r="EW59" s="253"/>
      <c r="EX59" s="253"/>
      <c r="EY59" s="253"/>
      <c r="EZ59" s="253"/>
      <c r="FA59" s="253"/>
      <c r="FB59" s="253"/>
      <c r="FC59" s="253"/>
      <c r="FD59" s="253"/>
      <c r="FE59" s="253"/>
      <c r="FF59" s="253"/>
      <c r="FG59" s="253"/>
      <c r="FH59" s="253"/>
      <c r="FI59" s="253"/>
      <c r="FJ59" s="253"/>
      <c r="FK59" s="253"/>
      <c r="FL59" s="256"/>
      <c r="FM59" s="257" t="s">
        <v>1145</v>
      </c>
      <c r="FN59" s="258" t="s">
        <v>389</v>
      </c>
      <c r="FO59" s="258"/>
      <c r="FP59" s="258" t="s">
        <v>413</v>
      </c>
      <c r="FQ59" s="259">
        <f t="shared" si="3"/>
        <v>0</v>
      </c>
      <c r="FR59" s="260" t="s">
        <v>414</v>
      </c>
      <c r="FS59" s="260"/>
    </row>
    <row r="60" spans="1:175">
      <c r="A60" s="251" t="s">
        <v>385</v>
      </c>
      <c r="B60" s="251" t="s">
        <v>385</v>
      </c>
      <c r="C60" s="251" t="s">
        <v>411</v>
      </c>
      <c r="D60" s="251" t="s">
        <v>291</v>
      </c>
      <c r="E60" s="252" t="s">
        <v>203</v>
      </c>
      <c r="F60" s="251" t="s">
        <v>388</v>
      </c>
      <c r="G60" s="251" t="s">
        <v>1162</v>
      </c>
      <c r="H60" s="253"/>
      <c r="I60" s="255">
        <f>300-300</f>
        <v>0</v>
      </c>
      <c r="J60" s="253"/>
      <c r="K60" s="255">
        <f>60-60</f>
        <v>0</v>
      </c>
      <c r="L60" s="253"/>
      <c r="M60" s="253"/>
      <c r="N60" s="253"/>
      <c r="O60" s="253"/>
      <c r="P60" s="253"/>
      <c r="Q60" s="253"/>
      <c r="R60" s="253"/>
      <c r="S60" s="253"/>
      <c r="T60" s="253"/>
      <c r="U60" s="253"/>
      <c r="V60" s="253"/>
      <c r="W60" s="253"/>
      <c r="X60" s="253"/>
      <c r="Y60" s="253"/>
      <c r="Z60" s="253"/>
      <c r="AA60" s="253"/>
      <c r="AB60" s="253"/>
      <c r="AC60" s="253"/>
      <c r="AD60" s="255">
        <f>200-200</f>
        <v>0</v>
      </c>
      <c r="AE60" s="253"/>
      <c r="AF60" s="255">
        <f>200-200</f>
        <v>0</v>
      </c>
      <c r="AG60" s="255">
        <f>200-200</f>
        <v>0</v>
      </c>
      <c r="AH60" s="253"/>
      <c r="AI60" s="253"/>
      <c r="AJ60" s="253"/>
      <c r="AK60" s="253"/>
      <c r="AL60" s="255">
        <f>200-200</f>
        <v>0</v>
      </c>
      <c r="AM60" s="253"/>
      <c r="AN60" s="253"/>
      <c r="AO60" s="253"/>
      <c r="AP60" s="253"/>
      <c r="AQ60" s="253"/>
      <c r="AR60" s="253"/>
      <c r="AS60" s="253"/>
      <c r="AT60" s="253"/>
      <c r="AU60" s="253"/>
      <c r="AV60" s="253"/>
      <c r="AW60" s="253"/>
      <c r="AX60" s="253"/>
      <c r="AY60" s="253"/>
      <c r="AZ60" s="253"/>
      <c r="BA60" s="253"/>
      <c r="BB60" s="253"/>
      <c r="BC60" s="255">
        <f>200-200</f>
        <v>0</v>
      </c>
      <c r="BD60" s="253"/>
      <c r="BE60" s="253"/>
      <c r="BF60" s="253"/>
      <c r="BG60" s="253"/>
      <c r="BH60" s="253"/>
      <c r="BI60" s="253"/>
      <c r="BJ60" s="253"/>
      <c r="BK60" s="253"/>
      <c r="BL60" s="253"/>
      <c r="BM60" s="253"/>
      <c r="BN60" s="253"/>
      <c r="BO60" s="253"/>
      <c r="BP60" s="253"/>
      <c r="BQ60" s="253"/>
      <c r="BR60" s="253"/>
      <c r="BS60" s="253"/>
      <c r="BT60" s="253"/>
      <c r="BU60" s="253"/>
      <c r="BV60" s="253"/>
      <c r="BW60" s="253"/>
      <c r="BX60" s="253"/>
      <c r="BY60" s="253"/>
      <c r="BZ60" s="253"/>
      <c r="CA60" s="253"/>
      <c r="CB60" s="253"/>
      <c r="CC60" s="253"/>
      <c r="CD60" s="253"/>
      <c r="CE60" s="253"/>
      <c r="CF60" s="253"/>
      <c r="CG60" s="253"/>
      <c r="CH60" s="253"/>
      <c r="CI60" s="253"/>
      <c r="CJ60" s="253"/>
      <c r="CK60" s="253"/>
      <c r="CL60" s="253"/>
      <c r="CM60" s="253"/>
      <c r="CN60" s="253"/>
      <c r="CO60" s="253"/>
      <c r="CP60" s="253"/>
      <c r="CQ60" s="253"/>
      <c r="CR60" s="253"/>
      <c r="CS60" s="253"/>
      <c r="CT60" s="253"/>
      <c r="CU60" s="253"/>
      <c r="CV60" s="253"/>
      <c r="CW60" s="253"/>
      <c r="CX60" s="253"/>
      <c r="CY60" s="253"/>
      <c r="CZ60" s="253"/>
      <c r="DA60" s="253"/>
      <c r="DB60" s="253"/>
      <c r="DC60" s="253"/>
      <c r="DD60" s="253"/>
      <c r="DE60" s="253"/>
      <c r="DF60" s="253"/>
      <c r="DG60" s="253"/>
      <c r="DH60" s="253"/>
      <c r="DI60" s="253"/>
      <c r="DJ60" s="253"/>
      <c r="DK60" s="253"/>
      <c r="DL60" s="253"/>
      <c r="DM60" s="253"/>
      <c r="DN60" s="253"/>
      <c r="DO60" s="253"/>
      <c r="DP60" s="253"/>
      <c r="DQ60" s="253"/>
      <c r="DR60" s="253"/>
      <c r="DS60" s="253"/>
      <c r="DT60" s="253"/>
      <c r="DU60" s="253"/>
      <c r="DV60" s="253"/>
      <c r="DW60" s="253"/>
      <c r="DX60" s="253"/>
      <c r="DY60" s="253"/>
      <c r="DZ60" s="253"/>
      <c r="EA60" s="253"/>
      <c r="EB60" s="253"/>
      <c r="EC60" s="253"/>
      <c r="ED60" s="253"/>
      <c r="EE60" s="253"/>
      <c r="EF60" s="253"/>
      <c r="EG60" s="253"/>
      <c r="EH60" s="253"/>
      <c r="EI60" s="253"/>
      <c r="EJ60" s="253"/>
      <c r="EK60" s="253"/>
      <c r="EL60" s="253"/>
      <c r="EM60" s="253"/>
      <c r="EN60" s="253"/>
      <c r="EO60" s="253"/>
      <c r="EP60" s="253"/>
      <c r="EQ60" s="253"/>
      <c r="ER60" s="253"/>
      <c r="ES60" s="253"/>
      <c r="ET60" s="253"/>
      <c r="EU60" s="253"/>
      <c r="EV60" s="253"/>
      <c r="EW60" s="253"/>
      <c r="EX60" s="253"/>
      <c r="EY60" s="253"/>
      <c r="EZ60" s="253"/>
      <c r="FA60" s="253"/>
      <c r="FB60" s="253"/>
      <c r="FC60" s="253"/>
      <c r="FD60" s="253"/>
      <c r="FE60" s="253"/>
      <c r="FF60" s="253"/>
      <c r="FG60" s="253"/>
      <c r="FH60" s="253"/>
      <c r="FI60" s="253"/>
      <c r="FJ60" s="253"/>
      <c r="FK60" s="253"/>
      <c r="FL60" s="256"/>
      <c r="FM60" s="257" t="s">
        <v>1145</v>
      </c>
      <c r="FN60" s="258" t="s">
        <v>389</v>
      </c>
      <c r="FO60" s="258" t="s">
        <v>839</v>
      </c>
      <c r="FP60" s="258" t="s">
        <v>426</v>
      </c>
      <c r="FQ60" s="259">
        <f t="shared" si="3"/>
        <v>0</v>
      </c>
      <c r="FR60" s="260" t="s">
        <v>433</v>
      </c>
      <c r="FS60" s="260"/>
    </row>
    <row r="61" spans="1:175">
      <c r="A61" s="251" t="s">
        <v>385</v>
      </c>
      <c r="B61" s="251" t="s">
        <v>385</v>
      </c>
      <c r="C61" s="251" t="s">
        <v>411</v>
      </c>
      <c r="D61" s="251" t="s">
        <v>1</v>
      </c>
      <c r="E61" s="252" t="s">
        <v>203</v>
      </c>
      <c r="F61" s="251" t="s">
        <v>388</v>
      </c>
      <c r="G61" s="251" t="s">
        <v>1162</v>
      </c>
      <c r="H61" s="253"/>
      <c r="I61" s="253"/>
      <c r="J61" s="253"/>
      <c r="K61" s="253"/>
      <c r="L61" s="254">
        <f>300-300+200</f>
        <v>200</v>
      </c>
      <c r="M61" s="253"/>
      <c r="N61" s="255">
        <f>200-200</f>
        <v>0</v>
      </c>
      <c r="O61" s="255">
        <f>200-200</f>
        <v>0</v>
      </c>
      <c r="P61" s="255">
        <f>300-300</f>
        <v>0</v>
      </c>
      <c r="Q61" s="253"/>
      <c r="R61" s="253"/>
      <c r="S61" s="253"/>
      <c r="T61" s="253"/>
      <c r="U61" s="253"/>
      <c r="V61" s="253"/>
      <c r="W61" s="253"/>
      <c r="X61" s="253"/>
      <c r="Y61" s="253"/>
      <c r="Z61" s="253"/>
      <c r="AA61" s="255">
        <f>200-200</f>
        <v>0</v>
      </c>
      <c r="AB61" s="255">
        <f>200-200</f>
        <v>0</v>
      </c>
      <c r="AC61" s="253"/>
      <c r="AD61" s="253"/>
      <c r="AE61" s="253"/>
      <c r="AF61" s="253"/>
      <c r="AG61" s="253"/>
      <c r="AH61" s="253"/>
      <c r="AI61" s="253"/>
      <c r="AJ61" s="255">
        <f>200-200</f>
        <v>0</v>
      </c>
      <c r="AK61" s="253"/>
      <c r="AL61" s="253"/>
      <c r="AM61" s="253"/>
      <c r="AN61" s="253"/>
      <c r="AO61" s="253"/>
      <c r="AP61" s="253"/>
      <c r="AQ61" s="253"/>
      <c r="AR61" s="253"/>
      <c r="AS61" s="253"/>
      <c r="AT61" s="255">
        <f>300-300</f>
        <v>0</v>
      </c>
      <c r="AU61" s="253"/>
      <c r="AV61" s="253"/>
      <c r="AW61" s="253"/>
      <c r="AX61" s="253"/>
      <c r="AY61" s="255">
        <f>200-200</f>
        <v>0</v>
      </c>
      <c r="AZ61" s="253"/>
      <c r="BA61" s="253"/>
      <c r="BB61" s="253"/>
      <c r="BC61" s="253"/>
      <c r="BD61" s="253"/>
      <c r="BE61" s="253"/>
      <c r="BF61" s="253"/>
      <c r="BG61" s="253"/>
      <c r="BH61" s="253"/>
      <c r="BI61" s="253"/>
      <c r="BJ61" s="253"/>
      <c r="BK61" s="253"/>
      <c r="BL61" s="253"/>
      <c r="BM61" s="253"/>
      <c r="BN61" s="253"/>
      <c r="BO61" s="253"/>
      <c r="BP61" s="253"/>
      <c r="BQ61" s="253"/>
      <c r="BR61" s="253"/>
      <c r="BS61" s="253"/>
      <c r="BT61" s="253"/>
      <c r="BU61" s="253"/>
      <c r="BV61" s="253"/>
      <c r="BW61" s="253"/>
      <c r="BX61" s="253"/>
      <c r="BY61" s="253"/>
      <c r="BZ61" s="253"/>
      <c r="CA61" s="253"/>
      <c r="CB61" s="253"/>
      <c r="CC61" s="253"/>
      <c r="CD61" s="253"/>
      <c r="CE61" s="253"/>
      <c r="CF61" s="253"/>
      <c r="CG61" s="253"/>
      <c r="CH61" s="253"/>
      <c r="CI61" s="253"/>
      <c r="CJ61" s="253"/>
      <c r="CK61" s="253"/>
      <c r="CL61" s="253"/>
      <c r="CM61" s="253"/>
      <c r="CN61" s="253"/>
      <c r="CO61" s="253"/>
      <c r="CP61" s="253"/>
      <c r="CQ61" s="253"/>
      <c r="CR61" s="253"/>
      <c r="CS61" s="253"/>
      <c r="CT61" s="253"/>
      <c r="CU61" s="253"/>
      <c r="CV61" s="253"/>
      <c r="CW61" s="253"/>
      <c r="CX61" s="253"/>
      <c r="CY61" s="253"/>
      <c r="CZ61" s="253"/>
      <c r="DA61" s="253"/>
      <c r="DB61" s="253"/>
      <c r="DC61" s="253"/>
      <c r="DD61" s="253"/>
      <c r="DE61" s="253"/>
      <c r="DF61" s="253"/>
      <c r="DG61" s="253"/>
      <c r="DH61" s="253"/>
      <c r="DI61" s="253"/>
      <c r="DJ61" s="253"/>
      <c r="DK61" s="253"/>
      <c r="DL61" s="253"/>
      <c r="DM61" s="253"/>
      <c r="DN61" s="253"/>
      <c r="DO61" s="253"/>
      <c r="DP61" s="253"/>
      <c r="DQ61" s="253"/>
      <c r="DR61" s="253"/>
      <c r="DS61" s="253"/>
      <c r="DT61" s="253"/>
      <c r="DU61" s="253"/>
      <c r="DV61" s="253"/>
      <c r="DW61" s="253"/>
      <c r="DX61" s="253"/>
      <c r="DY61" s="253"/>
      <c r="DZ61" s="253"/>
      <c r="EA61" s="253"/>
      <c r="EB61" s="253"/>
      <c r="EC61" s="253"/>
      <c r="ED61" s="253"/>
      <c r="EE61" s="253"/>
      <c r="EF61" s="253"/>
      <c r="EG61" s="255">
        <f>100-100</f>
        <v>0</v>
      </c>
      <c r="EH61" s="255">
        <f>100-100</f>
        <v>0</v>
      </c>
      <c r="EI61" s="253"/>
      <c r="EJ61" s="253"/>
      <c r="EK61" s="255">
        <f>100-100</f>
        <v>0</v>
      </c>
      <c r="EL61" s="253"/>
      <c r="EM61" s="253"/>
      <c r="EN61" s="255">
        <f>100-100</f>
        <v>0</v>
      </c>
      <c r="EO61" s="253"/>
      <c r="EP61" s="255">
        <f>200-200</f>
        <v>0</v>
      </c>
      <c r="EQ61" s="253"/>
      <c r="ER61" s="253"/>
      <c r="ES61" s="253"/>
      <c r="ET61" s="253"/>
      <c r="EU61" s="253"/>
      <c r="EV61" s="253"/>
      <c r="EW61" s="253"/>
      <c r="EX61" s="253"/>
      <c r="EY61" s="253"/>
      <c r="EZ61" s="253"/>
      <c r="FA61" s="253"/>
      <c r="FB61" s="253"/>
      <c r="FC61" s="253"/>
      <c r="FD61" s="253"/>
      <c r="FE61" s="253"/>
      <c r="FF61" s="253"/>
      <c r="FG61" s="253"/>
      <c r="FH61" s="253"/>
      <c r="FI61" s="253"/>
      <c r="FJ61" s="253"/>
      <c r="FK61" s="253"/>
      <c r="FL61" s="256"/>
      <c r="FM61" s="257" t="s">
        <v>1145</v>
      </c>
      <c r="FN61" s="258" t="s">
        <v>389</v>
      </c>
      <c r="FO61" s="258" t="s">
        <v>839</v>
      </c>
      <c r="FP61" s="258" t="s">
        <v>426</v>
      </c>
      <c r="FQ61" s="259">
        <f t="shared" si="3"/>
        <v>200</v>
      </c>
      <c r="FR61" s="260" t="s">
        <v>433</v>
      </c>
      <c r="FS61" s="260"/>
    </row>
    <row r="62" spans="1:175">
      <c r="A62" s="251" t="s">
        <v>393</v>
      </c>
      <c r="B62" s="251" t="s">
        <v>385</v>
      </c>
      <c r="C62" s="251" t="s">
        <v>411</v>
      </c>
      <c r="D62" s="251" t="s">
        <v>291</v>
      </c>
      <c r="E62" s="252" t="s">
        <v>427</v>
      </c>
      <c r="F62" s="251" t="s">
        <v>388</v>
      </c>
      <c r="G62" s="251" t="s">
        <v>1163</v>
      </c>
      <c r="H62" s="253"/>
      <c r="I62" s="255">
        <f>200-200</f>
        <v>0</v>
      </c>
      <c r="J62" s="253"/>
      <c r="K62" s="255">
        <f>200-200</f>
        <v>0</v>
      </c>
      <c r="L62" s="253"/>
      <c r="M62" s="253"/>
      <c r="N62" s="253"/>
      <c r="O62" s="253"/>
      <c r="P62" s="253"/>
      <c r="Q62" s="253"/>
      <c r="R62" s="253"/>
      <c r="S62" s="253"/>
      <c r="T62" s="253"/>
      <c r="U62" s="253"/>
      <c r="V62" s="253"/>
      <c r="W62" s="253"/>
      <c r="X62" s="253"/>
      <c r="Y62" s="253"/>
      <c r="Z62" s="253"/>
      <c r="AA62" s="253"/>
      <c r="AB62" s="253"/>
      <c r="AC62" s="253"/>
      <c r="AD62" s="255">
        <f>400-400</f>
        <v>0</v>
      </c>
      <c r="AE62" s="253"/>
      <c r="AF62" s="255">
        <f>200-200</f>
        <v>0</v>
      </c>
      <c r="AG62" s="255">
        <f>200-200</f>
        <v>0</v>
      </c>
      <c r="AH62" s="253"/>
      <c r="AI62" s="253"/>
      <c r="AJ62" s="253"/>
      <c r="AK62" s="253"/>
      <c r="AL62" s="255">
        <f>200-200</f>
        <v>0</v>
      </c>
      <c r="AM62" s="253"/>
      <c r="AN62" s="253"/>
      <c r="AO62" s="253"/>
      <c r="AP62" s="253"/>
      <c r="AQ62" s="253"/>
      <c r="AR62" s="253"/>
      <c r="AS62" s="253"/>
      <c r="AT62" s="253"/>
      <c r="AU62" s="253"/>
      <c r="AV62" s="253"/>
      <c r="AW62" s="255">
        <f>200-200</f>
        <v>0</v>
      </c>
      <c r="AX62" s="253"/>
      <c r="AY62" s="253"/>
      <c r="AZ62" s="253"/>
      <c r="BA62" s="253"/>
      <c r="BB62" s="253"/>
      <c r="BC62" s="255">
        <f>200-200</f>
        <v>0</v>
      </c>
      <c r="BD62" s="253"/>
      <c r="BE62" s="253"/>
      <c r="BF62" s="253"/>
      <c r="BG62" s="253"/>
      <c r="BH62" s="253"/>
      <c r="BI62" s="253"/>
      <c r="BJ62" s="253"/>
      <c r="BK62" s="253"/>
      <c r="BL62" s="253"/>
      <c r="BM62" s="253"/>
      <c r="BN62" s="253"/>
      <c r="BO62" s="253"/>
      <c r="BP62" s="253"/>
      <c r="BQ62" s="253"/>
      <c r="BR62" s="253"/>
      <c r="BS62" s="253"/>
      <c r="BT62" s="253"/>
      <c r="BU62" s="253"/>
      <c r="BV62" s="253"/>
      <c r="BW62" s="253"/>
      <c r="BX62" s="253"/>
      <c r="BY62" s="253"/>
      <c r="BZ62" s="253"/>
      <c r="CA62" s="253"/>
      <c r="CB62" s="253"/>
      <c r="CC62" s="253"/>
      <c r="CD62" s="253"/>
      <c r="CE62" s="253"/>
      <c r="CF62" s="253"/>
      <c r="CG62" s="253"/>
      <c r="CH62" s="253"/>
      <c r="CI62" s="253"/>
      <c r="CJ62" s="253"/>
      <c r="CK62" s="253"/>
      <c r="CL62" s="253"/>
      <c r="CM62" s="253"/>
      <c r="CN62" s="253"/>
      <c r="CO62" s="253"/>
      <c r="CP62" s="253"/>
      <c r="CQ62" s="253"/>
      <c r="CR62" s="253"/>
      <c r="CS62" s="253"/>
      <c r="CT62" s="253"/>
      <c r="CU62" s="253"/>
      <c r="CV62" s="253"/>
      <c r="CW62" s="253"/>
      <c r="CX62" s="253"/>
      <c r="CY62" s="253"/>
      <c r="CZ62" s="253"/>
      <c r="DA62" s="253"/>
      <c r="DB62" s="253"/>
      <c r="DC62" s="253"/>
      <c r="DD62" s="253"/>
      <c r="DE62" s="253"/>
      <c r="DF62" s="253"/>
      <c r="DG62" s="253"/>
      <c r="DH62" s="253"/>
      <c r="DI62" s="253"/>
      <c r="DJ62" s="253"/>
      <c r="DK62" s="253"/>
      <c r="DL62" s="253"/>
      <c r="DM62" s="253"/>
      <c r="DN62" s="253"/>
      <c r="DO62" s="253"/>
      <c r="DP62" s="253"/>
      <c r="DQ62" s="253"/>
      <c r="DR62" s="253"/>
      <c r="DS62" s="253"/>
      <c r="DT62" s="253"/>
      <c r="DU62" s="253"/>
      <c r="DV62" s="253"/>
      <c r="DW62" s="255">
        <f>100-100</f>
        <v>0</v>
      </c>
      <c r="DX62" s="254">
        <f>100-100+100</f>
        <v>100</v>
      </c>
      <c r="DY62" s="253"/>
      <c r="DZ62" s="253"/>
      <c r="EA62" s="255">
        <f>100-100</f>
        <v>0</v>
      </c>
      <c r="EB62" s="255">
        <f>100-100</f>
        <v>0</v>
      </c>
      <c r="EC62" s="253"/>
      <c r="ED62" s="253"/>
      <c r="EE62" s="253"/>
      <c r="EF62" s="253"/>
      <c r="EG62" s="253"/>
      <c r="EH62" s="253"/>
      <c r="EI62" s="253"/>
      <c r="EJ62" s="253"/>
      <c r="EK62" s="253"/>
      <c r="EL62" s="253"/>
      <c r="EM62" s="253"/>
      <c r="EN62" s="253"/>
      <c r="EO62" s="253"/>
      <c r="EP62" s="253"/>
      <c r="EQ62" s="253"/>
      <c r="ER62" s="253"/>
      <c r="ES62" s="253"/>
      <c r="ET62" s="253"/>
      <c r="EU62" s="253"/>
      <c r="EV62" s="253"/>
      <c r="EW62" s="253"/>
      <c r="EX62" s="253"/>
      <c r="EY62" s="253"/>
      <c r="EZ62" s="253"/>
      <c r="FA62" s="253"/>
      <c r="FB62" s="253"/>
      <c r="FC62" s="253"/>
      <c r="FD62" s="253"/>
      <c r="FE62" s="253"/>
      <c r="FF62" s="253"/>
      <c r="FG62" s="253"/>
      <c r="FH62" s="253"/>
      <c r="FI62" s="253"/>
      <c r="FJ62" s="253"/>
      <c r="FK62" s="253"/>
      <c r="FL62" s="256"/>
      <c r="FM62" s="257" t="s">
        <v>1145</v>
      </c>
      <c r="FN62" s="258" t="s">
        <v>389</v>
      </c>
      <c r="FO62" s="258"/>
      <c r="FP62" s="258" t="s">
        <v>423</v>
      </c>
      <c r="FQ62" s="259">
        <f t="shared" si="3"/>
        <v>100</v>
      </c>
      <c r="FR62" s="260" t="s">
        <v>835</v>
      </c>
      <c r="FS62" s="260"/>
    </row>
    <row r="63" spans="1:175">
      <c r="A63" s="251" t="s">
        <v>393</v>
      </c>
      <c r="B63" s="251" t="s">
        <v>385</v>
      </c>
      <c r="C63" s="251" t="s">
        <v>411</v>
      </c>
      <c r="D63" s="251" t="s">
        <v>1</v>
      </c>
      <c r="E63" s="252" t="s">
        <v>427</v>
      </c>
      <c r="F63" s="251" t="s">
        <v>388</v>
      </c>
      <c r="G63" s="251" t="s">
        <v>1163</v>
      </c>
      <c r="H63" s="253"/>
      <c r="I63" s="253"/>
      <c r="J63" s="253"/>
      <c r="K63" s="253"/>
      <c r="L63" s="253"/>
      <c r="M63" s="253"/>
      <c r="N63" s="255">
        <f>400-400</f>
        <v>0</v>
      </c>
      <c r="O63" s="255">
        <f>400-400</f>
        <v>0</v>
      </c>
      <c r="P63" s="255">
        <f>200-200</f>
        <v>0</v>
      </c>
      <c r="Q63" s="253"/>
      <c r="R63" s="253"/>
      <c r="S63" s="255">
        <f>100-100</f>
        <v>0</v>
      </c>
      <c r="T63" s="253"/>
      <c r="U63" s="255">
        <f>100-100</f>
        <v>0</v>
      </c>
      <c r="V63" s="253"/>
      <c r="W63" s="253"/>
      <c r="X63" s="253"/>
      <c r="Y63" s="253"/>
      <c r="Z63" s="255">
        <f>100-100</f>
        <v>0</v>
      </c>
      <c r="AA63" s="255">
        <f>400-400</f>
        <v>0</v>
      </c>
      <c r="AB63" s="255">
        <f>100-100</f>
        <v>0</v>
      </c>
      <c r="AC63" s="253"/>
      <c r="AD63" s="253"/>
      <c r="AE63" s="253"/>
      <c r="AF63" s="253"/>
      <c r="AG63" s="253"/>
      <c r="AH63" s="253"/>
      <c r="AI63" s="253"/>
      <c r="AJ63" s="253"/>
      <c r="AK63" s="253"/>
      <c r="AL63" s="253"/>
      <c r="AM63" s="253"/>
      <c r="AN63" s="253"/>
      <c r="AO63" s="253"/>
      <c r="AP63" s="253"/>
      <c r="AQ63" s="253"/>
      <c r="AR63" s="253"/>
      <c r="AS63" s="253"/>
      <c r="AT63" s="255">
        <f>200-200</f>
        <v>0</v>
      </c>
      <c r="AU63" s="253"/>
      <c r="AV63" s="253"/>
      <c r="AW63" s="253"/>
      <c r="AX63" s="253"/>
      <c r="AY63" s="253"/>
      <c r="AZ63" s="253"/>
      <c r="BA63" s="253"/>
      <c r="BB63" s="253"/>
      <c r="BC63" s="253"/>
      <c r="BD63" s="253"/>
      <c r="BE63" s="253"/>
      <c r="BF63" s="253"/>
      <c r="BG63" s="253"/>
      <c r="BH63" s="253"/>
      <c r="BI63" s="253"/>
      <c r="BJ63" s="253"/>
      <c r="BK63" s="253"/>
      <c r="BL63" s="253"/>
      <c r="BM63" s="253"/>
      <c r="BN63" s="253"/>
      <c r="BO63" s="253"/>
      <c r="BP63" s="253"/>
      <c r="BQ63" s="253"/>
      <c r="BR63" s="253"/>
      <c r="BS63" s="253"/>
      <c r="BT63" s="253"/>
      <c r="BU63" s="253"/>
      <c r="BV63" s="253"/>
      <c r="BW63" s="253"/>
      <c r="BX63" s="253"/>
      <c r="BY63" s="253"/>
      <c r="BZ63" s="253"/>
      <c r="CA63" s="253"/>
      <c r="CB63" s="253"/>
      <c r="CC63" s="253"/>
      <c r="CD63" s="253"/>
      <c r="CE63" s="253"/>
      <c r="CF63" s="253"/>
      <c r="CG63" s="253"/>
      <c r="CH63" s="253"/>
      <c r="CI63" s="253"/>
      <c r="CJ63" s="253"/>
      <c r="CK63" s="253"/>
      <c r="CL63" s="253"/>
      <c r="CM63" s="253"/>
      <c r="CN63" s="253"/>
      <c r="CO63" s="253"/>
      <c r="CP63" s="253"/>
      <c r="CQ63" s="253"/>
      <c r="CR63" s="253"/>
      <c r="CS63" s="253"/>
      <c r="CT63" s="253"/>
      <c r="CU63" s="253"/>
      <c r="CV63" s="253"/>
      <c r="CW63" s="253"/>
      <c r="CX63" s="253"/>
      <c r="CY63" s="253"/>
      <c r="CZ63" s="253"/>
      <c r="DA63" s="253"/>
      <c r="DB63" s="253"/>
      <c r="DC63" s="253"/>
      <c r="DD63" s="253"/>
      <c r="DE63" s="253"/>
      <c r="DF63" s="253"/>
      <c r="DG63" s="253"/>
      <c r="DH63" s="253"/>
      <c r="DI63" s="253"/>
      <c r="DJ63" s="253"/>
      <c r="DK63" s="253"/>
      <c r="DL63" s="253"/>
      <c r="DM63" s="253"/>
      <c r="DN63" s="253"/>
      <c r="DO63" s="253"/>
      <c r="DP63" s="253"/>
      <c r="DQ63" s="253"/>
      <c r="DR63" s="253"/>
      <c r="DS63" s="253"/>
      <c r="DT63" s="253"/>
      <c r="DU63" s="253"/>
      <c r="DV63" s="253"/>
      <c r="DW63" s="253"/>
      <c r="DX63" s="253"/>
      <c r="DY63" s="253"/>
      <c r="DZ63" s="253"/>
      <c r="EA63" s="253"/>
      <c r="EB63" s="253"/>
      <c r="EC63" s="253"/>
      <c r="ED63" s="253"/>
      <c r="EE63" s="253"/>
      <c r="EF63" s="253"/>
      <c r="EG63" s="255">
        <f>200-200</f>
        <v>0</v>
      </c>
      <c r="EH63" s="255">
        <f>40-40</f>
        <v>0</v>
      </c>
      <c r="EI63" s="255">
        <f>200-200</f>
        <v>0</v>
      </c>
      <c r="EJ63" s="253"/>
      <c r="EK63" s="255">
        <f>200-200</f>
        <v>0</v>
      </c>
      <c r="EL63" s="253"/>
      <c r="EM63" s="255">
        <f>200-200</f>
        <v>0</v>
      </c>
      <c r="EN63" s="255">
        <f>200-200</f>
        <v>0</v>
      </c>
      <c r="EO63" s="253"/>
      <c r="EP63" s="255">
        <f>200-200</f>
        <v>0</v>
      </c>
      <c r="EQ63" s="253"/>
      <c r="ER63" s="253"/>
      <c r="ES63" s="253"/>
      <c r="ET63" s="253"/>
      <c r="EU63" s="253"/>
      <c r="EV63" s="253"/>
      <c r="EW63" s="253"/>
      <c r="EX63" s="253"/>
      <c r="EY63" s="253"/>
      <c r="EZ63" s="253"/>
      <c r="FA63" s="253"/>
      <c r="FB63" s="253"/>
      <c r="FC63" s="253"/>
      <c r="FD63" s="253"/>
      <c r="FE63" s="253"/>
      <c r="FF63" s="253"/>
      <c r="FG63" s="253"/>
      <c r="FH63" s="255">
        <f>300-300</f>
        <v>0</v>
      </c>
      <c r="FI63" s="255">
        <f>300-300</f>
        <v>0</v>
      </c>
      <c r="FJ63" s="253"/>
      <c r="FK63" s="253"/>
      <c r="FL63" s="256"/>
      <c r="FM63" s="257" t="s">
        <v>1145</v>
      </c>
      <c r="FN63" s="258" t="s">
        <v>389</v>
      </c>
      <c r="FO63" s="258"/>
      <c r="FP63" s="258" t="s">
        <v>423</v>
      </c>
      <c r="FQ63" s="259">
        <f t="shared" si="3"/>
        <v>0</v>
      </c>
      <c r="FR63" s="260" t="s">
        <v>835</v>
      </c>
      <c r="FS63" s="260"/>
    </row>
    <row r="64" spans="1:175">
      <c r="A64" s="251" t="s">
        <v>393</v>
      </c>
      <c r="B64" s="251" t="s">
        <v>385</v>
      </c>
      <c r="C64" s="251" t="s">
        <v>411</v>
      </c>
      <c r="D64" s="251" t="s">
        <v>293</v>
      </c>
      <c r="E64" s="252" t="s">
        <v>427</v>
      </c>
      <c r="F64" s="251" t="s">
        <v>388</v>
      </c>
      <c r="G64" s="251" t="s">
        <v>842</v>
      </c>
      <c r="H64" s="253"/>
      <c r="I64" s="253"/>
      <c r="J64" s="255">
        <f>200-200</f>
        <v>0</v>
      </c>
      <c r="K64" s="253"/>
      <c r="L64" s="253"/>
      <c r="M64" s="253"/>
      <c r="N64" s="253"/>
      <c r="O64" s="253"/>
      <c r="P64" s="253"/>
      <c r="Q64" s="253"/>
      <c r="R64" s="253"/>
      <c r="S64" s="253"/>
      <c r="T64" s="253"/>
      <c r="U64" s="253"/>
      <c r="V64" s="253"/>
      <c r="W64" s="253"/>
      <c r="X64" s="253"/>
      <c r="Y64" s="253"/>
      <c r="Z64" s="253"/>
      <c r="AA64" s="253"/>
      <c r="AB64" s="253"/>
      <c r="AC64" s="253"/>
      <c r="AD64" s="253"/>
      <c r="AE64" s="253"/>
      <c r="AF64" s="253"/>
      <c r="AG64" s="253"/>
      <c r="AH64" s="253"/>
      <c r="AI64" s="253"/>
      <c r="AJ64" s="253"/>
      <c r="AK64" s="253"/>
      <c r="AL64" s="253"/>
      <c r="AM64" s="253"/>
      <c r="AN64" s="253"/>
      <c r="AO64" s="253"/>
      <c r="AP64" s="253"/>
      <c r="AQ64" s="253"/>
      <c r="AR64" s="253"/>
      <c r="AS64" s="253"/>
      <c r="AT64" s="253"/>
      <c r="AU64" s="253"/>
      <c r="AV64" s="253"/>
      <c r="AW64" s="253"/>
      <c r="AX64" s="253"/>
      <c r="AY64" s="253"/>
      <c r="AZ64" s="253"/>
      <c r="BA64" s="253"/>
      <c r="BB64" s="253"/>
      <c r="BC64" s="253"/>
      <c r="BD64" s="253"/>
      <c r="BE64" s="253"/>
      <c r="BF64" s="253"/>
      <c r="BG64" s="253"/>
      <c r="BH64" s="253"/>
      <c r="BI64" s="253"/>
      <c r="BJ64" s="253"/>
      <c r="BK64" s="253"/>
      <c r="BL64" s="253"/>
      <c r="BM64" s="253"/>
      <c r="BN64" s="253"/>
      <c r="BO64" s="253"/>
      <c r="BP64" s="253"/>
      <c r="BQ64" s="253"/>
      <c r="BR64" s="253"/>
      <c r="BS64" s="253"/>
      <c r="BT64" s="253"/>
      <c r="BU64" s="253"/>
      <c r="BV64" s="253"/>
      <c r="BW64" s="253"/>
      <c r="BX64" s="253"/>
      <c r="BY64" s="253"/>
      <c r="BZ64" s="253"/>
      <c r="CA64" s="253"/>
      <c r="CB64" s="253"/>
      <c r="CC64" s="253"/>
      <c r="CD64" s="253"/>
      <c r="CE64" s="253"/>
      <c r="CF64" s="253"/>
      <c r="CG64" s="253"/>
      <c r="CH64" s="253"/>
      <c r="CI64" s="253"/>
      <c r="CJ64" s="253"/>
      <c r="CK64" s="253"/>
      <c r="CL64" s="253"/>
      <c r="CM64" s="253"/>
      <c r="CN64" s="253"/>
      <c r="CO64" s="253"/>
      <c r="CP64" s="253"/>
      <c r="CQ64" s="253"/>
      <c r="CR64" s="253"/>
      <c r="CS64" s="253"/>
      <c r="CT64" s="253"/>
      <c r="CU64" s="253"/>
      <c r="CV64" s="253"/>
      <c r="CW64" s="253"/>
      <c r="CX64" s="253"/>
      <c r="CY64" s="253"/>
      <c r="CZ64" s="253"/>
      <c r="DA64" s="253"/>
      <c r="DB64" s="253"/>
      <c r="DC64" s="253"/>
      <c r="DD64" s="253"/>
      <c r="DE64" s="253"/>
      <c r="DF64" s="253"/>
      <c r="DG64" s="253"/>
      <c r="DH64" s="253"/>
      <c r="DI64" s="253"/>
      <c r="DJ64" s="253"/>
      <c r="DK64" s="253"/>
      <c r="DL64" s="253"/>
      <c r="DM64" s="253"/>
      <c r="DN64" s="253"/>
      <c r="DO64" s="253"/>
      <c r="DP64" s="253"/>
      <c r="DQ64" s="253"/>
      <c r="DR64" s="253"/>
      <c r="DS64" s="253"/>
      <c r="DT64" s="253"/>
      <c r="DU64" s="253"/>
      <c r="DV64" s="253"/>
      <c r="DW64" s="253"/>
      <c r="DX64" s="253"/>
      <c r="DY64" s="253"/>
      <c r="DZ64" s="253"/>
      <c r="EA64" s="253"/>
      <c r="EB64" s="253"/>
      <c r="EC64" s="253"/>
      <c r="ED64" s="253"/>
      <c r="EE64" s="253"/>
      <c r="EF64" s="253"/>
      <c r="EG64" s="253"/>
      <c r="EH64" s="253"/>
      <c r="EI64" s="253"/>
      <c r="EJ64" s="253"/>
      <c r="EK64" s="253"/>
      <c r="EL64" s="253"/>
      <c r="EM64" s="253"/>
      <c r="EN64" s="253"/>
      <c r="EO64" s="253"/>
      <c r="EP64" s="253"/>
      <c r="EQ64" s="253"/>
      <c r="ER64" s="253"/>
      <c r="ES64" s="253"/>
      <c r="ET64" s="253"/>
      <c r="EU64" s="253"/>
      <c r="EV64" s="253"/>
      <c r="EW64" s="253"/>
      <c r="EX64" s="253"/>
      <c r="EY64" s="253"/>
      <c r="EZ64" s="253"/>
      <c r="FA64" s="253"/>
      <c r="FB64" s="253"/>
      <c r="FC64" s="253"/>
      <c r="FD64" s="253"/>
      <c r="FE64" s="253"/>
      <c r="FF64" s="253"/>
      <c r="FG64" s="253"/>
      <c r="FH64" s="253"/>
      <c r="FI64" s="253"/>
      <c r="FJ64" s="253"/>
      <c r="FK64" s="253"/>
      <c r="FL64" s="256"/>
      <c r="FM64" s="257" t="s">
        <v>1145</v>
      </c>
      <c r="FN64" s="258" t="s">
        <v>389</v>
      </c>
      <c r="FO64" s="258"/>
      <c r="FP64" s="258" t="s">
        <v>423</v>
      </c>
      <c r="FQ64" s="259">
        <f t="shared" si="3"/>
        <v>0</v>
      </c>
      <c r="FR64" s="260" t="s">
        <v>835</v>
      </c>
      <c r="FS64" s="260"/>
    </row>
    <row r="65" spans="1:175">
      <c r="A65" s="251" t="s">
        <v>393</v>
      </c>
      <c r="B65" s="251" t="s">
        <v>385</v>
      </c>
      <c r="C65" s="251" t="s">
        <v>411</v>
      </c>
      <c r="D65" s="251" t="s">
        <v>291</v>
      </c>
      <c r="E65" s="252" t="s">
        <v>430</v>
      </c>
      <c r="F65" s="251" t="s">
        <v>388</v>
      </c>
      <c r="G65" s="251" t="s">
        <v>1164</v>
      </c>
      <c r="H65" s="253"/>
      <c r="I65" s="255">
        <f>40-40</f>
        <v>0</v>
      </c>
      <c r="J65" s="253"/>
      <c r="K65" s="255">
        <f>30-30</f>
        <v>0</v>
      </c>
      <c r="L65" s="253"/>
      <c r="M65" s="253"/>
      <c r="N65" s="253"/>
      <c r="O65" s="253"/>
      <c r="P65" s="253"/>
      <c r="Q65" s="253"/>
      <c r="R65" s="253"/>
      <c r="S65" s="253"/>
      <c r="T65" s="253"/>
      <c r="U65" s="253"/>
      <c r="V65" s="253"/>
      <c r="W65" s="253"/>
      <c r="X65" s="253"/>
      <c r="Y65" s="253"/>
      <c r="Z65" s="253"/>
      <c r="AA65" s="253"/>
      <c r="AB65" s="253"/>
      <c r="AC65" s="253"/>
      <c r="AD65" s="255">
        <f>10-10</f>
        <v>0</v>
      </c>
      <c r="AE65" s="253"/>
      <c r="AF65" s="255">
        <f>20-20</f>
        <v>0</v>
      </c>
      <c r="AG65" s="255">
        <f>30-30</f>
        <v>0</v>
      </c>
      <c r="AH65" s="253"/>
      <c r="AI65" s="253"/>
      <c r="AJ65" s="253"/>
      <c r="AK65" s="253"/>
      <c r="AL65" s="253"/>
      <c r="AM65" s="253"/>
      <c r="AN65" s="255">
        <f>120-120</f>
        <v>0</v>
      </c>
      <c r="AO65" s="253"/>
      <c r="AP65" s="253"/>
      <c r="AQ65" s="255">
        <f>40-40</f>
        <v>0</v>
      </c>
      <c r="AR65" s="253"/>
      <c r="AS65" s="253"/>
      <c r="AT65" s="253"/>
      <c r="AU65" s="253"/>
      <c r="AV65" s="253"/>
      <c r="AW65" s="253"/>
      <c r="AX65" s="253"/>
      <c r="AY65" s="253"/>
      <c r="AZ65" s="253"/>
      <c r="BA65" s="253"/>
      <c r="BB65" s="253"/>
      <c r="BC65" s="255">
        <f>30-30</f>
        <v>0</v>
      </c>
      <c r="BD65" s="253"/>
      <c r="BE65" s="253"/>
      <c r="BF65" s="253"/>
      <c r="BG65" s="253"/>
      <c r="BH65" s="253"/>
      <c r="BI65" s="253"/>
      <c r="BJ65" s="253"/>
      <c r="BK65" s="253"/>
      <c r="BL65" s="253"/>
      <c r="BM65" s="253"/>
      <c r="BN65" s="253"/>
      <c r="BO65" s="253"/>
      <c r="BP65" s="253"/>
      <c r="BQ65" s="253"/>
      <c r="BR65" s="253"/>
      <c r="BS65" s="253"/>
      <c r="BT65" s="253"/>
      <c r="BU65" s="253"/>
      <c r="BV65" s="253"/>
      <c r="BW65" s="253"/>
      <c r="BX65" s="253"/>
      <c r="BY65" s="253"/>
      <c r="BZ65" s="253"/>
      <c r="CA65" s="253"/>
      <c r="CB65" s="253"/>
      <c r="CC65" s="253"/>
      <c r="CD65" s="253"/>
      <c r="CE65" s="253"/>
      <c r="CF65" s="253"/>
      <c r="CG65" s="253"/>
      <c r="CH65" s="253"/>
      <c r="CI65" s="253"/>
      <c r="CJ65" s="253"/>
      <c r="CK65" s="253"/>
      <c r="CL65" s="253"/>
      <c r="CM65" s="253"/>
      <c r="CN65" s="253"/>
      <c r="CO65" s="253"/>
      <c r="CP65" s="253"/>
      <c r="CQ65" s="253"/>
      <c r="CR65" s="253"/>
      <c r="CS65" s="253"/>
      <c r="CT65" s="253"/>
      <c r="CU65" s="253"/>
      <c r="CV65" s="253"/>
      <c r="CW65" s="253"/>
      <c r="CX65" s="253"/>
      <c r="CY65" s="253"/>
      <c r="CZ65" s="253"/>
      <c r="DA65" s="253"/>
      <c r="DB65" s="253"/>
      <c r="DC65" s="253"/>
      <c r="DD65" s="253"/>
      <c r="DE65" s="253"/>
      <c r="DF65" s="253"/>
      <c r="DG65" s="253"/>
      <c r="DH65" s="253"/>
      <c r="DI65" s="253"/>
      <c r="DJ65" s="253"/>
      <c r="DK65" s="253"/>
      <c r="DL65" s="253"/>
      <c r="DM65" s="253"/>
      <c r="DN65" s="253"/>
      <c r="DO65" s="253"/>
      <c r="DP65" s="253"/>
      <c r="DQ65" s="253"/>
      <c r="DR65" s="253"/>
      <c r="DS65" s="253"/>
      <c r="DT65" s="253"/>
      <c r="DU65" s="253"/>
      <c r="DV65" s="253"/>
      <c r="DW65" s="253"/>
      <c r="DX65" s="253"/>
      <c r="DY65" s="253"/>
      <c r="DZ65" s="253"/>
      <c r="EA65" s="253"/>
      <c r="EB65" s="253"/>
      <c r="EC65" s="253"/>
      <c r="ED65" s="253"/>
      <c r="EE65" s="253"/>
      <c r="EF65" s="253"/>
      <c r="EG65" s="253"/>
      <c r="EH65" s="253"/>
      <c r="EI65" s="253"/>
      <c r="EJ65" s="253"/>
      <c r="EK65" s="253"/>
      <c r="EL65" s="253"/>
      <c r="EM65" s="253"/>
      <c r="EN65" s="253"/>
      <c r="EO65" s="253"/>
      <c r="EP65" s="253"/>
      <c r="EQ65" s="253"/>
      <c r="ER65" s="253"/>
      <c r="ES65" s="253"/>
      <c r="ET65" s="253"/>
      <c r="EU65" s="253"/>
      <c r="EV65" s="253"/>
      <c r="EW65" s="253"/>
      <c r="EX65" s="253"/>
      <c r="EY65" s="253"/>
      <c r="EZ65" s="253"/>
      <c r="FA65" s="253"/>
      <c r="FB65" s="253"/>
      <c r="FC65" s="253"/>
      <c r="FD65" s="253"/>
      <c r="FE65" s="253"/>
      <c r="FF65" s="253"/>
      <c r="FG65" s="253"/>
      <c r="FH65" s="253"/>
      <c r="FI65" s="253"/>
      <c r="FJ65" s="253"/>
      <c r="FK65" s="253"/>
      <c r="FL65" s="256"/>
      <c r="FM65" s="257" t="s">
        <v>1145</v>
      </c>
      <c r="FN65" s="258" t="s">
        <v>389</v>
      </c>
      <c r="FO65" s="258" t="s">
        <v>431</v>
      </c>
      <c r="FP65" s="258" t="s">
        <v>432</v>
      </c>
      <c r="FQ65" s="259">
        <f t="shared" si="3"/>
        <v>0</v>
      </c>
      <c r="FR65" s="260" t="s">
        <v>433</v>
      </c>
      <c r="FS65" s="260"/>
    </row>
    <row r="66" spans="1:175">
      <c r="A66" s="251" t="s">
        <v>393</v>
      </c>
      <c r="B66" s="251" t="s">
        <v>385</v>
      </c>
      <c r="C66" s="251" t="s">
        <v>411</v>
      </c>
      <c r="D66" s="251" t="s">
        <v>1</v>
      </c>
      <c r="E66" s="252" t="s">
        <v>430</v>
      </c>
      <c r="F66" s="251" t="s">
        <v>388</v>
      </c>
      <c r="G66" s="251" t="s">
        <v>1164</v>
      </c>
      <c r="H66" s="253"/>
      <c r="I66" s="253"/>
      <c r="J66" s="253"/>
      <c r="K66" s="253"/>
      <c r="L66" s="253"/>
      <c r="M66" s="253"/>
      <c r="N66" s="253"/>
      <c r="O66" s="253"/>
      <c r="P66" s="253"/>
      <c r="Q66" s="253"/>
      <c r="R66" s="253"/>
      <c r="S66" s="255">
        <f>30-30</f>
        <v>0</v>
      </c>
      <c r="T66" s="253"/>
      <c r="U66" s="255">
        <f>60-60</f>
        <v>0</v>
      </c>
      <c r="V66" s="253"/>
      <c r="W66" s="253"/>
      <c r="X66" s="253"/>
      <c r="Y66" s="253"/>
      <c r="Z66" s="255">
        <f>10-10</f>
        <v>0</v>
      </c>
      <c r="AA66" s="255">
        <f>20-20</f>
        <v>0</v>
      </c>
      <c r="AB66" s="253"/>
      <c r="AC66" s="253"/>
      <c r="AD66" s="253"/>
      <c r="AE66" s="253"/>
      <c r="AF66" s="253"/>
      <c r="AG66" s="253"/>
      <c r="AH66" s="253"/>
      <c r="AI66" s="253"/>
      <c r="AJ66" s="253"/>
      <c r="AK66" s="253"/>
      <c r="AL66" s="253"/>
      <c r="AM66" s="253"/>
      <c r="AN66" s="253"/>
      <c r="AO66" s="253"/>
      <c r="AP66" s="253"/>
      <c r="AQ66" s="253"/>
      <c r="AR66" s="253"/>
      <c r="AS66" s="253"/>
      <c r="AT66" s="255">
        <f>180-180</f>
        <v>0</v>
      </c>
      <c r="AU66" s="253"/>
      <c r="AV66" s="253"/>
      <c r="AW66" s="253"/>
      <c r="AX66" s="253"/>
      <c r="AY66" s="253"/>
      <c r="AZ66" s="253"/>
      <c r="BA66" s="253"/>
      <c r="BB66" s="253"/>
      <c r="BC66" s="253"/>
      <c r="BD66" s="253"/>
      <c r="BE66" s="255">
        <f>30-30</f>
        <v>0</v>
      </c>
      <c r="BF66" s="253"/>
      <c r="BG66" s="253"/>
      <c r="BH66" s="253"/>
      <c r="BI66" s="253"/>
      <c r="BJ66" s="253"/>
      <c r="BK66" s="253"/>
      <c r="BL66" s="253"/>
      <c r="BM66" s="253"/>
      <c r="BN66" s="253"/>
      <c r="BO66" s="253"/>
      <c r="BP66" s="253"/>
      <c r="BQ66" s="253"/>
      <c r="BR66" s="253"/>
      <c r="BS66" s="253"/>
      <c r="BT66" s="253"/>
      <c r="BU66" s="253"/>
      <c r="BV66" s="253"/>
      <c r="BW66" s="253"/>
      <c r="BX66" s="253"/>
      <c r="BY66" s="253"/>
      <c r="BZ66" s="253"/>
      <c r="CA66" s="253"/>
      <c r="CB66" s="253"/>
      <c r="CC66" s="253"/>
      <c r="CD66" s="253"/>
      <c r="CE66" s="253"/>
      <c r="CF66" s="253"/>
      <c r="CG66" s="253"/>
      <c r="CH66" s="253"/>
      <c r="CI66" s="253"/>
      <c r="CJ66" s="253"/>
      <c r="CK66" s="253"/>
      <c r="CL66" s="253"/>
      <c r="CM66" s="253"/>
      <c r="CN66" s="253"/>
      <c r="CO66" s="253"/>
      <c r="CP66" s="253"/>
      <c r="CQ66" s="253"/>
      <c r="CR66" s="253"/>
      <c r="CS66" s="253"/>
      <c r="CT66" s="253"/>
      <c r="CU66" s="253"/>
      <c r="CV66" s="253"/>
      <c r="CW66" s="253"/>
      <c r="CX66" s="253"/>
      <c r="CY66" s="253"/>
      <c r="CZ66" s="253"/>
      <c r="DA66" s="253"/>
      <c r="DB66" s="253"/>
      <c r="DC66" s="253"/>
      <c r="DD66" s="253"/>
      <c r="DE66" s="253"/>
      <c r="DF66" s="253"/>
      <c r="DG66" s="253"/>
      <c r="DH66" s="253"/>
      <c r="DI66" s="253"/>
      <c r="DJ66" s="253"/>
      <c r="DK66" s="253"/>
      <c r="DL66" s="253"/>
      <c r="DM66" s="253"/>
      <c r="DN66" s="253"/>
      <c r="DO66" s="253"/>
      <c r="DP66" s="253"/>
      <c r="DQ66" s="253"/>
      <c r="DR66" s="253"/>
      <c r="DS66" s="253"/>
      <c r="DT66" s="253"/>
      <c r="DU66" s="253"/>
      <c r="DV66" s="253"/>
      <c r="DW66" s="253"/>
      <c r="DX66" s="253"/>
      <c r="DY66" s="255">
        <f>90-90</f>
        <v>0</v>
      </c>
      <c r="DZ66" s="253"/>
      <c r="EA66" s="253"/>
      <c r="EB66" s="253"/>
      <c r="EC66" s="253"/>
      <c r="ED66" s="253"/>
      <c r="EE66" s="255">
        <f>70-70</f>
        <v>0</v>
      </c>
      <c r="EF66" s="255">
        <f>20-20</f>
        <v>0</v>
      </c>
      <c r="EG66" s="255">
        <f>30-30</f>
        <v>0</v>
      </c>
      <c r="EH66" s="255">
        <f>10-10</f>
        <v>0</v>
      </c>
      <c r="EI66" s="255">
        <f>10-10</f>
        <v>0</v>
      </c>
      <c r="EJ66" s="253"/>
      <c r="EK66" s="255">
        <f>20-20</f>
        <v>0</v>
      </c>
      <c r="EL66" s="253"/>
      <c r="EM66" s="255">
        <f>70-70</f>
        <v>0</v>
      </c>
      <c r="EN66" s="255">
        <f>50-50</f>
        <v>0</v>
      </c>
      <c r="EO66" s="253"/>
      <c r="EP66" s="255">
        <f>135-135</f>
        <v>0</v>
      </c>
      <c r="EQ66" s="253"/>
      <c r="ER66" s="253"/>
      <c r="ES66" s="253"/>
      <c r="ET66" s="253"/>
      <c r="EU66" s="253"/>
      <c r="EV66" s="253"/>
      <c r="EW66" s="253"/>
      <c r="EX66" s="253"/>
      <c r="EY66" s="253"/>
      <c r="EZ66" s="253"/>
      <c r="FA66" s="253"/>
      <c r="FB66" s="253"/>
      <c r="FC66" s="253"/>
      <c r="FD66" s="253"/>
      <c r="FE66" s="253"/>
      <c r="FF66" s="253"/>
      <c r="FG66" s="253"/>
      <c r="FH66" s="253"/>
      <c r="FI66" s="253"/>
      <c r="FJ66" s="253"/>
      <c r="FK66" s="253"/>
      <c r="FL66" s="256"/>
      <c r="FM66" s="257" t="s">
        <v>1145</v>
      </c>
      <c r="FN66" s="258" t="s">
        <v>389</v>
      </c>
      <c r="FO66" s="258" t="s">
        <v>431</v>
      </c>
      <c r="FP66" s="258" t="s">
        <v>432</v>
      </c>
      <c r="FQ66" s="259">
        <f t="shared" si="3"/>
        <v>0</v>
      </c>
      <c r="FR66" s="260" t="s">
        <v>433</v>
      </c>
      <c r="FS66" s="260"/>
    </row>
    <row r="67" spans="1:175">
      <c r="A67" s="251" t="s">
        <v>393</v>
      </c>
      <c r="B67" s="251" t="s">
        <v>385</v>
      </c>
      <c r="C67" s="251" t="s">
        <v>411</v>
      </c>
      <c r="D67" s="251" t="s">
        <v>293</v>
      </c>
      <c r="E67" s="252" t="s">
        <v>430</v>
      </c>
      <c r="F67" s="251" t="s">
        <v>388</v>
      </c>
      <c r="G67" s="251" t="s">
        <v>1165</v>
      </c>
      <c r="H67" s="253"/>
      <c r="I67" s="253"/>
      <c r="J67" s="255">
        <f>20-20</f>
        <v>0</v>
      </c>
      <c r="K67" s="253"/>
      <c r="L67" s="253"/>
      <c r="M67" s="253"/>
      <c r="N67" s="253"/>
      <c r="O67" s="253"/>
      <c r="P67" s="253"/>
      <c r="Q67" s="253"/>
      <c r="R67" s="253"/>
      <c r="S67" s="253"/>
      <c r="T67" s="253"/>
      <c r="U67" s="253"/>
      <c r="V67" s="253"/>
      <c r="W67" s="253"/>
      <c r="X67" s="253"/>
      <c r="Y67" s="253"/>
      <c r="Z67" s="253"/>
      <c r="AA67" s="253"/>
      <c r="AB67" s="253"/>
      <c r="AC67" s="253"/>
      <c r="AD67" s="253"/>
      <c r="AE67" s="253"/>
      <c r="AF67" s="253"/>
      <c r="AG67" s="253"/>
      <c r="AH67" s="253"/>
      <c r="AI67" s="253"/>
      <c r="AJ67" s="253"/>
      <c r="AK67" s="253"/>
      <c r="AL67" s="253"/>
      <c r="AM67" s="253"/>
      <c r="AN67" s="253"/>
      <c r="AO67" s="253"/>
      <c r="AP67" s="253"/>
      <c r="AQ67" s="253"/>
      <c r="AR67" s="253"/>
      <c r="AS67" s="253"/>
      <c r="AT67" s="253"/>
      <c r="AU67" s="253"/>
      <c r="AV67" s="253"/>
      <c r="AW67" s="253"/>
      <c r="AX67" s="253"/>
      <c r="AY67" s="253"/>
      <c r="AZ67" s="253"/>
      <c r="BA67" s="253"/>
      <c r="BB67" s="253"/>
      <c r="BC67" s="253"/>
      <c r="BD67" s="253"/>
      <c r="BE67" s="253"/>
      <c r="BF67" s="253"/>
      <c r="BG67" s="253"/>
      <c r="BH67" s="253"/>
      <c r="BI67" s="253"/>
      <c r="BJ67" s="253"/>
      <c r="BK67" s="253"/>
      <c r="BL67" s="253"/>
      <c r="BM67" s="253"/>
      <c r="BN67" s="253"/>
      <c r="BO67" s="253"/>
      <c r="BP67" s="253"/>
      <c r="BQ67" s="253"/>
      <c r="BR67" s="253"/>
      <c r="BS67" s="253"/>
      <c r="BT67" s="253"/>
      <c r="BU67" s="253"/>
      <c r="BV67" s="253"/>
      <c r="BW67" s="253"/>
      <c r="BX67" s="253"/>
      <c r="BY67" s="253"/>
      <c r="BZ67" s="253"/>
      <c r="CA67" s="253"/>
      <c r="CB67" s="253"/>
      <c r="CC67" s="253"/>
      <c r="CD67" s="253"/>
      <c r="CE67" s="253"/>
      <c r="CF67" s="253"/>
      <c r="CG67" s="253"/>
      <c r="CH67" s="253"/>
      <c r="CI67" s="253"/>
      <c r="CJ67" s="253"/>
      <c r="CK67" s="253"/>
      <c r="CL67" s="253"/>
      <c r="CM67" s="253"/>
      <c r="CN67" s="253"/>
      <c r="CO67" s="253"/>
      <c r="CP67" s="253"/>
      <c r="CQ67" s="253"/>
      <c r="CR67" s="253"/>
      <c r="CS67" s="253"/>
      <c r="CT67" s="253"/>
      <c r="CU67" s="253"/>
      <c r="CV67" s="253"/>
      <c r="CW67" s="253"/>
      <c r="CX67" s="253"/>
      <c r="CY67" s="253"/>
      <c r="CZ67" s="253"/>
      <c r="DA67" s="253"/>
      <c r="DB67" s="253"/>
      <c r="DC67" s="253"/>
      <c r="DD67" s="253"/>
      <c r="DE67" s="253"/>
      <c r="DF67" s="253"/>
      <c r="DG67" s="253"/>
      <c r="DH67" s="253"/>
      <c r="DI67" s="253"/>
      <c r="DJ67" s="253"/>
      <c r="DK67" s="253"/>
      <c r="DL67" s="253"/>
      <c r="DM67" s="253"/>
      <c r="DN67" s="253"/>
      <c r="DO67" s="253"/>
      <c r="DP67" s="253"/>
      <c r="DQ67" s="253"/>
      <c r="DR67" s="253"/>
      <c r="DS67" s="253"/>
      <c r="DT67" s="253"/>
      <c r="DU67" s="253"/>
      <c r="DV67" s="253"/>
      <c r="DW67" s="253"/>
      <c r="DX67" s="253"/>
      <c r="DY67" s="253"/>
      <c r="DZ67" s="253"/>
      <c r="EA67" s="253"/>
      <c r="EB67" s="253"/>
      <c r="EC67" s="253"/>
      <c r="ED67" s="253"/>
      <c r="EE67" s="253"/>
      <c r="EF67" s="253"/>
      <c r="EG67" s="253"/>
      <c r="EH67" s="253"/>
      <c r="EI67" s="253"/>
      <c r="EJ67" s="253"/>
      <c r="EK67" s="253"/>
      <c r="EL67" s="253"/>
      <c r="EM67" s="253"/>
      <c r="EN67" s="253"/>
      <c r="EO67" s="253"/>
      <c r="EP67" s="253"/>
      <c r="EQ67" s="253"/>
      <c r="ER67" s="253"/>
      <c r="ES67" s="253"/>
      <c r="ET67" s="253"/>
      <c r="EU67" s="253"/>
      <c r="EV67" s="253"/>
      <c r="EW67" s="253"/>
      <c r="EX67" s="253"/>
      <c r="EY67" s="253"/>
      <c r="EZ67" s="253"/>
      <c r="FA67" s="253"/>
      <c r="FB67" s="253"/>
      <c r="FC67" s="253"/>
      <c r="FD67" s="253"/>
      <c r="FE67" s="253"/>
      <c r="FF67" s="253"/>
      <c r="FG67" s="253"/>
      <c r="FH67" s="253"/>
      <c r="FI67" s="253"/>
      <c r="FJ67" s="253"/>
      <c r="FK67" s="253"/>
      <c r="FL67" s="256"/>
      <c r="FM67" s="257" t="s">
        <v>1145</v>
      </c>
      <c r="FN67" s="258" t="s">
        <v>389</v>
      </c>
      <c r="FO67" s="258" t="s">
        <v>431</v>
      </c>
      <c r="FP67" s="258" t="s">
        <v>432</v>
      </c>
      <c r="FQ67" s="259">
        <f t="shared" si="3"/>
        <v>0</v>
      </c>
      <c r="FR67" s="260" t="s">
        <v>433</v>
      </c>
      <c r="FS67" s="260"/>
    </row>
    <row r="68" spans="1:175">
      <c r="A68" s="251" t="s">
        <v>393</v>
      </c>
      <c r="B68" s="251" t="s">
        <v>392</v>
      </c>
      <c r="C68" s="251" t="s">
        <v>411</v>
      </c>
      <c r="D68" s="251" t="s">
        <v>291</v>
      </c>
      <c r="E68" s="252" t="s">
        <v>430</v>
      </c>
      <c r="F68" s="251" t="s">
        <v>388</v>
      </c>
      <c r="G68" s="251" t="s">
        <v>1166</v>
      </c>
      <c r="H68" s="253"/>
      <c r="I68" s="255">
        <f>20-20</f>
        <v>0</v>
      </c>
      <c r="J68" s="253"/>
      <c r="K68" s="255">
        <f>50-50</f>
        <v>0</v>
      </c>
      <c r="L68" s="253"/>
      <c r="M68" s="253"/>
      <c r="N68" s="253"/>
      <c r="O68" s="253"/>
      <c r="P68" s="253"/>
      <c r="Q68" s="253"/>
      <c r="R68" s="253"/>
      <c r="S68" s="253"/>
      <c r="T68" s="253"/>
      <c r="U68" s="253"/>
      <c r="V68" s="253"/>
      <c r="W68" s="253"/>
      <c r="X68" s="253"/>
      <c r="Y68" s="253"/>
      <c r="Z68" s="253"/>
      <c r="AA68" s="253"/>
      <c r="AB68" s="253"/>
      <c r="AC68" s="253"/>
      <c r="AD68" s="255">
        <f>60-60</f>
        <v>0</v>
      </c>
      <c r="AE68" s="253"/>
      <c r="AF68" s="255">
        <f>40-40</f>
        <v>0</v>
      </c>
      <c r="AG68" s="255">
        <f>40-40</f>
        <v>0</v>
      </c>
      <c r="AH68" s="253"/>
      <c r="AI68" s="253"/>
      <c r="AJ68" s="253"/>
      <c r="AK68" s="253"/>
      <c r="AL68" s="253"/>
      <c r="AM68" s="253"/>
      <c r="AN68" s="255">
        <f>140-140</f>
        <v>0</v>
      </c>
      <c r="AO68" s="253"/>
      <c r="AP68" s="253"/>
      <c r="AQ68" s="255">
        <f>90-90</f>
        <v>0</v>
      </c>
      <c r="AR68" s="253"/>
      <c r="AS68" s="253"/>
      <c r="AT68" s="253"/>
      <c r="AU68" s="253"/>
      <c r="AV68" s="253"/>
      <c r="AW68" s="253"/>
      <c r="AX68" s="253"/>
      <c r="AY68" s="253"/>
      <c r="AZ68" s="253"/>
      <c r="BA68" s="253"/>
      <c r="BB68" s="253"/>
      <c r="BC68" s="255">
        <f>40-40</f>
        <v>0</v>
      </c>
      <c r="BD68" s="253"/>
      <c r="BE68" s="253"/>
      <c r="BF68" s="253"/>
      <c r="BG68" s="253"/>
      <c r="BH68" s="253"/>
      <c r="BI68" s="253"/>
      <c r="BJ68" s="253"/>
      <c r="BK68" s="253"/>
      <c r="BL68" s="253"/>
      <c r="BM68" s="253"/>
      <c r="BN68" s="253"/>
      <c r="BO68" s="253"/>
      <c r="BP68" s="253"/>
      <c r="BQ68" s="253"/>
      <c r="BR68" s="253"/>
      <c r="BS68" s="253"/>
      <c r="BT68" s="253"/>
      <c r="BU68" s="253"/>
      <c r="BV68" s="253"/>
      <c r="BW68" s="253"/>
      <c r="BX68" s="253"/>
      <c r="BY68" s="253"/>
      <c r="BZ68" s="253"/>
      <c r="CA68" s="253"/>
      <c r="CB68" s="253"/>
      <c r="CC68" s="253"/>
      <c r="CD68" s="253"/>
      <c r="CE68" s="253"/>
      <c r="CF68" s="253"/>
      <c r="CG68" s="253"/>
      <c r="CH68" s="253"/>
      <c r="CI68" s="253"/>
      <c r="CJ68" s="253"/>
      <c r="CK68" s="253"/>
      <c r="CL68" s="253"/>
      <c r="CM68" s="253"/>
      <c r="CN68" s="253"/>
      <c r="CO68" s="253"/>
      <c r="CP68" s="253"/>
      <c r="CQ68" s="253"/>
      <c r="CR68" s="253"/>
      <c r="CS68" s="253"/>
      <c r="CT68" s="253"/>
      <c r="CU68" s="253"/>
      <c r="CV68" s="253"/>
      <c r="CW68" s="253"/>
      <c r="CX68" s="253"/>
      <c r="CY68" s="253"/>
      <c r="CZ68" s="253"/>
      <c r="DA68" s="253"/>
      <c r="DB68" s="253"/>
      <c r="DC68" s="253"/>
      <c r="DD68" s="253"/>
      <c r="DE68" s="253"/>
      <c r="DF68" s="253"/>
      <c r="DG68" s="253"/>
      <c r="DH68" s="253"/>
      <c r="DI68" s="253"/>
      <c r="DJ68" s="253"/>
      <c r="DK68" s="253"/>
      <c r="DL68" s="253"/>
      <c r="DM68" s="253"/>
      <c r="DN68" s="253"/>
      <c r="DO68" s="253"/>
      <c r="DP68" s="253"/>
      <c r="DQ68" s="253"/>
      <c r="DR68" s="253"/>
      <c r="DS68" s="253"/>
      <c r="DT68" s="253"/>
      <c r="DU68" s="253"/>
      <c r="DV68" s="253"/>
      <c r="DW68" s="253"/>
      <c r="DX68" s="253"/>
      <c r="DY68" s="253"/>
      <c r="DZ68" s="253"/>
      <c r="EA68" s="253"/>
      <c r="EB68" s="253"/>
      <c r="EC68" s="253"/>
      <c r="ED68" s="253"/>
      <c r="EE68" s="253"/>
      <c r="EF68" s="253"/>
      <c r="EG68" s="253"/>
      <c r="EH68" s="253"/>
      <c r="EI68" s="253"/>
      <c r="EJ68" s="253"/>
      <c r="EK68" s="253"/>
      <c r="EL68" s="253"/>
      <c r="EM68" s="253"/>
      <c r="EN68" s="253"/>
      <c r="EO68" s="253"/>
      <c r="EP68" s="253"/>
      <c r="EQ68" s="253"/>
      <c r="ER68" s="253"/>
      <c r="ES68" s="253"/>
      <c r="ET68" s="253"/>
      <c r="EU68" s="253"/>
      <c r="EV68" s="253"/>
      <c r="EW68" s="253"/>
      <c r="EX68" s="253"/>
      <c r="EY68" s="253"/>
      <c r="EZ68" s="253"/>
      <c r="FA68" s="253"/>
      <c r="FB68" s="253"/>
      <c r="FC68" s="253"/>
      <c r="FD68" s="253"/>
      <c r="FE68" s="253"/>
      <c r="FF68" s="253"/>
      <c r="FG68" s="253"/>
      <c r="FH68" s="253"/>
      <c r="FI68" s="253"/>
      <c r="FJ68" s="253"/>
      <c r="FK68" s="253"/>
      <c r="FL68" s="256"/>
      <c r="FM68" s="257" t="s">
        <v>1145</v>
      </c>
      <c r="FN68" s="258" t="s">
        <v>389</v>
      </c>
      <c r="FO68" s="258" t="s">
        <v>431</v>
      </c>
      <c r="FP68" s="258" t="s">
        <v>432</v>
      </c>
      <c r="FQ68" s="259">
        <f t="shared" si="3"/>
        <v>0</v>
      </c>
      <c r="FR68" s="260" t="s">
        <v>433</v>
      </c>
      <c r="FS68" s="260"/>
    </row>
    <row r="69" spans="1:175">
      <c r="A69" s="251" t="s">
        <v>393</v>
      </c>
      <c r="B69" s="251" t="s">
        <v>392</v>
      </c>
      <c r="C69" s="251" t="s">
        <v>411</v>
      </c>
      <c r="D69" s="251" t="s">
        <v>1</v>
      </c>
      <c r="E69" s="252" t="s">
        <v>430</v>
      </c>
      <c r="F69" s="251" t="s">
        <v>388</v>
      </c>
      <c r="G69" s="251" t="s">
        <v>1166</v>
      </c>
      <c r="H69" s="253"/>
      <c r="I69" s="253"/>
      <c r="J69" s="253"/>
      <c r="K69" s="253"/>
      <c r="L69" s="253"/>
      <c r="M69" s="253"/>
      <c r="N69" s="255">
        <f>20-20</f>
        <v>0</v>
      </c>
      <c r="O69" s="253"/>
      <c r="P69" s="253"/>
      <c r="Q69" s="253"/>
      <c r="R69" s="253"/>
      <c r="S69" s="255">
        <f>80-80</f>
        <v>0</v>
      </c>
      <c r="T69" s="253"/>
      <c r="U69" s="255">
        <f>100-100</f>
        <v>0</v>
      </c>
      <c r="V69" s="253"/>
      <c r="W69" s="253"/>
      <c r="X69" s="253"/>
      <c r="Y69" s="253"/>
      <c r="Z69" s="255">
        <f>10-10</f>
        <v>0</v>
      </c>
      <c r="AA69" s="255">
        <f>110-110</f>
        <v>0</v>
      </c>
      <c r="AB69" s="255">
        <f>60-60</f>
        <v>0</v>
      </c>
      <c r="AC69" s="253"/>
      <c r="AD69" s="253"/>
      <c r="AE69" s="253"/>
      <c r="AF69" s="253"/>
      <c r="AG69" s="253"/>
      <c r="AH69" s="253"/>
      <c r="AI69" s="253"/>
      <c r="AJ69" s="253"/>
      <c r="AK69" s="253"/>
      <c r="AL69" s="253"/>
      <c r="AM69" s="253"/>
      <c r="AN69" s="253"/>
      <c r="AO69" s="253"/>
      <c r="AP69" s="253"/>
      <c r="AQ69" s="253"/>
      <c r="AR69" s="253"/>
      <c r="AS69" s="253"/>
      <c r="AT69" s="255">
        <f>350-350</f>
        <v>0</v>
      </c>
      <c r="AU69" s="253"/>
      <c r="AV69" s="253"/>
      <c r="AW69" s="253"/>
      <c r="AX69" s="253"/>
      <c r="AY69" s="253"/>
      <c r="AZ69" s="253"/>
      <c r="BA69" s="253"/>
      <c r="BB69" s="253"/>
      <c r="BC69" s="253"/>
      <c r="BD69" s="253"/>
      <c r="BE69" s="255">
        <f>40-40</f>
        <v>0</v>
      </c>
      <c r="BF69" s="253"/>
      <c r="BG69" s="253"/>
      <c r="BH69" s="253"/>
      <c r="BI69" s="253"/>
      <c r="BJ69" s="253"/>
      <c r="BK69" s="253"/>
      <c r="BL69" s="253"/>
      <c r="BM69" s="253"/>
      <c r="BN69" s="253"/>
      <c r="BO69" s="253"/>
      <c r="BP69" s="253"/>
      <c r="BQ69" s="253"/>
      <c r="BR69" s="253"/>
      <c r="BS69" s="253"/>
      <c r="BT69" s="253"/>
      <c r="BU69" s="253"/>
      <c r="BV69" s="253"/>
      <c r="BW69" s="253"/>
      <c r="BX69" s="253"/>
      <c r="BY69" s="253"/>
      <c r="BZ69" s="253"/>
      <c r="CA69" s="253"/>
      <c r="CB69" s="253"/>
      <c r="CC69" s="253"/>
      <c r="CD69" s="253"/>
      <c r="CE69" s="253"/>
      <c r="CF69" s="253"/>
      <c r="CG69" s="253"/>
      <c r="CH69" s="253"/>
      <c r="CI69" s="253"/>
      <c r="CJ69" s="253"/>
      <c r="CK69" s="253"/>
      <c r="CL69" s="253"/>
      <c r="CM69" s="253"/>
      <c r="CN69" s="253"/>
      <c r="CO69" s="253"/>
      <c r="CP69" s="253"/>
      <c r="CQ69" s="253"/>
      <c r="CR69" s="253"/>
      <c r="CS69" s="253"/>
      <c r="CT69" s="253"/>
      <c r="CU69" s="253"/>
      <c r="CV69" s="253"/>
      <c r="CW69" s="253"/>
      <c r="CX69" s="253"/>
      <c r="CY69" s="253"/>
      <c r="CZ69" s="253"/>
      <c r="DA69" s="253"/>
      <c r="DB69" s="253"/>
      <c r="DC69" s="253"/>
      <c r="DD69" s="253"/>
      <c r="DE69" s="253"/>
      <c r="DF69" s="253"/>
      <c r="DG69" s="253"/>
      <c r="DH69" s="253"/>
      <c r="DI69" s="253"/>
      <c r="DJ69" s="253"/>
      <c r="DK69" s="253"/>
      <c r="DL69" s="253"/>
      <c r="DM69" s="253"/>
      <c r="DN69" s="253"/>
      <c r="DO69" s="253"/>
      <c r="DP69" s="253"/>
      <c r="DQ69" s="253"/>
      <c r="DR69" s="253"/>
      <c r="DS69" s="253"/>
      <c r="DT69" s="253"/>
      <c r="DU69" s="253"/>
      <c r="DV69" s="253"/>
      <c r="DW69" s="253"/>
      <c r="DX69" s="253"/>
      <c r="DY69" s="255">
        <f>240-240</f>
        <v>0</v>
      </c>
      <c r="DZ69" s="253"/>
      <c r="EA69" s="253"/>
      <c r="EB69" s="253"/>
      <c r="EC69" s="253"/>
      <c r="ED69" s="253"/>
      <c r="EE69" s="253"/>
      <c r="EF69" s="253"/>
      <c r="EG69" s="255">
        <f>40-40</f>
        <v>0</v>
      </c>
      <c r="EH69" s="255">
        <f>10-10</f>
        <v>0</v>
      </c>
      <c r="EI69" s="255">
        <f>4-4</f>
        <v>0</v>
      </c>
      <c r="EJ69" s="253"/>
      <c r="EK69" s="255">
        <f>20-20</f>
        <v>0</v>
      </c>
      <c r="EL69" s="253"/>
      <c r="EM69" s="255">
        <f>40-40</f>
        <v>0</v>
      </c>
      <c r="EN69" s="255">
        <f>30-30</f>
        <v>0</v>
      </c>
      <c r="EO69" s="253"/>
      <c r="EP69" s="255">
        <f>95-95</f>
        <v>0</v>
      </c>
      <c r="EQ69" s="253"/>
      <c r="ER69" s="253"/>
      <c r="ES69" s="253"/>
      <c r="ET69" s="253"/>
      <c r="EU69" s="253"/>
      <c r="EV69" s="253"/>
      <c r="EW69" s="253"/>
      <c r="EX69" s="253"/>
      <c r="EY69" s="253"/>
      <c r="EZ69" s="253"/>
      <c r="FA69" s="253"/>
      <c r="FB69" s="253"/>
      <c r="FC69" s="253"/>
      <c r="FD69" s="253"/>
      <c r="FE69" s="253"/>
      <c r="FF69" s="253"/>
      <c r="FG69" s="253"/>
      <c r="FH69" s="253"/>
      <c r="FI69" s="253"/>
      <c r="FJ69" s="253"/>
      <c r="FK69" s="253"/>
      <c r="FL69" s="256"/>
      <c r="FM69" s="257" t="s">
        <v>1145</v>
      </c>
      <c r="FN69" s="258" t="s">
        <v>389</v>
      </c>
      <c r="FO69" s="258" t="s">
        <v>431</v>
      </c>
      <c r="FP69" s="258" t="s">
        <v>432</v>
      </c>
      <c r="FQ69" s="259">
        <f t="shared" si="3"/>
        <v>0</v>
      </c>
      <c r="FR69" s="260" t="s">
        <v>433</v>
      </c>
      <c r="FS69" s="260"/>
    </row>
    <row r="70" spans="1:175">
      <c r="A70" s="251" t="s">
        <v>393</v>
      </c>
      <c r="B70" s="251" t="s">
        <v>392</v>
      </c>
      <c r="C70" s="251" t="s">
        <v>411</v>
      </c>
      <c r="D70" s="251" t="s">
        <v>293</v>
      </c>
      <c r="E70" s="252" t="s">
        <v>430</v>
      </c>
      <c r="F70" s="251" t="s">
        <v>388</v>
      </c>
      <c r="G70" s="251" t="s">
        <v>1167</v>
      </c>
      <c r="H70" s="253"/>
      <c r="I70" s="253"/>
      <c r="J70" s="255">
        <f>60-60</f>
        <v>0</v>
      </c>
      <c r="K70" s="253"/>
      <c r="L70" s="253"/>
      <c r="M70" s="253"/>
      <c r="N70" s="253"/>
      <c r="O70" s="253"/>
      <c r="P70" s="253"/>
      <c r="Q70" s="253"/>
      <c r="R70" s="253"/>
      <c r="S70" s="253"/>
      <c r="T70" s="253"/>
      <c r="U70" s="253"/>
      <c r="V70" s="253"/>
      <c r="W70" s="253"/>
      <c r="X70" s="253"/>
      <c r="Y70" s="253"/>
      <c r="Z70" s="253"/>
      <c r="AA70" s="253"/>
      <c r="AB70" s="253"/>
      <c r="AC70" s="253"/>
      <c r="AD70" s="253"/>
      <c r="AE70" s="253"/>
      <c r="AF70" s="253"/>
      <c r="AG70" s="253"/>
      <c r="AH70" s="253"/>
      <c r="AI70" s="253"/>
      <c r="AJ70" s="253"/>
      <c r="AK70" s="253"/>
      <c r="AL70" s="253"/>
      <c r="AM70" s="253"/>
      <c r="AN70" s="253"/>
      <c r="AO70" s="253"/>
      <c r="AP70" s="253"/>
      <c r="AQ70" s="253"/>
      <c r="AR70" s="253"/>
      <c r="AS70" s="253"/>
      <c r="AT70" s="253"/>
      <c r="AU70" s="253"/>
      <c r="AV70" s="253"/>
      <c r="AW70" s="253"/>
      <c r="AX70" s="253"/>
      <c r="AY70" s="253"/>
      <c r="AZ70" s="253"/>
      <c r="BA70" s="253"/>
      <c r="BB70" s="253"/>
      <c r="BC70" s="253"/>
      <c r="BD70" s="253"/>
      <c r="BE70" s="253"/>
      <c r="BF70" s="253"/>
      <c r="BG70" s="253"/>
      <c r="BH70" s="253"/>
      <c r="BI70" s="253"/>
      <c r="BJ70" s="253"/>
      <c r="BK70" s="253"/>
      <c r="BL70" s="253"/>
      <c r="BM70" s="253"/>
      <c r="BN70" s="253"/>
      <c r="BO70" s="253"/>
      <c r="BP70" s="253"/>
      <c r="BQ70" s="253"/>
      <c r="BR70" s="253"/>
      <c r="BS70" s="253"/>
      <c r="BT70" s="253"/>
      <c r="BU70" s="253"/>
      <c r="BV70" s="253"/>
      <c r="BW70" s="253"/>
      <c r="BX70" s="253"/>
      <c r="BY70" s="253"/>
      <c r="BZ70" s="253"/>
      <c r="CA70" s="253"/>
      <c r="CB70" s="253"/>
      <c r="CC70" s="253"/>
      <c r="CD70" s="253"/>
      <c r="CE70" s="253"/>
      <c r="CF70" s="253"/>
      <c r="CG70" s="253"/>
      <c r="CH70" s="253"/>
      <c r="CI70" s="253"/>
      <c r="CJ70" s="253"/>
      <c r="CK70" s="253"/>
      <c r="CL70" s="253"/>
      <c r="CM70" s="253"/>
      <c r="CN70" s="253"/>
      <c r="CO70" s="253"/>
      <c r="CP70" s="253"/>
      <c r="CQ70" s="253"/>
      <c r="CR70" s="253"/>
      <c r="CS70" s="253"/>
      <c r="CT70" s="253"/>
      <c r="CU70" s="253"/>
      <c r="CV70" s="253"/>
      <c r="CW70" s="253"/>
      <c r="CX70" s="253"/>
      <c r="CY70" s="253"/>
      <c r="CZ70" s="253"/>
      <c r="DA70" s="253"/>
      <c r="DB70" s="253"/>
      <c r="DC70" s="253"/>
      <c r="DD70" s="253"/>
      <c r="DE70" s="253"/>
      <c r="DF70" s="253"/>
      <c r="DG70" s="253"/>
      <c r="DH70" s="253"/>
      <c r="DI70" s="253"/>
      <c r="DJ70" s="253"/>
      <c r="DK70" s="253"/>
      <c r="DL70" s="253"/>
      <c r="DM70" s="253"/>
      <c r="DN70" s="253"/>
      <c r="DO70" s="253"/>
      <c r="DP70" s="253"/>
      <c r="DQ70" s="253"/>
      <c r="DR70" s="253"/>
      <c r="DS70" s="253"/>
      <c r="DT70" s="253"/>
      <c r="DU70" s="253"/>
      <c r="DV70" s="253"/>
      <c r="DW70" s="253"/>
      <c r="DX70" s="253"/>
      <c r="DY70" s="253"/>
      <c r="DZ70" s="253"/>
      <c r="EA70" s="253"/>
      <c r="EB70" s="253"/>
      <c r="EC70" s="253"/>
      <c r="ED70" s="253"/>
      <c r="EE70" s="253"/>
      <c r="EF70" s="253"/>
      <c r="EG70" s="253"/>
      <c r="EH70" s="253"/>
      <c r="EI70" s="253"/>
      <c r="EJ70" s="253"/>
      <c r="EK70" s="253"/>
      <c r="EL70" s="253"/>
      <c r="EM70" s="253"/>
      <c r="EN70" s="253"/>
      <c r="EO70" s="253"/>
      <c r="EP70" s="253"/>
      <c r="EQ70" s="253"/>
      <c r="ER70" s="253"/>
      <c r="ES70" s="253"/>
      <c r="ET70" s="253"/>
      <c r="EU70" s="253"/>
      <c r="EV70" s="253"/>
      <c r="EW70" s="253"/>
      <c r="EX70" s="253"/>
      <c r="EY70" s="253"/>
      <c r="EZ70" s="253"/>
      <c r="FA70" s="253"/>
      <c r="FB70" s="253"/>
      <c r="FC70" s="253"/>
      <c r="FD70" s="253"/>
      <c r="FE70" s="253"/>
      <c r="FF70" s="253"/>
      <c r="FG70" s="253"/>
      <c r="FH70" s="253"/>
      <c r="FI70" s="253"/>
      <c r="FJ70" s="253"/>
      <c r="FK70" s="253"/>
      <c r="FL70" s="256"/>
      <c r="FM70" s="257" t="s">
        <v>1145</v>
      </c>
      <c r="FN70" s="258" t="s">
        <v>389</v>
      </c>
      <c r="FO70" s="258" t="s">
        <v>431</v>
      </c>
      <c r="FP70" s="258" t="s">
        <v>432</v>
      </c>
      <c r="FQ70" s="259">
        <f t="shared" si="3"/>
        <v>0</v>
      </c>
      <c r="FR70" s="260" t="s">
        <v>433</v>
      </c>
      <c r="FS70" s="260"/>
    </row>
    <row r="71" spans="1:175">
      <c r="A71" s="251" t="s">
        <v>385</v>
      </c>
      <c r="B71" s="251" t="s">
        <v>385</v>
      </c>
      <c r="C71" s="251" t="s">
        <v>411</v>
      </c>
      <c r="D71" s="251" t="s">
        <v>291</v>
      </c>
      <c r="E71" s="252" t="s">
        <v>434</v>
      </c>
      <c r="F71" s="251" t="s">
        <v>388</v>
      </c>
      <c r="G71" s="251" t="s">
        <v>1168</v>
      </c>
      <c r="H71" s="253"/>
      <c r="I71" s="253"/>
      <c r="J71" s="253"/>
      <c r="K71" s="253"/>
      <c r="L71" s="253"/>
      <c r="M71" s="253"/>
      <c r="N71" s="253"/>
      <c r="O71" s="253"/>
      <c r="P71" s="253"/>
      <c r="Q71" s="253"/>
      <c r="R71" s="253"/>
      <c r="S71" s="253"/>
      <c r="T71" s="253"/>
      <c r="U71" s="253"/>
      <c r="V71" s="253"/>
      <c r="W71" s="253"/>
      <c r="X71" s="253"/>
      <c r="Y71" s="253"/>
      <c r="Z71" s="253"/>
      <c r="AA71" s="253"/>
      <c r="AB71" s="253"/>
      <c r="AC71" s="253"/>
      <c r="AD71" s="255">
        <f>300-300</f>
        <v>0</v>
      </c>
      <c r="AE71" s="253"/>
      <c r="AF71" s="253"/>
      <c r="AG71" s="253"/>
      <c r="AH71" s="253"/>
      <c r="AI71" s="253"/>
      <c r="AJ71" s="253"/>
      <c r="AK71" s="253"/>
      <c r="AL71" s="253"/>
      <c r="AM71" s="253"/>
      <c r="AN71" s="255">
        <f>300-300</f>
        <v>0</v>
      </c>
      <c r="AO71" s="253"/>
      <c r="AP71" s="253"/>
      <c r="AQ71" s="253"/>
      <c r="AR71" s="253"/>
      <c r="AS71" s="253"/>
      <c r="AT71" s="253"/>
      <c r="AU71" s="253"/>
      <c r="AV71" s="253"/>
      <c r="AW71" s="253"/>
      <c r="AX71" s="253"/>
      <c r="AY71" s="253"/>
      <c r="AZ71" s="253"/>
      <c r="BA71" s="253"/>
      <c r="BB71" s="253"/>
      <c r="BC71" s="255">
        <f>500-500</f>
        <v>0</v>
      </c>
      <c r="BD71" s="253"/>
      <c r="BE71" s="253"/>
      <c r="BF71" s="253"/>
      <c r="BG71" s="253"/>
      <c r="BH71" s="253"/>
      <c r="BI71" s="253"/>
      <c r="BJ71" s="253"/>
      <c r="BK71" s="253"/>
      <c r="BL71" s="253"/>
      <c r="BM71" s="253"/>
      <c r="BN71" s="253"/>
      <c r="BO71" s="253"/>
      <c r="BP71" s="253"/>
      <c r="BQ71" s="253"/>
      <c r="BR71" s="253"/>
      <c r="BS71" s="253"/>
      <c r="BT71" s="253"/>
      <c r="BU71" s="253"/>
      <c r="BV71" s="253"/>
      <c r="BW71" s="253"/>
      <c r="BX71" s="253"/>
      <c r="BY71" s="253"/>
      <c r="BZ71" s="253"/>
      <c r="CA71" s="253"/>
      <c r="CB71" s="253"/>
      <c r="CC71" s="253"/>
      <c r="CD71" s="253"/>
      <c r="CE71" s="253"/>
      <c r="CF71" s="253"/>
      <c r="CG71" s="253"/>
      <c r="CH71" s="253"/>
      <c r="CI71" s="253"/>
      <c r="CJ71" s="253"/>
      <c r="CK71" s="253"/>
      <c r="CL71" s="253"/>
      <c r="CM71" s="253"/>
      <c r="CN71" s="253"/>
      <c r="CO71" s="253"/>
      <c r="CP71" s="253"/>
      <c r="CQ71" s="253"/>
      <c r="CR71" s="253"/>
      <c r="CS71" s="253"/>
      <c r="CT71" s="253"/>
      <c r="CU71" s="253"/>
      <c r="CV71" s="253"/>
      <c r="CW71" s="253"/>
      <c r="CX71" s="253"/>
      <c r="CY71" s="253"/>
      <c r="CZ71" s="253"/>
      <c r="DA71" s="253"/>
      <c r="DB71" s="253"/>
      <c r="DC71" s="253"/>
      <c r="DD71" s="253"/>
      <c r="DE71" s="253"/>
      <c r="DF71" s="253"/>
      <c r="DG71" s="253"/>
      <c r="DH71" s="253"/>
      <c r="DI71" s="253"/>
      <c r="DJ71" s="253"/>
      <c r="DK71" s="253"/>
      <c r="DL71" s="253"/>
      <c r="DM71" s="253"/>
      <c r="DN71" s="253"/>
      <c r="DO71" s="253"/>
      <c r="DP71" s="253"/>
      <c r="DQ71" s="253"/>
      <c r="DR71" s="253"/>
      <c r="DS71" s="253"/>
      <c r="DT71" s="253"/>
      <c r="DU71" s="253"/>
      <c r="DV71" s="253"/>
      <c r="DW71" s="253"/>
      <c r="DX71" s="253"/>
      <c r="DY71" s="253"/>
      <c r="DZ71" s="253"/>
      <c r="EA71" s="253"/>
      <c r="EB71" s="253"/>
      <c r="EC71" s="253"/>
      <c r="ED71" s="253"/>
      <c r="EE71" s="253"/>
      <c r="EF71" s="253"/>
      <c r="EG71" s="253"/>
      <c r="EH71" s="253"/>
      <c r="EI71" s="253"/>
      <c r="EJ71" s="253"/>
      <c r="EK71" s="253"/>
      <c r="EL71" s="253"/>
      <c r="EM71" s="253"/>
      <c r="EN71" s="253"/>
      <c r="EO71" s="253"/>
      <c r="EP71" s="253"/>
      <c r="EQ71" s="253"/>
      <c r="ER71" s="253"/>
      <c r="ES71" s="253"/>
      <c r="ET71" s="253"/>
      <c r="EU71" s="253"/>
      <c r="EV71" s="253"/>
      <c r="EW71" s="253"/>
      <c r="EX71" s="253"/>
      <c r="EY71" s="253"/>
      <c r="EZ71" s="253"/>
      <c r="FA71" s="253"/>
      <c r="FB71" s="253"/>
      <c r="FC71" s="253"/>
      <c r="FD71" s="253"/>
      <c r="FE71" s="253"/>
      <c r="FF71" s="253"/>
      <c r="FG71" s="253"/>
      <c r="FH71" s="253"/>
      <c r="FI71" s="253"/>
      <c r="FJ71" s="253"/>
      <c r="FK71" s="253"/>
      <c r="FL71" s="256"/>
      <c r="FM71" s="257" t="s">
        <v>1145</v>
      </c>
      <c r="FN71" s="258" t="s">
        <v>389</v>
      </c>
      <c r="FO71" s="258" t="s">
        <v>1082</v>
      </c>
      <c r="FP71" s="258" t="s">
        <v>420</v>
      </c>
      <c r="FQ71" s="259">
        <f t="shared" si="3"/>
        <v>0</v>
      </c>
      <c r="FR71" s="260" t="s">
        <v>421</v>
      </c>
      <c r="FS71" s="260"/>
    </row>
    <row r="72" spans="1:175">
      <c r="A72" s="251" t="s">
        <v>385</v>
      </c>
      <c r="B72" s="251" t="s">
        <v>385</v>
      </c>
      <c r="C72" s="251" t="s">
        <v>411</v>
      </c>
      <c r="D72" s="251" t="s">
        <v>1</v>
      </c>
      <c r="E72" s="252" t="s">
        <v>434</v>
      </c>
      <c r="F72" s="251" t="s">
        <v>388</v>
      </c>
      <c r="G72" s="251" t="s">
        <v>1168</v>
      </c>
      <c r="H72" s="253"/>
      <c r="I72" s="253"/>
      <c r="J72" s="253"/>
      <c r="K72" s="253"/>
      <c r="L72" s="253"/>
      <c r="M72" s="253"/>
      <c r="N72" s="253"/>
      <c r="O72" s="253"/>
      <c r="P72" s="253"/>
      <c r="Q72" s="253"/>
      <c r="R72" s="253"/>
      <c r="S72" s="253"/>
      <c r="T72" s="253"/>
      <c r="U72" s="253"/>
      <c r="V72" s="253"/>
      <c r="W72" s="253"/>
      <c r="X72" s="253"/>
      <c r="Y72" s="253"/>
      <c r="Z72" s="253"/>
      <c r="AA72" s="253"/>
      <c r="AB72" s="255">
        <f>200-200</f>
        <v>0</v>
      </c>
      <c r="AC72" s="253"/>
      <c r="AD72" s="253"/>
      <c r="AE72" s="253"/>
      <c r="AF72" s="253"/>
      <c r="AG72" s="253"/>
      <c r="AH72" s="253"/>
      <c r="AI72" s="253"/>
      <c r="AJ72" s="253"/>
      <c r="AK72" s="253"/>
      <c r="AL72" s="253"/>
      <c r="AM72" s="253"/>
      <c r="AN72" s="253"/>
      <c r="AO72" s="253"/>
      <c r="AP72" s="253"/>
      <c r="AQ72" s="253"/>
      <c r="AR72" s="253"/>
      <c r="AS72" s="253"/>
      <c r="AT72" s="255">
        <f>300-300</f>
        <v>0</v>
      </c>
      <c r="AU72" s="253"/>
      <c r="AV72" s="253"/>
      <c r="AW72" s="253"/>
      <c r="AX72" s="253"/>
      <c r="AY72" s="255">
        <f>500-500</f>
        <v>0</v>
      </c>
      <c r="AZ72" s="253"/>
      <c r="BA72" s="253"/>
      <c r="BB72" s="253"/>
      <c r="BC72" s="253"/>
      <c r="BD72" s="253"/>
      <c r="BE72" s="253"/>
      <c r="BF72" s="253"/>
      <c r="BG72" s="253"/>
      <c r="BH72" s="253"/>
      <c r="BI72" s="253"/>
      <c r="BJ72" s="253"/>
      <c r="BK72" s="253"/>
      <c r="BL72" s="253"/>
      <c r="BM72" s="253"/>
      <c r="BN72" s="253"/>
      <c r="BO72" s="253"/>
      <c r="BP72" s="253"/>
      <c r="BQ72" s="253"/>
      <c r="BR72" s="253"/>
      <c r="BS72" s="253"/>
      <c r="BT72" s="253"/>
      <c r="BU72" s="253"/>
      <c r="BV72" s="253"/>
      <c r="BW72" s="253"/>
      <c r="BX72" s="253"/>
      <c r="BY72" s="253"/>
      <c r="BZ72" s="253"/>
      <c r="CA72" s="253"/>
      <c r="CB72" s="253"/>
      <c r="CC72" s="253"/>
      <c r="CD72" s="253"/>
      <c r="CE72" s="253"/>
      <c r="CF72" s="253"/>
      <c r="CG72" s="253"/>
      <c r="CH72" s="253"/>
      <c r="CI72" s="253"/>
      <c r="CJ72" s="253"/>
      <c r="CK72" s="253"/>
      <c r="CL72" s="253"/>
      <c r="CM72" s="253"/>
      <c r="CN72" s="253"/>
      <c r="CO72" s="253"/>
      <c r="CP72" s="253"/>
      <c r="CQ72" s="253"/>
      <c r="CR72" s="253"/>
      <c r="CS72" s="253"/>
      <c r="CT72" s="253"/>
      <c r="CU72" s="253"/>
      <c r="CV72" s="253"/>
      <c r="CW72" s="253"/>
      <c r="CX72" s="253"/>
      <c r="CY72" s="253"/>
      <c r="CZ72" s="253"/>
      <c r="DA72" s="253"/>
      <c r="DB72" s="253"/>
      <c r="DC72" s="253"/>
      <c r="DD72" s="253"/>
      <c r="DE72" s="253"/>
      <c r="DF72" s="253"/>
      <c r="DG72" s="253"/>
      <c r="DH72" s="253"/>
      <c r="DI72" s="253"/>
      <c r="DJ72" s="253"/>
      <c r="DK72" s="253"/>
      <c r="DL72" s="253"/>
      <c r="DM72" s="253"/>
      <c r="DN72" s="253"/>
      <c r="DO72" s="253"/>
      <c r="DP72" s="253"/>
      <c r="DQ72" s="253"/>
      <c r="DR72" s="253"/>
      <c r="DS72" s="253"/>
      <c r="DT72" s="253"/>
      <c r="DU72" s="253"/>
      <c r="DV72" s="253"/>
      <c r="DW72" s="253"/>
      <c r="DX72" s="253"/>
      <c r="DY72" s="253"/>
      <c r="DZ72" s="253"/>
      <c r="EA72" s="253"/>
      <c r="EB72" s="253"/>
      <c r="EC72" s="253"/>
      <c r="ED72" s="253"/>
      <c r="EE72" s="253"/>
      <c r="EF72" s="253"/>
      <c r="EG72" s="253"/>
      <c r="EH72" s="253"/>
      <c r="EI72" s="253"/>
      <c r="EJ72" s="253"/>
      <c r="EK72" s="253"/>
      <c r="EL72" s="253"/>
      <c r="EM72" s="253"/>
      <c r="EN72" s="253"/>
      <c r="EO72" s="253"/>
      <c r="EP72" s="253"/>
      <c r="EQ72" s="253"/>
      <c r="ER72" s="253"/>
      <c r="ES72" s="253"/>
      <c r="ET72" s="253"/>
      <c r="EU72" s="253"/>
      <c r="EV72" s="253"/>
      <c r="EW72" s="253"/>
      <c r="EX72" s="253"/>
      <c r="EY72" s="253"/>
      <c r="EZ72" s="253"/>
      <c r="FA72" s="253"/>
      <c r="FB72" s="253"/>
      <c r="FC72" s="253"/>
      <c r="FD72" s="253"/>
      <c r="FE72" s="253"/>
      <c r="FF72" s="253"/>
      <c r="FG72" s="253"/>
      <c r="FH72" s="253"/>
      <c r="FI72" s="253"/>
      <c r="FJ72" s="253"/>
      <c r="FK72" s="253"/>
      <c r="FL72" s="256"/>
      <c r="FM72" s="257" t="s">
        <v>1145</v>
      </c>
      <c r="FN72" s="258" t="s">
        <v>389</v>
      </c>
      <c r="FO72" s="258" t="s">
        <v>1082</v>
      </c>
      <c r="FP72" s="258" t="s">
        <v>420</v>
      </c>
      <c r="FQ72" s="259">
        <f t="shared" ref="FQ72:FQ97" si="5">SUM(H72:FK72)</f>
        <v>0</v>
      </c>
      <c r="FR72" s="260" t="s">
        <v>421</v>
      </c>
      <c r="FS72" s="260"/>
    </row>
    <row r="73" spans="1:175">
      <c r="A73" s="251" t="s">
        <v>385</v>
      </c>
      <c r="B73" s="251" t="s">
        <v>385</v>
      </c>
      <c r="C73" s="251" t="s">
        <v>411</v>
      </c>
      <c r="D73" s="251" t="s">
        <v>291</v>
      </c>
      <c r="E73" s="263" t="s">
        <v>434</v>
      </c>
      <c r="F73" s="251" t="s">
        <v>388</v>
      </c>
      <c r="G73" s="251" t="s">
        <v>1169</v>
      </c>
      <c r="H73" s="253"/>
      <c r="I73" s="253"/>
      <c r="J73" s="253"/>
      <c r="K73" s="253"/>
      <c r="L73" s="253"/>
      <c r="M73" s="253"/>
      <c r="N73" s="253"/>
      <c r="O73" s="253"/>
      <c r="P73" s="253"/>
      <c r="Q73" s="253"/>
      <c r="R73" s="253"/>
      <c r="S73" s="253"/>
      <c r="T73" s="253"/>
      <c r="U73" s="253"/>
      <c r="V73" s="253"/>
      <c r="W73" s="253"/>
      <c r="X73" s="253"/>
      <c r="Y73" s="253"/>
      <c r="Z73" s="253"/>
      <c r="AA73" s="253"/>
      <c r="AB73" s="253"/>
      <c r="AC73" s="253"/>
      <c r="AD73" s="255">
        <f>300-300</f>
        <v>0</v>
      </c>
      <c r="AE73" s="253"/>
      <c r="AF73" s="253"/>
      <c r="AG73" s="253"/>
      <c r="AH73" s="253"/>
      <c r="AI73" s="253"/>
      <c r="AJ73" s="253"/>
      <c r="AK73" s="253"/>
      <c r="AL73" s="253"/>
      <c r="AM73" s="253"/>
      <c r="AN73" s="255">
        <f>300-300</f>
        <v>0</v>
      </c>
      <c r="AO73" s="253"/>
      <c r="AP73" s="253"/>
      <c r="AQ73" s="253"/>
      <c r="AR73" s="253"/>
      <c r="AS73" s="253"/>
      <c r="AT73" s="253"/>
      <c r="AU73" s="253"/>
      <c r="AV73" s="253"/>
      <c r="AW73" s="253"/>
      <c r="AX73" s="253"/>
      <c r="AY73" s="253"/>
      <c r="AZ73" s="253"/>
      <c r="BA73" s="253"/>
      <c r="BB73" s="253"/>
      <c r="BC73" s="255">
        <f>500-500</f>
        <v>0</v>
      </c>
      <c r="BD73" s="253"/>
      <c r="BE73" s="253"/>
      <c r="BF73" s="253"/>
      <c r="BG73" s="253"/>
      <c r="BH73" s="253"/>
      <c r="BI73" s="253"/>
      <c r="BJ73" s="253"/>
      <c r="BK73" s="253"/>
      <c r="BL73" s="253"/>
      <c r="BM73" s="253"/>
      <c r="BN73" s="253"/>
      <c r="BO73" s="253"/>
      <c r="BP73" s="253"/>
      <c r="BQ73" s="253"/>
      <c r="BR73" s="253"/>
      <c r="BS73" s="253"/>
      <c r="BT73" s="253"/>
      <c r="BU73" s="253"/>
      <c r="BV73" s="253"/>
      <c r="BW73" s="253"/>
      <c r="BX73" s="253"/>
      <c r="BY73" s="253"/>
      <c r="BZ73" s="253"/>
      <c r="CA73" s="253"/>
      <c r="CB73" s="253"/>
      <c r="CC73" s="253"/>
      <c r="CD73" s="253"/>
      <c r="CE73" s="253"/>
      <c r="CF73" s="253"/>
      <c r="CG73" s="253"/>
      <c r="CH73" s="253"/>
      <c r="CI73" s="253"/>
      <c r="CJ73" s="253"/>
      <c r="CK73" s="253"/>
      <c r="CL73" s="253"/>
      <c r="CM73" s="253"/>
      <c r="CN73" s="253"/>
      <c r="CO73" s="253"/>
      <c r="CP73" s="253"/>
      <c r="CQ73" s="253"/>
      <c r="CR73" s="253"/>
      <c r="CS73" s="253"/>
      <c r="CT73" s="253"/>
      <c r="CU73" s="253"/>
      <c r="CV73" s="253"/>
      <c r="CW73" s="253"/>
      <c r="CX73" s="253"/>
      <c r="CY73" s="253"/>
      <c r="CZ73" s="253"/>
      <c r="DA73" s="253"/>
      <c r="DB73" s="253"/>
      <c r="DC73" s="253"/>
      <c r="DD73" s="253"/>
      <c r="DE73" s="253"/>
      <c r="DF73" s="253"/>
      <c r="DG73" s="253"/>
      <c r="DH73" s="253"/>
      <c r="DI73" s="253"/>
      <c r="DJ73" s="253"/>
      <c r="DK73" s="253"/>
      <c r="DL73" s="253"/>
      <c r="DM73" s="253"/>
      <c r="DN73" s="253"/>
      <c r="DO73" s="253"/>
      <c r="DP73" s="253"/>
      <c r="DQ73" s="253"/>
      <c r="DR73" s="253"/>
      <c r="DS73" s="253"/>
      <c r="DT73" s="253"/>
      <c r="DU73" s="253"/>
      <c r="DV73" s="253"/>
      <c r="DW73" s="253"/>
      <c r="DX73" s="253"/>
      <c r="DY73" s="253"/>
      <c r="DZ73" s="253"/>
      <c r="EA73" s="253"/>
      <c r="EB73" s="253"/>
      <c r="EC73" s="253"/>
      <c r="ED73" s="253"/>
      <c r="EE73" s="253"/>
      <c r="EF73" s="253"/>
      <c r="EG73" s="253"/>
      <c r="EH73" s="253"/>
      <c r="EI73" s="253"/>
      <c r="EJ73" s="253"/>
      <c r="EK73" s="253"/>
      <c r="EL73" s="253"/>
      <c r="EM73" s="253"/>
      <c r="EN73" s="253"/>
      <c r="EO73" s="253"/>
      <c r="EP73" s="253"/>
      <c r="EQ73" s="253"/>
      <c r="ER73" s="253"/>
      <c r="ES73" s="253"/>
      <c r="ET73" s="253"/>
      <c r="EU73" s="253"/>
      <c r="EV73" s="253"/>
      <c r="EW73" s="253"/>
      <c r="EX73" s="253"/>
      <c r="EY73" s="253"/>
      <c r="EZ73" s="253"/>
      <c r="FA73" s="253"/>
      <c r="FB73" s="253"/>
      <c r="FC73" s="253"/>
      <c r="FD73" s="253"/>
      <c r="FE73" s="253"/>
      <c r="FF73" s="253"/>
      <c r="FG73" s="253"/>
      <c r="FH73" s="253"/>
      <c r="FI73" s="253"/>
      <c r="FJ73" s="253"/>
      <c r="FK73" s="253"/>
      <c r="FL73" s="256"/>
      <c r="FM73" s="257" t="s">
        <v>1145</v>
      </c>
      <c r="FN73" s="258" t="s">
        <v>389</v>
      </c>
      <c r="FO73" s="258" t="s">
        <v>435</v>
      </c>
      <c r="FP73" s="258" t="s">
        <v>420</v>
      </c>
      <c r="FQ73" s="259">
        <f t="shared" si="5"/>
        <v>0</v>
      </c>
      <c r="FR73" s="260" t="s">
        <v>421</v>
      </c>
      <c r="FS73" s="260"/>
    </row>
    <row r="74" spans="1:175">
      <c r="A74" s="251" t="s">
        <v>385</v>
      </c>
      <c r="B74" s="251" t="s">
        <v>385</v>
      </c>
      <c r="C74" s="251" t="s">
        <v>411</v>
      </c>
      <c r="D74" s="251" t="s">
        <v>1</v>
      </c>
      <c r="E74" s="263" t="s">
        <v>434</v>
      </c>
      <c r="F74" s="251" t="s">
        <v>388</v>
      </c>
      <c r="G74" s="251" t="s">
        <v>1169</v>
      </c>
      <c r="H74" s="253"/>
      <c r="I74" s="253"/>
      <c r="J74" s="253"/>
      <c r="K74" s="253"/>
      <c r="L74" s="253"/>
      <c r="M74" s="253"/>
      <c r="N74" s="253"/>
      <c r="O74" s="253"/>
      <c r="P74" s="253"/>
      <c r="Q74" s="253"/>
      <c r="R74" s="253"/>
      <c r="S74" s="253"/>
      <c r="T74" s="253"/>
      <c r="U74" s="253"/>
      <c r="V74" s="253"/>
      <c r="W74" s="253"/>
      <c r="X74" s="253"/>
      <c r="Y74" s="253"/>
      <c r="Z74" s="253"/>
      <c r="AA74" s="253"/>
      <c r="AB74" s="255">
        <f>200-200</f>
        <v>0</v>
      </c>
      <c r="AC74" s="253"/>
      <c r="AD74" s="253"/>
      <c r="AE74" s="253"/>
      <c r="AF74" s="253"/>
      <c r="AG74" s="253"/>
      <c r="AH74" s="253"/>
      <c r="AI74" s="253"/>
      <c r="AJ74" s="253"/>
      <c r="AK74" s="253"/>
      <c r="AL74" s="253"/>
      <c r="AM74" s="253"/>
      <c r="AN74" s="253"/>
      <c r="AO74" s="253"/>
      <c r="AP74" s="253"/>
      <c r="AQ74" s="253"/>
      <c r="AR74" s="253"/>
      <c r="AS74" s="253"/>
      <c r="AT74" s="255">
        <f>300-300</f>
        <v>0</v>
      </c>
      <c r="AU74" s="253"/>
      <c r="AV74" s="253"/>
      <c r="AW74" s="253"/>
      <c r="AX74" s="253"/>
      <c r="AY74" s="255">
        <f>500-500</f>
        <v>0</v>
      </c>
      <c r="AZ74" s="253"/>
      <c r="BA74" s="253"/>
      <c r="BB74" s="253"/>
      <c r="BC74" s="253"/>
      <c r="BD74" s="253"/>
      <c r="BE74" s="253"/>
      <c r="BF74" s="253"/>
      <c r="BG74" s="253"/>
      <c r="BH74" s="253"/>
      <c r="BI74" s="253"/>
      <c r="BJ74" s="253"/>
      <c r="BK74" s="253"/>
      <c r="BL74" s="253"/>
      <c r="BM74" s="253"/>
      <c r="BN74" s="253"/>
      <c r="BO74" s="253"/>
      <c r="BP74" s="253"/>
      <c r="BQ74" s="253"/>
      <c r="BR74" s="253"/>
      <c r="BS74" s="253"/>
      <c r="BT74" s="253"/>
      <c r="BU74" s="253"/>
      <c r="BV74" s="253"/>
      <c r="BW74" s="253"/>
      <c r="BX74" s="253"/>
      <c r="BY74" s="253"/>
      <c r="BZ74" s="253"/>
      <c r="CA74" s="253"/>
      <c r="CB74" s="253"/>
      <c r="CC74" s="253"/>
      <c r="CD74" s="253"/>
      <c r="CE74" s="253"/>
      <c r="CF74" s="253"/>
      <c r="CG74" s="253"/>
      <c r="CH74" s="253"/>
      <c r="CI74" s="253"/>
      <c r="CJ74" s="253"/>
      <c r="CK74" s="253"/>
      <c r="CL74" s="253"/>
      <c r="CM74" s="253"/>
      <c r="CN74" s="253"/>
      <c r="CO74" s="253"/>
      <c r="CP74" s="253"/>
      <c r="CQ74" s="253"/>
      <c r="CR74" s="253"/>
      <c r="CS74" s="253"/>
      <c r="CT74" s="253"/>
      <c r="CU74" s="253"/>
      <c r="CV74" s="253"/>
      <c r="CW74" s="253"/>
      <c r="CX74" s="253"/>
      <c r="CY74" s="253"/>
      <c r="CZ74" s="253"/>
      <c r="DA74" s="253"/>
      <c r="DB74" s="253"/>
      <c r="DC74" s="253"/>
      <c r="DD74" s="253"/>
      <c r="DE74" s="253"/>
      <c r="DF74" s="253"/>
      <c r="DG74" s="253"/>
      <c r="DH74" s="253"/>
      <c r="DI74" s="253"/>
      <c r="DJ74" s="253"/>
      <c r="DK74" s="253"/>
      <c r="DL74" s="253"/>
      <c r="DM74" s="253"/>
      <c r="DN74" s="253"/>
      <c r="DO74" s="253"/>
      <c r="DP74" s="253"/>
      <c r="DQ74" s="253"/>
      <c r="DR74" s="253"/>
      <c r="DS74" s="253"/>
      <c r="DT74" s="253"/>
      <c r="DU74" s="253"/>
      <c r="DV74" s="253"/>
      <c r="DW74" s="253"/>
      <c r="DX74" s="253"/>
      <c r="DY74" s="253"/>
      <c r="DZ74" s="253"/>
      <c r="EA74" s="253"/>
      <c r="EB74" s="253"/>
      <c r="EC74" s="253"/>
      <c r="ED74" s="253"/>
      <c r="EE74" s="253"/>
      <c r="EF74" s="253"/>
      <c r="EG74" s="253"/>
      <c r="EH74" s="253"/>
      <c r="EI74" s="253"/>
      <c r="EJ74" s="253"/>
      <c r="EK74" s="253"/>
      <c r="EL74" s="253"/>
      <c r="EM74" s="253"/>
      <c r="EN74" s="253"/>
      <c r="EO74" s="253"/>
      <c r="EP74" s="253"/>
      <c r="EQ74" s="253"/>
      <c r="ER74" s="253"/>
      <c r="ES74" s="253"/>
      <c r="ET74" s="253"/>
      <c r="EU74" s="253"/>
      <c r="EV74" s="253"/>
      <c r="EW74" s="253"/>
      <c r="EX74" s="253"/>
      <c r="EY74" s="253"/>
      <c r="EZ74" s="253"/>
      <c r="FA74" s="253"/>
      <c r="FB74" s="253"/>
      <c r="FC74" s="253"/>
      <c r="FD74" s="253"/>
      <c r="FE74" s="253"/>
      <c r="FF74" s="253"/>
      <c r="FG74" s="253"/>
      <c r="FH74" s="253"/>
      <c r="FI74" s="253"/>
      <c r="FJ74" s="253"/>
      <c r="FK74" s="253"/>
      <c r="FL74" s="256"/>
      <c r="FM74" s="257" t="s">
        <v>1145</v>
      </c>
      <c r="FN74" s="258" t="s">
        <v>389</v>
      </c>
      <c r="FO74" s="258" t="s">
        <v>435</v>
      </c>
      <c r="FP74" s="258" t="s">
        <v>420</v>
      </c>
      <c r="FQ74" s="259">
        <f t="shared" si="5"/>
        <v>0</v>
      </c>
      <c r="FR74" s="260" t="s">
        <v>421</v>
      </c>
      <c r="FS74" s="260"/>
    </row>
    <row r="75" spans="1:175">
      <c r="A75" s="251" t="s">
        <v>385</v>
      </c>
      <c r="B75" s="251" t="s">
        <v>392</v>
      </c>
      <c r="C75" s="251" t="s">
        <v>411</v>
      </c>
      <c r="D75" s="251" t="s">
        <v>291</v>
      </c>
      <c r="E75" s="252" t="s">
        <v>434</v>
      </c>
      <c r="F75" s="251" t="s">
        <v>388</v>
      </c>
      <c r="G75" s="251" t="s">
        <v>1170</v>
      </c>
      <c r="H75" s="253"/>
      <c r="I75" s="253"/>
      <c r="J75" s="253"/>
      <c r="K75" s="253"/>
      <c r="L75" s="253"/>
      <c r="M75" s="253"/>
      <c r="N75" s="253"/>
      <c r="O75" s="253"/>
      <c r="P75" s="253"/>
      <c r="Q75" s="255">
        <f>200-200</f>
        <v>0</v>
      </c>
      <c r="R75" s="253"/>
      <c r="S75" s="253"/>
      <c r="T75" s="253"/>
      <c r="U75" s="253"/>
      <c r="V75" s="253"/>
      <c r="W75" s="253"/>
      <c r="X75" s="253"/>
      <c r="Y75" s="253"/>
      <c r="Z75" s="253"/>
      <c r="AA75" s="253"/>
      <c r="AB75" s="253"/>
      <c r="AC75" s="253"/>
      <c r="AD75" s="255">
        <f>200-200</f>
        <v>0</v>
      </c>
      <c r="AE75" s="253"/>
      <c r="AF75" s="253"/>
      <c r="AG75" s="253"/>
      <c r="AH75" s="253"/>
      <c r="AI75" s="253"/>
      <c r="AJ75" s="253"/>
      <c r="AK75" s="253"/>
      <c r="AL75" s="253"/>
      <c r="AM75" s="253"/>
      <c r="AN75" s="253"/>
      <c r="AO75" s="253"/>
      <c r="AP75" s="253"/>
      <c r="AQ75" s="253"/>
      <c r="AR75" s="253"/>
      <c r="AS75" s="253"/>
      <c r="AT75" s="253"/>
      <c r="AU75" s="253"/>
      <c r="AV75" s="253"/>
      <c r="AW75" s="253"/>
      <c r="AX75" s="253"/>
      <c r="AY75" s="253"/>
      <c r="AZ75" s="253"/>
      <c r="BA75" s="253"/>
      <c r="BB75" s="253"/>
      <c r="BC75" s="255">
        <f>300-300</f>
        <v>0</v>
      </c>
      <c r="BD75" s="253"/>
      <c r="BE75" s="253"/>
      <c r="BF75" s="253"/>
      <c r="BG75" s="253"/>
      <c r="BH75" s="253"/>
      <c r="BI75" s="253"/>
      <c r="BJ75" s="253"/>
      <c r="BK75" s="253"/>
      <c r="BL75" s="253"/>
      <c r="BM75" s="253"/>
      <c r="BN75" s="253"/>
      <c r="BO75" s="253"/>
      <c r="BP75" s="253"/>
      <c r="BQ75" s="253"/>
      <c r="BR75" s="253"/>
      <c r="BS75" s="253"/>
      <c r="BT75" s="253"/>
      <c r="BU75" s="253"/>
      <c r="BV75" s="253"/>
      <c r="BW75" s="253"/>
      <c r="BX75" s="253"/>
      <c r="BY75" s="253"/>
      <c r="BZ75" s="253"/>
      <c r="CA75" s="253"/>
      <c r="CB75" s="253"/>
      <c r="CC75" s="253"/>
      <c r="CD75" s="253"/>
      <c r="CE75" s="253"/>
      <c r="CF75" s="253"/>
      <c r="CG75" s="253"/>
      <c r="CH75" s="253"/>
      <c r="CI75" s="253"/>
      <c r="CJ75" s="253"/>
      <c r="CK75" s="253"/>
      <c r="CL75" s="253"/>
      <c r="CM75" s="253"/>
      <c r="CN75" s="253"/>
      <c r="CO75" s="253"/>
      <c r="CP75" s="253"/>
      <c r="CQ75" s="253"/>
      <c r="CR75" s="253"/>
      <c r="CS75" s="253"/>
      <c r="CT75" s="253"/>
      <c r="CU75" s="253"/>
      <c r="CV75" s="253"/>
      <c r="CW75" s="253"/>
      <c r="CX75" s="253"/>
      <c r="CY75" s="253"/>
      <c r="CZ75" s="253"/>
      <c r="DA75" s="253"/>
      <c r="DB75" s="253"/>
      <c r="DC75" s="253"/>
      <c r="DD75" s="253"/>
      <c r="DE75" s="253"/>
      <c r="DF75" s="253"/>
      <c r="DG75" s="253"/>
      <c r="DH75" s="253"/>
      <c r="DI75" s="253"/>
      <c r="DJ75" s="253"/>
      <c r="DK75" s="253"/>
      <c r="DL75" s="253"/>
      <c r="DM75" s="253"/>
      <c r="DN75" s="253"/>
      <c r="DO75" s="253"/>
      <c r="DP75" s="253"/>
      <c r="DQ75" s="253"/>
      <c r="DR75" s="253"/>
      <c r="DS75" s="253"/>
      <c r="DT75" s="253"/>
      <c r="DU75" s="253"/>
      <c r="DV75" s="255">
        <f>200-200</f>
        <v>0</v>
      </c>
      <c r="DW75" s="253"/>
      <c r="DX75" s="253"/>
      <c r="DY75" s="253"/>
      <c r="DZ75" s="253"/>
      <c r="EA75" s="253"/>
      <c r="EB75" s="255">
        <f>200-200</f>
        <v>0</v>
      </c>
      <c r="EC75" s="253"/>
      <c r="ED75" s="253"/>
      <c r="EE75" s="253"/>
      <c r="EF75" s="253"/>
      <c r="EG75" s="253"/>
      <c r="EH75" s="253"/>
      <c r="EI75" s="253"/>
      <c r="EJ75" s="253"/>
      <c r="EK75" s="253"/>
      <c r="EL75" s="253"/>
      <c r="EM75" s="253"/>
      <c r="EN75" s="253"/>
      <c r="EO75" s="253"/>
      <c r="EP75" s="253"/>
      <c r="EQ75" s="253"/>
      <c r="ER75" s="253"/>
      <c r="ES75" s="253"/>
      <c r="ET75" s="253"/>
      <c r="EU75" s="253"/>
      <c r="EV75" s="253"/>
      <c r="EW75" s="253"/>
      <c r="EX75" s="253"/>
      <c r="EY75" s="253"/>
      <c r="EZ75" s="253"/>
      <c r="FA75" s="253"/>
      <c r="FB75" s="253"/>
      <c r="FC75" s="253"/>
      <c r="FD75" s="253"/>
      <c r="FE75" s="253"/>
      <c r="FF75" s="253"/>
      <c r="FG75" s="253"/>
      <c r="FH75" s="253"/>
      <c r="FI75" s="253"/>
      <c r="FJ75" s="253"/>
      <c r="FK75" s="253"/>
      <c r="FL75" s="256"/>
      <c r="FM75" s="257" t="s">
        <v>1145</v>
      </c>
      <c r="FN75" s="258" t="s">
        <v>389</v>
      </c>
      <c r="FO75" s="258" t="s">
        <v>436</v>
      </c>
      <c r="FP75" s="258" t="s">
        <v>420</v>
      </c>
      <c r="FQ75" s="259">
        <f t="shared" si="5"/>
        <v>0</v>
      </c>
      <c r="FR75" s="260" t="s">
        <v>421</v>
      </c>
      <c r="FS75" s="260"/>
    </row>
    <row r="76" spans="1:175">
      <c r="A76" s="251" t="s">
        <v>385</v>
      </c>
      <c r="B76" s="251" t="s">
        <v>392</v>
      </c>
      <c r="C76" s="251" t="s">
        <v>411</v>
      </c>
      <c r="D76" s="251" t="s">
        <v>1</v>
      </c>
      <c r="E76" s="252" t="s">
        <v>434</v>
      </c>
      <c r="F76" s="251" t="s">
        <v>388</v>
      </c>
      <c r="G76" s="251" t="s">
        <v>1170</v>
      </c>
      <c r="H76" s="253"/>
      <c r="I76" s="253"/>
      <c r="J76" s="253"/>
      <c r="K76" s="253"/>
      <c r="L76" s="253"/>
      <c r="M76" s="253"/>
      <c r="N76" s="253"/>
      <c r="O76" s="255">
        <f>200-200</f>
        <v>0</v>
      </c>
      <c r="P76" s="253"/>
      <c r="Q76" s="253"/>
      <c r="R76" s="253"/>
      <c r="S76" s="253"/>
      <c r="T76" s="253"/>
      <c r="U76" s="255">
        <f>200-200</f>
        <v>0</v>
      </c>
      <c r="V76" s="253"/>
      <c r="W76" s="253"/>
      <c r="X76" s="255">
        <f>200-200</f>
        <v>0</v>
      </c>
      <c r="Y76" s="253"/>
      <c r="Z76" s="253"/>
      <c r="AA76" s="253"/>
      <c r="AB76" s="253"/>
      <c r="AC76" s="253"/>
      <c r="AD76" s="253"/>
      <c r="AE76" s="253"/>
      <c r="AF76" s="253"/>
      <c r="AG76" s="253"/>
      <c r="AH76" s="253"/>
      <c r="AI76" s="253"/>
      <c r="AJ76" s="253"/>
      <c r="AK76" s="253"/>
      <c r="AL76" s="253"/>
      <c r="AM76" s="253"/>
      <c r="AN76" s="253"/>
      <c r="AO76" s="253"/>
      <c r="AP76" s="253"/>
      <c r="AQ76" s="253"/>
      <c r="AR76" s="253"/>
      <c r="AS76" s="253"/>
      <c r="AT76" s="255">
        <f>300-300</f>
        <v>0</v>
      </c>
      <c r="AU76" s="253"/>
      <c r="AV76" s="253"/>
      <c r="AW76" s="253"/>
      <c r="AX76" s="253"/>
      <c r="AY76" s="255">
        <f>300-300</f>
        <v>0</v>
      </c>
      <c r="AZ76" s="253"/>
      <c r="BA76" s="253"/>
      <c r="BB76" s="253"/>
      <c r="BC76" s="253"/>
      <c r="BD76" s="253"/>
      <c r="BE76" s="253"/>
      <c r="BF76" s="253"/>
      <c r="BG76" s="253"/>
      <c r="BH76" s="253"/>
      <c r="BI76" s="253"/>
      <c r="BJ76" s="253"/>
      <c r="BK76" s="253"/>
      <c r="BL76" s="253"/>
      <c r="BM76" s="253"/>
      <c r="BN76" s="253"/>
      <c r="BO76" s="253"/>
      <c r="BP76" s="253"/>
      <c r="BQ76" s="253"/>
      <c r="BR76" s="253"/>
      <c r="BS76" s="253"/>
      <c r="BT76" s="253"/>
      <c r="BU76" s="253"/>
      <c r="BV76" s="253"/>
      <c r="BW76" s="253"/>
      <c r="BX76" s="253"/>
      <c r="BY76" s="253"/>
      <c r="BZ76" s="253"/>
      <c r="CA76" s="253"/>
      <c r="CB76" s="253"/>
      <c r="CC76" s="253"/>
      <c r="CD76" s="253"/>
      <c r="CE76" s="253"/>
      <c r="CF76" s="253"/>
      <c r="CG76" s="253"/>
      <c r="CH76" s="253"/>
      <c r="CI76" s="253"/>
      <c r="CJ76" s="253"/>
      <c r="CK76" s="253"/>
      <c r="CL76" s="253"/>
      <c r="CM76" s="253"/>
      <c r="CN76" s="253"/>
      <c r="CO76" s="253"/>
      <c r="CP76" s="253"/>
      <c r="CQ76" s="253"/>
      <c r="CR76" s="253"/>
      <c r="CS76" s="253"/>
      <c r="CT76" s="253"/>
      <c r="CU76" s="253"/>
      <c r="CV76" s="253"/>
      <c r="CW76" s="253"/>
      <c r="CX76" s="253"/>
      <c r="CY76" s="253"/>
      <c r="CZ76" s="253"/>
      <c r="DA76" s="253"/>
      <c r="DB76" s="253"/>
      <c r="DC76" s="253"/>
      <c r="DD76" s="253"/>
      <c r="DE76" s="253"/>
      <c r="DF76" s="253"/>
      <c r="DG76" s="253"/>
      <c r="DH76" s="253"/>
      <c r="DI76" s="253"/>
      <c r="DJ76" s="253"/>
      <c r="DK76" s="253"/>
      <c r="DL76" s="253"/>
      <c r="DM76" s="253"/>
      <c r="DN76" s="253"/>
      <c r="DO76" s="253"/>
      <c r="DP76" s="253"/>
      <c r="DQ76" s="253"/>
      <c r="DR76" s="253"/>
      <c r="DS76" s="253"/>
      <c r="DT76" s="253"/>
      <c r="DU76" s="253"/>
      <c r="DV76" s="253"/>
      <c r="DW76" s="253"/>
      <c r="DX76" s="253"/>
      <c r="DY76" s="253"/>
      <c r="DZ76" s="253"/>
      <c r="EA76" s="253"/>
      <c r="EB76" s="253"/>
      <c r="EC76" s="253"/>
      <c r="ED76" s="253"/>
      <c r="EE76" s="253"/>
      <c r="EF76" s="253"/>
      <c r="EG76" s="253"/>
      <c r="EH76" s="253"/>
      <c r="EI76" s="253"/>
      <c r="EJ76" s="253"/>
      <c r="EK76" s="253"/>
      <c r="EL76" s="253"/>
      <c r="EM76" s="253"/>
      <c r="EN76" s="253"/>
      <c r="EO76" s="253"/>
      <c r="EP76" s="253"/>
      <c r="EQ76" s="253"/>
      <c r="ER76" s="253"/>
      <c r="ES76" s="253"/>
      <c r="ET76" s="253"/>
      <c r="EU76" s="253"/>
      <c r="EV76" s="253"/>
      <c r="EW76" s="253"/>
      <c r="EX76" s="253"/>
      <c r="EY76" s="253"/>
      <c r="EZ76" s="253"/>
      <c r="FA76" s="253"/>
      <c r="FB76" s="253"/>
      <c r="FC76" s="253"/>
      <c r="FD76" s="253"/>
      <c r="FE76" s="253"/>
      <c r="FF76" s="253"/>
      <c r="FG76" s="253"/>
      <c r="FH76" s="253"/>
      <c r="FI76" s="253"/>
      <c r="FJ76" s="253"/>
      <c r="FK76" s="253"/>
      <c r="FL76" s="256"/>
      <c r="FM76" s="257" t="s">
        <v>1145</v>
      </c>
      <c r="FN76" s="258" t="s">
        <v>389</v>
      </c>
      <c r="FO76" s="258" t="s">
        <v>436</v>
      </c>
      <c r="FP76" s="258" t="s">
        <v>420</v>
      </c>
      <c r="FQ76" s="259">
        <f t="shared" si="5"/>
        <v>0</v>
      </c>
      <c r="FR76" s="260" t="s">
        <v>421</v>
      </c>
      <c r="FS76" s="260"/>
    </row>
    <row r="77" spans="1:175">
      <c r="A77" s="251" t="s">
        <v>393</v>
      </c>
      <c r="B77" s="251" t="s">
        <v>385</v>
      </c>
      <c r="C77" s="251" t="s">
        <v>411</v>
      </c>
      <c r="D77" s="251" t="s">
        <v>291</v>
      </c>
      <c r="E77" s="252" t="s">
        <v>437</v>
      </c>
      <c r="F77" s="251" t="s">
        <v>388</v>
      </c>
      <c r="G77" s="251" t="s">
        <v>1171</v>
      </c>
      <c r="H77" s="253"/>
      <c r="I77" s="255">
        <f>200-200</f>
        <v>0</v>
      </c>
      <c r="J77" s="253"/>
      <c r="K77" s="255">
        <f>200-200</f>
        <v>0</v>
      </c>
      <c r="L77" s="253"/>
      <c r="M77" s="253"/>
      <c r="N77" s="253"/>
      <c r="O77" s="253"/>
      <c r="P77" s="253"/>
      <c r="Q77" s="253"/>
      <c r="R77" s="253"/>
      <c r="S77" s="253"/>
      <c r="T77" s="253"/>
      <c r="U77" s="253"/>
      <c r="V77" s="253"/>
      <c r="W77" s="253"/>
      <c r="X77" s="253"/>
      <c r="Y77" s="253"/>
      <c r="Z77" s="253"/>
      <c r="AA77" s="253"/>
      <c r="AB77" s="253"/>
      <c r="AC77" s="253"/>
      <c r="AD77" s="255">
        <f>100-100</f>
        <v>0</v>
      </c>
      <c r="AE77" s="253"/>
      <c r="AF77" s="255">
        <f>250-250</f>
        <v>0</v>
      </c>
      <c r="AG77" s="255">
        <f>200-200</f>
        <v>0</v>
      </c>
      <c r="AH77" s="253"/>
      <c r="AI77" s="253"/>
      <c r="AJ77" s="253"/>
      <c r="AK77" s="253"/>
      <c r="AL77" s="255">
        <f>150-150</f>
        <v>0</v>
      </c>
      <c r="AM77" s="253"/>
      <c r="AN77" s="255">
        <f>100-100</f>
        <v>0</v>
      </c>
      <c r="AO77" s="253"/>
      <c r="AP77" s="253"/>
      <c r="AQ77" s="253"/>
      <c r="AR77" s="253"/>
      <c r="AS77" s="253"/>
      <c r="AT77" s="253"/>
      <c r="AU77" s="253"/>
      <c r="AV77" s="253"/>
      <c r="AW77" s="253"/>
      <c r="AX77" s="253"/>
      <c r="AY77" s="253"/>
      <c r="AZ77" s="253"/>
      <c r="BA77" s="253"/>
      <c r="BB77" s="253"/>
      <c r="BC77" s="255">
        <f>150-150</f>
        <v>0</v>
      </c>
      <c r="BD77" s="253"/>
      <c r="BE77" s="253"/>
      <c r="BF77" s="253"/>
      <c r="BG77" s="253"/>
      <c r="BH77" s="253"/>
      <c r="BI77" s="253"/>
      <c r="BJ77" s="253"/>
      <c r="BK77" s="253"/>
      <c r="BL77" s="253"/>
      <c r="BM77" s="253"/>
      <c r="BN77" s="253"/>
      <c r="BO77" s="253"/>
      <c r="BP77" s="253"/>
      <c r="BQ77" s="253"/>
      <c r="BR77" s="253"/>
      <c r="BS77" s="253"/>
      <c r="BT77" s="253"/>
      <c r="BU77" s="253"/>
      <c r="BV77" s="253"/>
      <c r="BW77" s="253"/>
      <c r="BX77" s="253"/>
      <c r="BY77" s="253"/>
      <c r="BZ77" s="253"/>
      <c r="CA77" s="253"/>
      <c r="CB77" s="253"/>
      <c r="CC77" s="253"/>
      <c r="CD77" s="253"/>
      <c r="CE77" s="253"/>
      <c r="CF77" s="253"/>
      <c r="CG77" s="253"/>
      <c r="CH77" s="253"/>
      <c r="CI77" s="253"/>
      <c r="CJ77" s="253"/>
      <c r="CK77" s="253"/>
      <c r="CL77" s="253"/>
      <c r="CM77" s="253"/>
      <c r="CN77" s="253"/>
      <c r="CO77" s="253"/>
      <c r="CP77" s="253"/>
      <c r="CQ77" s="253"/>
      <c r="CR77" s="253"/>
      <c r="CS77" s="253"/>
      <c r="CT77" s="253"/>
      <c r="CU77" s="253"/>
      <c r="CV77" s="253"/>
      <c r="CW77" s="253"/>
      <c r="CX77" s="253"/>
      <c r="CY77" s="253"/>
      <c r="CZ77" s="253"/>
      <c r="DA77" s="253"/>
      <c r="DB77" s="253"/>
      <c r="DC77" s="253"/>
      <c r="DD77" s="253"/>
      <c r="DE77" s="253"/>
      <c r="DF77" s="253"/>
      <c r="DG77" s="253"/>
      <c r="DH77" s="253"/>
      <c r="DI77" s="253"/>
      <c r="DJ77" s="253"/>
      <c r="DK77" s="253"/>
      <c r="DL77" s="253"/>
      <c r="DM77" s="253"/>
      <c r="DN77" s="253"/>
      <c r="DO77" s="253"/>
      <c r="DP77" s="253"/>
      <c r="DQ77" s="253"/>
      <c r="DR77" s="253"/>
      <c r="DS77" s="253"/>
      <c r="DT77" s="253"/>
      <c r="DU77" s="253"/>
      <c r="DV77" s="253"/>
      <c r="DW77" s="253"/>
      <c r="DX77" s="253"/>
      <c r="DY77" s="253"/>
      <c r="DZ77" s="253"/>
      <c r="EA77" s="253"/>
      <c r="EB77" s="253"/>
      <c r="EC77" s="253"/>
      <c r="ED77" s="253"/>
      <c r="EE77" s="253"/>
      <c r="EF77" s="253"/>
      <c r="EG77" s="253"/>
      <c r="EH77" s="253"/>
      <c r="EI77" s="253"/>
      <c r="EJ77" s="253"/>
      <c r="EK77" s="253"/>
      <c r="EL77" s="253"/>
      <c r="EM77" s="253"/>
      <c r="EN77" s="253"/>
      <c r="EO77" s="253"/>
      <c r="EP77" s="253"/>
      <c r="EQ77" s="253"/>
      <c r="ER77" s="253"/>
      <c r="ES77" s="253"/>
      <c r="ET77" s="253"/>
      <c r="EU77" s="253"/>
      <c r="EV77" s="253"/>
      <c r="EW77" s="253"/>
      <c r="EX77" s="253"/>
      <c r="EY77" s="253"/>
      <c r="EZ77" s="253"/>
      <c r="FA77" s="253"/>
      <c r="FB77" s="253"/>
      <c r="FC77" s="253"/>
      <c r="FD77" s="253"/>
      <c r="FE77" s="253"/>
      <c r="FF77" s="253"/>
      <c r="FG77" s="253"/>
      <c r="FH77" s="253"/>
      <c r="FI77" s="253"/>
      <c r="FJ77" s="253"/>
      <c r="FK77" s="253"/>
      <c r="FL77" s="256"/>
      <c r="FM77" s="257" t="s">
        <v>1145</v>
      </c>
      <c r="FN77" s="258" t="s">
        <v>389</v>
      </c>
      <c r="FO77" s="258" t="s">
        <v>438</v>
      </c>
      <c r="FP77" s="258" t="s">
        <v>420</v>
      </c>
      <c r="FQ77" s="259">
        <f t="shared" si="5"/>
        <v>0</v>
      </c>
      <c r="FR77" s="260" t="s">
        <v>421</v>
      </c>
      <c r="FS77" s="260"/>
    </row>
    <row r="78" spans="1:175">
      <c r="A78" s="251" t="s">
        <v>393</v>
      </c>
      <c r="B78" s="251" t="s">
        <v>385</v>
      </c>
      <c r="C78" s="251" t="s">
        <v>411</v>
      </c>
      <c r="D78" s="251" t="s">
        <v>1</v>
      </c>
      <c r="E78" s="252" t="s">
        <v>437</v>
      </c>
      <c r="F78" s="251" t="s">
        <v>388</v>
      </c>
      <c r="G78" s="251" t="s">
        <v>1171</v>
      </c>
      <c r="H78" s="253"/>
      <c r="I78" s="253"/>
      <c r="J78" s="253"/>
      <c r="K78" s="253"/>
      <c r="L78" s="253"/>
      <c r="M78" s="253"/>
      <c r="N78" s="255">
        <f>200-200</f>
        <v>0</v>
      </c>
      <c r="O78" s="255">
        <f>150-150</f>
        <v>0</v>
      </c>
      <c r="P78" s="253"/>
      <c r="Q78" s="253"/>
      <c r="R78" s="253"/>
      <c r="S78" s="253"/>
      <c r="T78" s="253"/>
      <c r="U78" s="255">
        <f>100-100</f>
        <v>0</v>
      </c>
      <c r="V78" s="253"/>
      <c r="W78" s="253"/>
      <c r="X78" s="255">
        <f>100-100</f>
        <v>0</v>
      </c>
      <c r="Y78" s="255">
        <f>100-100</f>
        <v>0</v>
      </c>
      <c r="Z78" s="253"/>
      <c r="AA78" s="255">
        <f>400-400</f>
        <v>0</v>
      </c>
      <c r="AB78" s="253"/>
      <c r="AC78" s="253"/>
      <c r="AD78" s="253"/>
      <c r="AE78" s="255">
        <f>150-150</f>
        <v>0</v>
      </c>
      <c r="AF78" s="253"/>
      <c r="AG78" s="253"/>
      <c r="AH78" s="253"/>
      <c r="AI78" s="253"/>
      <c r="AJ78" s="253"/>
      <c r="AK78" s="253"/>
      <c r="AL78" s="253"/>
      <c r="AM78" s="253"/>
      <c r="AN78" s="253"/>
      <c r="AO78" s="253"/>
      <c r="AP78" s="253"/>
      <c r="AQ78" s="253"/>
      <c r="AR78" s="253"/>
      <c r="AS78" s="253"/>
      <c r="AT78" s="255">
        <f>200-200</f>
        <v>0</v>
      </c>
      <c r="AU78" s="253"/>
      <c r="AV78" s="253"/>
      <c r="AW78" s="253"/>
      <c r="AX78" s="253"/>
      <c r="AY78" s="255">
        <f>20-20</f>
        <v>0</v>
      </c>
      <c r="AZ78" s="253"/>
      <c r="BA78" s="253"/>
      <c r="BB78" s="253"/>
      <c r="BC78" s="253"/>
      <c r="BD78" s="253"/>
      <c r="BE78" s="253"/>
      <c r="BF78" s="253"/>
      <c r="BG78" s="253"/>
      <c r="BH78" s="253"/>
      <c r="BI78" s="253"/>
      <c r="BJ78" s="253"/>
      <c r="BK78" s="253"/>
      <c r="BL78" s="253"/>
      <c r="BM78" s="253"/>
      <c r="BN78" s="253"/>
      <c r="BO78" s="253"/>
      <c r="BP78" s="253"/>
      <c r="BQ78" s="253"/>
      <c r="BR78" s="253"/>
      <c r="BS78" s="253"/>
      <c r="BT78" s="253"/>
      <c r="BU78" s="253"/>
      <c r="BV78" s="253"/>
      <c r="BW78" s="253"/>
      <c r="BX78" s="253"/>
      <c r="BY78" s="253"/>
      <c r="BZ78" s="253"/>
      <c r="CA78" s="253"/>
      <c r="CB78" s="253"/>
      <c r="CC78" s="253"/>
      <c r="CD78" s="253"/>
      <c r="CE78" s="253"/>
      <c r="CF78" s="253"/>
      <c r="CG78" s="253"/>
      <c r="CH78" s="253"/>
      <c r="CI78" s="253"/>
      <c r="CJ78" s="253"/>
      <c r="CK78" s="253"/>
      <c r="CL78" s="253"/>
      <c r="CM78" s="253"/>
      <c r="CN78" s="253"/>
      <c r="CO78" s="253"/>
      <c r="CP78" s="253"/>
      <c r="CQ78" s="253"/>
      <c r="CR78" s="253"/>
      <c r="CS78" s="253"/>
      <c r="CT78" s="253"/>
      <c r="CU78" s="253"/>
      <c r="CV78" s="253"/>
      <c r="CW78" s="253"/>
      <c r="CX78" s="253"/>
      <c r="CY78" s="253"/>
      <c r="CZ78" s="253"/>
      <c r="DA78" s="253"/>
      <c r="DB78" s="253"/>
      <c r="DC78" s="253"/>
      <c r="DD78" s="253"/>
      <c r="DE78" s="253"/>
      <c r="DF78" s="253"/>
      <c r="DG78" s="253"/>
      <c r="DH78" s="253"/>
      <c r="DI78" s="253"/>
      <c r="DJ78" s="253"/>
      <c r="DK78" s="253"/>
      <c r="DL78" s="253"/>
      <c r="DM78" s="253"/>
      <c r="DN78" s="253"/>
      <c r="DO78" s="253"/>
      <c r="DP78" s="253"/>
      <c r="DQ78" s="253"/>
      <c r="DR78" s="253"/>
      <c r="DS78" s="253"/>
      <c r="DT78" s="253"/>
      <c r="DU78" s="253"/>
      <c r="DV78" s="253"/>
      <c r="DW78" s="253"/>
      <c r="DX78" s="253"/>
      <c r="DY78" s="255">
        <f>200-200</f>
        <v>0</v>
      </c>
      <c r="DZ78" s="253"/>
      <c r="EA78" s="253"/>
      <c r="EB78" s="253"/>
      <c r="EC78" s="253"/>
      <c r="ED78" s="253"/>
      <c r="EE78" s="253"/>
      <c r="EF78" s="253"/>
      <c r="EG78" s="253"/>
      <c r="EH78" s="253"/>
      <c r="EI78" s="253"/>
      <c r="EJ78" s="253"/>
      <c r="EK78" s="253"/>
      <c r="EL78" s="253"/>
      <c r="EM78" s="253"/>
      <c r="EN78" s="253"/>
      <c r="EO78" s="253"/>
      <c r="EP78" s="253"/>
      <c r="EQ78" s="253"/>
      <c r="ER78" s="253"/>
      <c r="ES78" s="253"/>
      <c r="ET78" s="253"/>
      <c r="EU78" s="253"/>
      <c r="EV78" s="253"/>
      <c r="EW78" s="253"/>
      <c r="EX78" s="253"/>
      <c r="EY78" s="253"/>
      <c r="EZ78" s="253"/>
      <c r="FA78" s="253"/>
      <c r="FB78" s="253"/>
      <c r="FC78" s="253"/>
      <c r="FD78" s="253"/>
      <c r="FE78" s="253"/>
      <c r="FF78" s="253"/>
      <c r="FG78" s="253"/>
      <c r="FH78" s="253"/>
      <c r="FI78" s="253"/>
      <c r="FJ78" s="253"/>
      <c r="FK78" s="253"/>
      <c r="FL78" s="256"/>
      <c r="FM78" s="257" t="s">
        <v>1145</v>
      </c>
      <c r="FN78" s="258" t="s">
        <v>389</v>
      </c>
      <c r="FO78" s="258" t="s">
        <v>438</v>
      </c>
      <c r="FP78" s="258" t="s">
        <v>420</v>
      </c>
      <c r="FQ78" s="259">
        <f t="shared" si="5"/>
        <v>0</v>
      </c>
      <c r="FR78" s="260" t="s">
        <v>421</v>
      </c>
      <c r="FS78" s="260"/>
    </row>
    <row r="79" spans="1:175">
      <c r="A79" s="251" t="s">
        <v>393</v>
      </c>
      <c r="B79" s="251" t="s">
        <v>385</v>
      </c>
      <c r="C79" s="251" t="s">
        <v>411</v>
      </c>
      <c r="D79" s="251" t="s">
        <v>291</v>
      </c>
      <c r="E79" s="252" t="s">
        <v>440</v>
      </c>
      <c r="F79" s="251" t="s">
        <v>388</v>
      </c>
      <c r="G79" s="251"/>
      <c r="H79" s="253"/>
      <c r="I79" s="255">
        <f>500-500</f>
        <v>0</v>
      </c>
      <c r="J79" s="253"/>
      <c r="K79" s="255">
        <f>500-500</f>
        <v>0</v>
      </c>
      <c r="L79" s="253"/>
      <c r="M79" s="253"/>
      <c r="N79" s="253"/>
      <c r="O79" s="253"/>
      <c r="P79" s="253"/>
      <c r="Q79" s="255">
        <f>500-500</f>
        <v>0</v>
      </c>
      <c r="R79" s="253"/>
      <c r="S79" s="253"/>
      <c r="T79" s="255">
        <f>500-500</f>
        <v>0</v>
      </c>
      <c r="U79" s="253"/>
      <c r="V79" s="253"/>
      <c r="W79" s="253"/>
      <c r="X79" s="253"/>
      <c r="Y79" s="253"/>
      <c r="Z79" s="253"/>
      <c r="AA79" s="253"/>
      <c r="AB79" s="253"/>
      <c r="AC79" s="253"/>
      <c r="AD79" s="255">
        <f>500-500</f>
        <v>0</v>
      </c>
      <c r="AE79" s="253"/>
      <c r="AF79" s="255">
        <f>500-500</f>
        <v>0</v>
      </c>
      <c r="AG79" s="255">
        <f>500-500</f>
        <v>0</v>
      </c>
      <c r="AH79" s="253"/>
      <c r="AI79" s="253"/>
      <c r="AJ79" s="253"/>
      <c r="AK79" s="253"/>
      <c r="AL79" s="255">
        <f>500-500</f>
        <v>0</v>
      </c>
      <c r="AM79" s="253"/>
      <c r="AN79" s="255">
        <f>500-500</f>
        <v>0</v>
      </c>
      <c r="AO79" s="253"/>
      <c r="AP79" s="253"/>
      <c r="AQ79" s="253"/>
      <c r="AR79" s="253"/>
      <c r="AS79" s="253"/>
      <c r="AT79" s="253"/>
      <c r="AU79" s="253"/>
      <c r="AV79" s="253"/>
      <c r="AW79" s="253"/>
      <c r="AX79" s="253"/>
      <c r="AY79" s="253"/>
      <c r="AZ79" s="253"/>
      <c r="BA79" s="253"/>
      <c r="BB79" s="253"/>
      <c r="BC79" s="255">
        <f>500-500</f>
        <v>0</v>
      </c>
      <c r="BD79" s="253"/>
      <c r="BE79" s="253"/>
      <c r="BF79" s="253"/>
      <c r="BG79" s="253"/>
      <c r="BH79" s="253"/>
      <c r="BI79" s="253"/>
      <c r="BJ79" s="253"/>
      <c r="BK79" s="253"/>
      <c r="BL79" s="253"/>
      <c r="BM79" s="253"/>
      <c r="BN79" s="253"/>
      <c r="BO79" s="253"/>
      <c r="BP79" s="253"/>
      <c r="BQ79" s="253"/>
      <c r="BR79" s="253"/>
      <c r="BS79" s="253"/>
      <c r="BT79" s="253"/>
      <c r="BU79" s="253"/>
      <c r="BV79" s="253"/>
      <c r="BW79" s="253"/>
      <c r="BX79" s="253"/>
      <c r="BY79" s="253"/>
      <c r="BZ79" s="253"/>
      <c r="CA79" s="253"/>
      <c r="CB79" s="253"/>
      <c r="CC79" s="253"/>
      <c r="CD79" s="253"/>
      <c r="CE79" s="253"/>
      <c r="CF79" s="253"/>
      <c r="CG79" s="253"/>
      <c r="CH79" s="253"/>
      <c r="CI79" s="253"/>
      <c r="CJ79" s="253"/>
      <c r="CK79" s="253"/>
      <c r="CL79" s="253"/>
      <c r="CM79" s="253"/>
      <c r="CN79" s="253"/>
      <c r="CO79" s="253"/>
      <c r="CP79" s="253"/>
      <c r="CQ79" s="253"/>
      <c r="CR79" s="253"/>
      <c r="CS79" s="253"/>
      <c r="CT79" s="253"/>
      <c r="CU79" s="253"/>
      <c r="CV79" s="253"/>
      <c r="CW79" s="253"/>
      <c r="CX79" s="253"/>
      <c r="CY79" s="253"/>
      <c r="CZ79" s="253"/>
      <c r="DA79" s="253"/>
      <c r="DB79" s="253"/>
      <c r="DC79" s="253"/>
      <c r="DD79" s="253"/>
      <c r="DE79" s="253"/>
      <c r="DF79" s="253"/>
      <c r="DG79" s="253"/>
      <c r="DH79" s="253"/>
      <c r="DI79" s="253"/>
      <c r="DJ79" s="253"/>
      <c r="DK79" s="253"/>
      <c r="DL79" s="253"/>
      <c r="DM79" s="253"/>
      <c r="DN79" s="253"/>
      <c r="DO79" s="253"/>
      <c r="DP79" s="253"/>
      <c r="DQ79" s="253"/>
      <c r="DR79" s="253"/>
      <c r="DS79" s="253"/>
      <c r="DT79" s="253"/>
      <c r="DU79" s="253"/>
      <c r="DV79" s="253"/>
      <c r="DW79" s="253"/>
      <c r="DX79" s="254">
        <f>500-500+500</f>
        <v>500</v>
      </c>
      <c r="DY79" s="253"/>
      <c r="DZ79" s="255">
        <f>500-500</f>
        <v>0</v>
      </c>
      <c r="EA79" s="255">
        <f>500-500</f>
        <v>0</v>
      </c>
      <c r="EB79" s="253"/>
      <c r="EC79" s="253"/>
      <c r="ED79" s="253"/>
      <c r="EE79" s="253"/>
      <c r="EF79" s="253"/>
      <c r="EG79" s="253"/>
      <c r="EH79" s="253"/>
      <c r="EI79" s="253"/>
      <c r="EJ79" s="253"/>
      <c r="EK79" s="253"/>
      <c r="EL79" s="253"/>
      <c r="EM79" s="253"/>
      <c r="EN79" s="253"/>
      <c r="EO79" s="253"/>
      <c r="EP79" s="253"/>
      <c r="EQ79" s="253"/>
      <c r="ER79" s="253"/>
      <c r="ES79" s="253"/>
      <c r="ET79" s="253"/>
      <c r="EU79" s="253"/>
      <c r="EV79" s="253"/>
      <c r="EW79" s="253"/>
      <c r="EX79" s="253"/>
      <c r="EY79" s="253"/>
      <c r="EZ79" s="253"/>
      <c r="FA79" s="253"/>
      <c r="FB79" s="253"/>
      <c r="FC79" s="253"/>
      <c r="FD79" s="253"/>
      <c r="FE79" s="253"/>
      <c r="FF79" s="253"/>
      <c r="FG79" s="253"/>
      <c r="FH79" s="253"/>
      <c r="FI79" s="253"/>
      <c r="FJ79" s="253"/>
      <c r="FK79" s="253"/>
      <c r="FL79" s="256"/>
      <c r="FM79" s="257" t="s">
        <v>1145</v>
      </c>
      <c r="FN79" s="258" t="s">
        <v>389</v>
      </c>
      <c r="FO79" s="258"/>
      <c r="FP79" s="258" t="s">
        <v>423</v>
      </c>
      <c r="FQ79" s="259">
        <f t="shared" si="5"/>
        <v>500</v>
      </c>
      <c r="FR79" s="260" t="s">
        <v>424</v>
      </c>
      <c r="FS79" s="260"/>
    </row>
    <row r="80" spans="1:175">
      <c r="A80" s="251" t="s">
        <v>393</v>
      </c>
      <c r="B80" s="251" t="s">
        <v>385</v>
      </c>
      <c r="C80" s="251" t="s">
        <v>411</v>
      </c>
      <c r="D80" s="251" t="s">
        <v>1</v>
      </c>
      <c r="E80" s="252" t="s">
        <v>440</v>
      </c>
      <c r="F80" s="251" t="s">
        <v>388</v>
      </c>
      <c r="G80" s="251"/>
      <c r="H80" s="253"/>
      <c r="I80" s="253"/>
      <c r="J80" s="253"/>
      <c r="K80" s="253"/>
      <c r="L80" s="254">
        <f>500-500+100</f>
        <v>100</v>
      </c>
      <c r="M80" s="253"/>
      <c r="N80" s="255">
        <f>500-500</f>
        <v>0</v>
      </c>
      <c r="O80" s="255">
        <f>500-500</f>
        <v>0</v>
      </c>
      <c r="P80" s="253"/>
      <c r="Q80" s="253"/>
      <c r="R80" s="253"/>
      <c r="S80" s="255">
        <f>500-500</f>
        <v>0</v>
      </c>
      <c r="T80" s="253"/>
      <c r="U80" s="255">
        <f>500-500</f>
        <v>0</v>
      </c>
      <c r="V80" s="255">
        <f>500-500</f>
        <v>0</v>
      </c>
      <c r="W80" s="255">
        <f>500-500</f>
        <v>0</v>
      </c>
      <c r="X80" s="255">
        <f>500-500</f>
        <v>0</v>
      </c>
      <c r="Y80" s="255">
        <f>500-500</f>
        <v>0</v>
      </c>
      <c r="Z80" s="253"/>
      <c r="AA80" s="255">
        <f>500-500</f>
        <v>0</v>
      </c>
      <c r="AB80" s="255">
        <f>500-500</f>
        <v>0</v>
      </c>
      <c r="AC80" s="255">
        <f>500-500</f>
        <v>0</v>
      </c>
      <c r="AD80" s="253"/>
      <c r="AE80" s="255">
        <f>500-500</f>
        <v>0</v>
      </c>
      <c r="AF80" s="253"/>
      <c r="AG80" s="253"/>
      <c r="AH80" s="255">
        <f>500-500</f>
        <v>0</v>
      </c>
      <c r="AI80" s="255">
        <f>500-500</f>
        <v>0</v>
      </c>
      <c r="AJ80" s="253"/>
      <c r="AK80" s="253"/>
      <c r="AL80" s="253"/>
      <c r="AM80" s="253"/>
      <c r="AN80" s="253"/>
      <c r="AO80" s="253"/>
      <c r="AP80" s="253"/>
      <c r="AQ80" s="253"/>
      <c r="AR80" s="253"/>
      <c r="AS80" s="253"/>
      <c r="AT80" s="255">
        <f>500-500</f>
        <v>0</v>
      </c>
      <c r="AU80" s="253"/>
      <c r="AV80" s="253"/>
      <c r="AW80" s="253"/>
      <c r="AX80" s="253"/>
      <c r="AY80" s="255">
        <f>500-500</f>
        <v>0</v>
      </c>
      <c r="AZ80" s="253"/>
      <c r="BA80" s="253"/>
      <c r="BB80" s="253"/>
      <c r="BC80" s="253"/>
      <c r="BD80" s="253"/>
      <c r="BE80" s="253"/>
      <c r="BF80" s="253"/>
      <c r="BG80" s="253"/>
      <c r="BH80" s="253"/>
      <c r="BI80" s="253"/>
      <c r="BJ80" s="255">
        <f t="shared" ref="BJ80:BR80" si="6">500-500</f>
        <v>0</v>
      </c>
      <c r="BK80" s="255">
        <f t="shared" si="6"/>
        <v>0</v>
      </c>
      <c r="BL80" s="255">
        <f t="shared" si="6"/>
        <v>0</v>
      </c>
      <c r="BM80" s="255">
        <f t="shared" si="6"/>
        <v>0</v>
      </c>
      <c r="BN80" s="255">
        <f t="shared" si="6"/>
        <v>0</v>
      </c>
      <c r="BO80" s="255">
        <f t="shared" si="6"/>
        <v>0</v>
      </c>
      <c r="BP80" s="255">
        <f t="shared" si="6"/>
        <v>0</v>
      </c>
      <c r="BQ80" s="255">
        <f t="shared" si="6"/>
        <v>0</v>
      </c>
      <c r="BR80" s="255">
        <f t="shared" si="6"/>
        <v>0</v>
      </c>
      <c r="BS80" s="253"/>
      <c r="BT80" s="255">
        <f>500-500</f>
        <v>0</v>
      </c>
      <c r="BU80" s="255">
        <f>500-500</f>
        <v>0</v>
      </c>
      <c r="BV80" s="255">
        <f>500-500</f>
        <v>0</v>
      </c>
      <c r="BW80" s="255">
        <f>500-500</f>
        <v>0</v>
      </c>
      <c r="BX80" s="253"/>
      <c r="BY80" s="255">
        <f t="shared" ref="BY80:CD80" si="7">500-500</f>
        <v>0</v>
      </c>
      <c r="BZ80" s="255">
        <f t="shared" si="7"/>
        <v>0</v>
      </c>
      <c r="CA80" s="255">
        <f t="shared" si="7"/>
        <v>0</v>
      </c>
      <c r="CB80" s="255">
        <f t="shared" si="7"/>
        <v>0</v>
      </c>
      <c r="CC80" s="255">
        <f t="shared" si="7"/>
        <v>0</v>
      </c>
      <c r="CD80" s="255">
        <f t="shared" si="7"/>
        <v>0</v>
      </c>
      <c r="CE80" s="253"/>
      <c r="CF80" s="255">
        <f t="shared" ref="CF80:CM80" si="8">500-500</f>
        <v>0</v>
      </c>
      <c r="CG80" s="255">
        <f t="shared" si="8"/>
        <v>0</v>
      </c>
      <c r="CH80" s="255">
        <f t="shared" si="8"/>
        <v>0</v>
      </c>
      <c r="CI80" s="255">
        <f t="shared" si="8"/>
        <v>0</v>
      </c>
      <c r="CJ80" s="255">
        <f t="shared" si="8"/>
        <v>0</v>
      </c>
      <c r="CK80" s="255">
        <f t="shared" si="8"/>
        <v>0</v>
      </c>
      <c r="CL80" s="255">
        <f t="shared" si="8"/>
        <v>0</v>
      </c>
      <c r="CM80" s="255">
        <f t="shared" si="8"/>
        <v>0</v>
      </c>
      <c r="CN80" s="253"/>
      <c r="CO80" s="253"/>
      <c r="CP80" s="253"/>
      <c r="CQ80" s="253"/>
      <c r="CR80" s="253"/>
      <c r="CS80" s="255">
        <f>500-500</f>
        <v>0</v>
      </c>
      <c r="CT80" s="255">
        <f>500-500</f>
        <v>0</v>
      </c>
      <c r="CU80" s="253"/>
      <c r="CV80" s="253"/>
      <c r="CW80" s="255">
        <f t="shared" ref="CW80:DD81" si="9">100-100</f>
        <v>0</v>
      </c>
      <c r="CX80" s="255">
        <f t="shared" si="9"/>
        <v>0</v>
      </c>
      <c r="CY80" s="255">
        <f t="shared" si="9"/>
        <v>0</v>
      </c>
      <c r="CZ80" s="255">
        <f t="shared" si="9"/>
        <v>0</v>
      </c>
      <c r="DA80" s="255">
        <f t="shared" si="9"/>
        <v>0</v>
      </c>
      <c r="DB80" s="255">
        <f t="shared" si="9"/>
        <v>0</v>
      </c>
      <c r="DC80" s="255">
        <f t="shared" si="9"/>
        <v>0</v>
      </c>
      <c r="DD80" s="253"/>
      <c r="DE80" s="253"/>
      <c r="DF80" s="253"/>
      <c r="DG80" s="253"/>
      <c r="DH80" s="253"/>
      <c r="DI80" s="253"/>
      <c r="DJ80" s="253"/>
      <c r="DK80" s="255">
        <f>500-500</f>
        <v>0</v>
      </c>
      <c r="DL80" s="253"/>
      <c r="DM80" s="253"/>
      <c r="DN80" s="253"/>
      <c r="DO80" s="253"/>
      <c r="DP80" s="253"/>
      <c r="DQ80" s="253"/>
      <c r="DR80" s="253"/>
      <c r="DS80" s="253"/>
      <c r="DT80" s="253"/>
      <c r="DU80" s="253"/>
      <c r="DV80" s="253"/>
      <c r="DW80" s="253"/>
      <c r="DX80" s="253"/>
      <c r="DY80" s="255">
        <f>500-500</f>
        <v>0</v>
      </c>
      <c r="DZ80" s="253"/>
      <c r="EA80" s="253"/>
      <c r="EB80" s="253"/>
      <c r="EC80" s="255">
        <f>500-500</f>
        <v>0</v>
      </c>
      <c r="ED80" s="255">
        <f>500-500</f>
        <v>0</v>
      </c>
      <c r="EE80" s="253"/>
      <c r="EF80" s="253"/>
      <c r="EG80" s="255">
        <f>500-500</f>
        <v>0</v>
      </c>
      <c r="EH80" s="255">
        <f>500-500</f>
        <v>0</v>
      </c>
      <c r="EI80" s="255">
        <f>500-500</f>
        <v>0</v>
      </c>
      <c r="EJ80" s="255">
        <f>500-500</f>
        <v>0</v>
      </c>
      <c r="EK80" s="255">
        <f>500-500</f>
        <v>0</v>
      </c>
      <c r="EL80" s="253"/>
      <c r="EM80" s="253"/>
      <c r="EN80" s="255">
        <f>500-500</f>
        <v>0</v>
      </c>
      <c r="EO80" s="255">
        <f>500-500</f>
        <v>0</v>
      </c>
      <c r="EP80" s="255">
        <f>500-500</f>
        <v>0</v>
      </c>
      <c r="EQ80" s="255">
        <f>500-500</f>
        <v>0</v>
      </c>
      <c r="ER80" s="253"/>
      <c r="ES80" s="255">
        <f>500-500</f>
        <v>0</v>
      </c>
      <c r="ET80" s="255">
        <f>500-500</f>
        <v>0</v>
      </c>
      <c r="EU80" s="255">
        <f>500-500</f>
        <v>0</v>
      </c>
      <c r="EV80" s="253"/>
      <c r="EW80" s="255">
        <f>500-500</f>
        <v>0</v>
      </c>
      <c r="EX80" s="255">
        <f>500-500</f>
        <v>0</v>
      </c>
      <c r="EY80" s="255">
        <f>500-500</f>
        <v>0</v>
      </c>
      <c r="EZ80" s="253"/>
      <c r="FA80" s="255">
        <f>500-500</f>
        <v>0</v>
      </c>
      <c r="FB80" s="255">
        <f>500-500</f>
        <v>0</v>
      </c>
      <c r="FC80" s="255">
        <f>500-500</f>
        <v>0</v>
      </c>
      <c r="FD80" s="253"/>
      <c r="FE80" s="255">
        <f>500-500</f>
        <v>0</v>
      </c>
      <c r="FF80" s="253"/>
      <c r="FG80" s="253"/>
      <c r="FH80" s="255">
        <f>500-500</f>
        <v>0</v>
      </c>
      <c r="FI80" s="255">
        <f>500-500</f>
        <v>0</v>
      </c>
      <c r="FJ80" s="253"/>
      <c r="FK80" s="253"/>
      <c r="FL80" s="256"/>
      <c r="FM80" s="257" t="s">
        <v>1145</v>
      </c>
      <c r="FN80" s="258" t="s">
        <v>389</v>
      </c>
      <c r="FO80" s="258"/>
      <c r="FP80" s="258" t="s">
        <v>423</v>
      </c>
      <c r="FQ80" s="259">
        <f t="shared" si="5"/>
        <v>100</v>
      </c>
      <c r="FR80" s="260" t="s">
        <v>424</v>
      </c>
      <c r="FS80" s="260"/>
    </row>
    <row r="81" spans="1:175">
      <c r="A81" s="251" t="s">
        <v>393</v>
      </c>
      <c r="B81" s="251" t="s">
        <v>385</v>
      </c>
      <c r="C81" s="251" t="s">
        <v>411</v>
      </c>
      <c r="D81" s="251" t="s">
        <v>293</v>
      </c>
      <c r="E81" s="252" t="s">
        <v>440</v>
      </c>
      <c r="F81" s="251" t="s">
        <v>388</v>
      </c>
      <c r="G81" s="251"/>
      <c r="H81" s="253"/>
      <c r="I81" s="253"/>
      <c r="J81" s="255">
        <f>500-500</f>
        <v>0</v>
      </c>
      <c r="K81" s="253"/>
      <c r="L81" s="253"/>
      <c r="M81" s="253"/>
      <c r="N81" s="253"/>
      <c r="O81" s="253"/>
      <c r="P81" s="253"/>
      <c r="Q81" s="253"/>
      <c r="R81" s="253"/>
      <c r="S81" s="253"/>
      <c r="T81" s="253"/>
      <c r="U81" s="253"/>
      <c r="V81" s="253"/>
      <c r="W81" s="253"/>
      <c r="X81" s="253"/>
      <c r="Y81" s="253"/>
      <c r="Z81" s="253"/>
      <c r="AA81" s="253"/>
      <c r="AB81" s="253"/>
      <c r="AC81" s="253"/>
      <c r="AD81" s="253"/>
      <c r="AE81" s="253"/>
      <c r="AF81" s="253"/>
      <c r="AG81" s="253"/>
      <c r="AH81" s="253"/>
      <c r="AI81" s="253"/>
      <c r="AJ81" s="253"/>
      <c r="AK81" s="253"/>
      <c r="AL81" s="253"/>
      <c r="AM81" s="253"/>
      <c r="AN81" s="253"/>
      <c r="AO81" s="253"/>
      <c r="AP81" s="253"/>
      <c r="AQ81" s="253"/>
      <c r="AR81" s="253"/>
      <c r="AS81" s="253"/>
      <c r="AT81" s="253"/>
      <c r="AU81" s="253"/>
      <c r="AV81" s="253"/>
      <c r="AW81" s="253"/>
      <c r="AX81" s="253"/>
      <c r="AY81" s="253"/>
      <c r="AZ81" s="253"/>
      <c r="BA81" s="253"/>
      <c r="BB81" s="253"/>
      <c r="BC81" s="253"/>
      <c r="BD81" s="253"/>
      <c r="BE81" s="253"/>
      <c r="BF81" s="253"/>
      <c r="BG81" s="253"/>
      <c r="BH81" s="253"/>
      <c r="BI81" s="253"/>
      <c r="BJ81" s="253"/>
      <c r="BK81" s="253"/>
      <c r="BL81" s="253"/>
      <c r="BM81" s="253"/>
      <c r="BN81" s="253"/>
      <c r="BO81" s="253"/>
      <c r="BP81" s="253"/>
      <c r="BQ81" s="253"/>
      <c r="BR81" s="253"/>
      <c r="BS81" s="253"/>
      <c r="BT81" s="253"/>
      <c r="BU81" s="253"/>
      <c r="BV81" s="253"/>
      <c r="BW81" s="253"/>
      <c r="BX81" s="253"/>
      <c r="BY81" s="253"/>
      <c r="BZ81" s="253"/>
      <c r="CA81" s="253"/>
      <c r="CB81" s="253"/>
      <c r="CC81" s="253"/>
      <c r="CD81" s="253"/>
      <c r="CE81" s="253"/>
      <c r="CF81" s="253"/>
      <c r="CG81" s="253"/>
      <c r="CH81" s="253"/>
      <c r="CI81" s="253"/>
      <c r="CJ81" s="253"/>
      <c r="CK81" s="253"/>
      <c r="CL81" s="253"/>
      <c r="CM81" s="253"/>
      <c r="CN81" s="253"/>
      <c r="CO81" s="253"/>
      <c r="CP81" s="253"/>
      <c r="CQ81" s="253"/>
      <c r="CR81" s="253"/>
      <c r="CS81" s="253"/>
      <c r="CT81" s="253"/>
      <c r="CU81" s="253"/>
      <c r="CV81" s="253"/>
      <c r="CW81" s="253"/>
      <c r="CX81" s="253"/>
      <c r="CY81" s="253"/>
      <c r="CZ81" s="253"/>
      <c r="DA81" s="253"/>
      <c r="DB81" s="253"/>
      <c r="DC81" s="253"/>
      <c r="DD81" s="255">
        <f t="shared" si="9"/>
        <v>0</v>
      </c>
      <c r="DE81" s="253"/>
      <c r="DF81" s="253"/>
      <c r="DG81" s="253"/>
      <c r="DH81" s="253"/>
      <c r="DI81" s="253"/>
      <c r="DJ81" s="253"/>
      <c r="DK81" s="253"/>
      <c r="DL81" s="253"/>
      <c r="DM81" s="253"/>
      <c r="DN81" s="253"/>
      <c r="DO81" s="253"/>
      <c r="DP81" s="253"/>
      <c r="DQ81" s="253"/>
      <c r="DR81" s="253"/>
      <c r="DS81" s="253"/>
      <c r="DT81" s="253"/>
      <c r="DU81" s="253"/>
      <c r="DV81" s="253"/>
      <c r="DW81" s="253"/>
      <c r="DX81" s="253"/>
      <c r="DY81" s="253"/>
      <c r="DZ81" s="253"/>
      <c r="EA81" s="253"/>
      <c r="EB81" s="253"/>
      <c r="EC81" s="253"/>
      <c r="ED81" s="253"/>
      <c r="EE81" s="253"/>
      <c r="EF81" s="253"/>
      <c r="EG81" s="253"/>
      <c r="EH81" s="253"/>
      <c r="EI81" s="253"/>
      <c r="EJ81" s="253"/>
      <c r="EK81" s="253"/>
      <c r="EL81" s="253"/>
      <c r="EM81" s="253"/>
      <c r="EN81" s="253"/>
      <c r="EO81" s="253"/>
      <c r="EP81" s="253"/>
      <c r="EQ81" s="253"/>
      <c r="ER81" s="255">
        <f>500-500</f>
        <v>0</v>
      </c>
      <c r="ES81" s="253"/>
      <c r="ET81" s="253"/>
      <c r="EU81" s="253"/>
      <c r="EV81" s="255">
        <f>500-500</f>
        <v>0</v>
      </c>
      <c r="EW81" s="253"/>
      <c r="EX81" s="253"/>
      <c r="EY81" s="253"/>
      <c r="EZ81" s="255">
        <f>500-500</f>
        <v>0</v>
      </c>
      <c r="FA81" s="253"/>
      <c r="FB81" s="253"/>
      <c r="FC81" s="253"/>
      <c r="FD81" s="255">
        <f>500-500</f>
        <v>0</v>
      </c>
      <c r="FE81" s="253"/>
      <c r="FF81" s="253"/>
      <c r="FG81" s="253"/>
      <c r="FH81" s="253"/>
      <c r="FI81" s="253"/>
      <c r="FJ81" s="253"/>
      <c r="FK81" s="253"/>
      <c r="FL81" s="256"/>
      <c r="FM81" s="257" t="s">
        <v>1145</v>
      </c>
      <c r="FN81" s="258" t="s">
        <v>389</v>
      </c>
      <c r="FO81" s="258"/>
      <c r="FP81" s="258" t="s">
        <v>423</v>
      </c>
      <c r="FQ81" s="259">
        <f t="shared" si="5"/>
        <v>0</v>
      </c>
      <c r="FR81" s="260" t="s">
        <v>424</v>
      </c>
      <c r="FS81" s="260"/>
    </row>
    <row r="82" spans="1:175">
      <c r="A82" s="251" t="s">
        <v>393</v>
      </c>
      <c r="B82" s="251" t="s">
        <v>385</v>
      </c>
      <c r="C82" s="251" t="s">
        <v>411</v>
      </c>
      <c r="D82" s="251" t="s">
        <v>291</v>
      </c>
      <c r="E82" s="252" t="s">
        <v>441</v>
      </c>
      <c r="F82" s="251" t="s">
        <v>388</v>
      </c>
      <c r="G82" s="251"/>
      <c r="H82" s="253"/>
      <c r="I82" s="253"/>
      <c r="J82" s="253"/>
      <c r="K82" s="253"/>
      <c r="L82" s="253"/>
      <c r="M82" s="253"/>
      <c r="N82" s="253"/>
      <c r="O82" s="253"/>
      <c r="P82" s="253"/>
      <c r="Q82" s="255">
        <f>100-100</f>
        <v>0</v>
      </c>
      <c r="R82" s="253"/>
      <c r="S82" s="253"/>
      <c r="T82" s="255">
        <f>20-20</f>
        <v>0</v>
      </c>
      <c r="U82" s="253"/>
      <c r="V82" s="253"/>
      <c r="W82" s="253"/>
      <c r="X82" s="253"/>
      <c r="Y82" s="253"/>
      <c r="Z82" s="253"/>
      <c r="AA82" s="253"/>
      <c r="AB82" s="253"/>
      <c r="AC82" s="253"/>
      <c r="AD82" s="255">
        <f>200-200</f>
        <v>0</v>
      </c>
      <c r="AE82" s="253"/>
      <c r="AF82" s="255">
        <f>300-300</f>
        <v>0</v>
      </c>
      <c r="AG82" s="255">
        <f>300-300</f>
        <v>0</v>
      </c>
      <c r="AH82" s="253"/>
      <c r="AI82" s="253"/>
      <c r="AJ82" s="253"/>
      <c r="AK82" s="253"/>
      <c r="AL82" s="255">
        <f>100-100</f>
        <v>0</v>
      </c>
      <c r="AM82" s="253"/>
      <c r="AN82" s="255">
        <f>100-100</f>
        <v>0</v>
      </c>
      <c r="AO82" s="253"/>
      <c r="AP82" s="253"/>
      <c r="AQ82" s="253"/>
      <c r="AR82" s="253"/>
      <c r="AS82" s="253"/>
      <c r="AT82" s="253"/>
      <c r="AU82" s="253"/>
      <c r="AV82" s="253"/>
      <c r="AW82" s="253"/>
      <c r="AX82" s="253"/>
      <c r="AY82" s="253"/>
      <c r="AZ82" s="253"/>
      <c r="BA82" s="253"/>
      <c r="BB82" s="253"/>
      <c r="BC82" s="255">
        <f>300-300</f>
        <v>0</v>
      </c>
      <c r="BD82" s="253"/>
      <c r="BE82" s="253"/>
      <c r="BF82" s="253"/>
      <c r="BG82" s="253"/>
      <c r="BH82" s="253"/>
      <c r="BI82" s="253"/>
      <c r="BJ82" s="253"/>
      <c r="BK82" s="253"/>
      <c r="BL82" s="253"/>
      <c r="BM82" s="253"/>
      <c r="BN82" s="253"/>
      <c r="BO82" s="253"/>
      <c r="BP82" s="253"/>
      <c r="BQ82" s="253"/>
      <c r="BR82" s="253"/>
      <c r="BS82" s="253"/>
      <c r="BT82" s="253"/>
      <c r="BU82" s="253"/>
      <c r="BV82" s="253"/>
      <c r="BW82" s="253"/>
      <c r="BX82" s="253"/>
      <c r="BY82" s="253"/>
      <c r="BZ82" s="253"/>
      <c r="CA82" s="253"/>
      <c r="CB82" s="253"/>
      <c r="CC82" s="253"/>
      <c r="CD82" s="253"/>
      <c r="CE82" s="253"/>
      <c r="CF82" s="253"/>
      <c r="CG82" s="253"/>
      <c r="CH82" s="253"/>
      <c r="CI82" s="253"/>
      <c r="CJ82" s="253"/>
      <c r="CK82" s="253"/>
      <c r="CL82" s="253"/>
      <c r="CM82" s="253"/>
      <c r="CN82" s="253"/>
      <c r="CO82" s="253"/>
      <c r="CP82" s="253"/>
      <c r="CQ82" s="253"/>
      <c r="CR82" s="253"/>
      <c r="CS82" s="253"/>
      <c r="CT82" s="253"/>
      <c r="CU82" s="253"/>
      <c r="CV82" s="253"/>
      <c r="CW82" s="253"/>
      <c r="CX82" s="253"/>
      <c r="CY82" s="253"/>
      <c r="CZ82" s="253"/>
      <c r="DA82" s="253"/>
      <c r="DB82" s="253"/>
      <c r="DC82" s="253"/>
      <c r="DD82" s="253"/>
      <c r="DE82" s="253"/>
      <c r="DF82" s="253"/>
      <c r="DG82" s="253"/>
      <c r="DH82" s="253"/>
      <c r="DI82" s="253"/>
      <c r="DJ82" s="253"/>
      <c r="DK82" s="253"/>
      <c r="DL82" s="253"/>
      <c r="DM82" s="253"/>
      <c r="DN82" s="253"/>
      <c r="DO82" s="253"/>
      <c r="DP82" s="253"/>
      <c r="DQ82" s="253"/>
      <c r="DR82" s="253"/>
      <c r="DS82" s="253"/>
      <c r="DT82" s="253"/>
      <c r="DU82" s="253"/>
      <c r="DV82" s="253"/>
      <c r="DW82" s="253"/>
      <c r="DX82" s="253"/>
      <c r="DY82" s="253"/>
      <c r="DZ82" s="253"/>
      <c r="EA82" s="253"/>
      <c r="EB82" s="253"/>
      <c r="EC82" s="253"/>
      <c r="ED82" s="253"/>
      <c r="EE82" s="253"/>
      <c r="EF82" s="253"/>
      <c r="EG82" s="253"/>
      <c r="EH82" s="253"/>
      <c r="EI82" s="253"/>
      <c r="EJ82" s="253"/>
      <c r="EK82" s="253"/>
      <c r="EL82" s="253"/>
      <c r="EM82" s="253"/>
      <c r="EN82" s="253"/>
      <c r="EO82" s="253"/>
      <c r="EP82" s="253"/>
      <c r="EQ82" s="253"/>
      <c r="ER82" s="253"/>
      <c r="ES82" s="253"/>
      <c r="ET82" s="253"/>
      <c r="EU82" s="253"/>
      <c r="EV82" s="253"/>
      <c r="EW82" s="253"/>
      <c r="EX82" s="253"/>
      <c r="EY82" s="253"/>
      <c r="EZ82" s="253"/>
      <c r="FA82" s="253"/>
      <c r="FB82" s="253"/>
      <c r="FC82" s="253"/>
      <c r="FD82" s="253"/>
      <c r="FE82" s="253"/>
      <c r="FF82" s="253"/>
      <c r="FG82" s="253"/>
      <c r="FH82" s="253"/>
      <c r="FI82" s="253"/>
      <c r="FJ82" s="253"/>
      <c r="FK82" s="253"/>
      <c r="FL82" s="256"/>
      <c r="FM82" s="257" t="s">
        <v>1145</v>
      </c>
      <c r="FN82" s="258" t="s">
        <v>389</v>
      </c>
      <c r="FO82" s="258"/>
      <c r="FP82" s="258" t="s">
        <v>423</v>
      </c>
      <c r="FQ82" s="259">
        <f t="shared" si="5"/>
        <v>0</v>
      </c>
      <c r="FR82" s="260" t="s">
        <v>424</v>
      </c>
      <c r="FS82" s="260"/>
    </row>
    <row r="83" spans="1:175">
      <c r="A83" s="251" t="s">
        <v>393</v>
      </c>
      <c r="B83" s="251" t="s">
        <v>385</v>
      </c>
      <c r="C83" s="251" t="s">
        <v>411</v>
      </c>
      <c r="D83" s="251" t="s">
        <v>1</v>
      </c>
      <c r="E83" s="252" t="s">
        <v>441</v>
      </c>
      <c r="F83" s="251" t="s">
        <v>388</v>
      </c>
      <c r="G83" s="251"/>
      <c r="H83" s="253"/>
      <c r="I83" s="253"/>
      <c r="J83" s="253"/>
      <c r="K83" s="253"/>
      <c r="L83" s="253"/>
      <c r="M83" s="253"/>
      <c r="N83" s="255">
        <f>50-50</f>
        <v>0</v>
      </c>
      <c r="O83" s="255">
        <f>50-50</f>
        <v>0</v>
      </c>
      <c r="P83" s="255">
        <f>50-50</f>
        <v>0</v>
      </c>
      <c r="Q83" s="253"/>
      <c r="R83" s="253"/>
      <c r="S83" s="255">
        <f>20-20</f>
        <v>0</v>
      </c>
      <c r="T83" s="253"/>
      <c r="U83" s="255">
        <f>100-100</f>
        <v>0</v>
      </c>
      <c r="V83" s="255">
        <f>100-100</f>
        <v>0</v>
      </c>
      <c r="W83" s="253"/>
      <c r="X83" s="255">
        <f>100-100</f>
        <v>0</v>
      </c>
      <c r="Y83" s="255">
        <f>100-100</f>
        <v>0</v>
      </c>
      <c r="Z83" s="255">
        <f>200-200</f>
        <v>0</v>
      </c>
      <c r="AA83" s="255">
        <f>200-200</f>
        <v>0</v>
      </c>
      <c r="AB83" s="255">
        <f>100-100</f>
        <v>0</v>
      </c>
      <c r="AC83" s="255">
        <f>100-100</f>
        <v>0</v>
      </c>
      <c r="AD83" s="253"/>
      <c r="AE83" s="255">
        <f>100-100</f>
        <v>0</v>
      </c>
      <c r="AF83" s="253"/>
      <c r="AG83" s="253"/>
      <c r="AH83" s="255">
        <f>100-100</f>
        <v>0</v>
      </c>
      <c r="AI83" s="253"/>
      <c r="AJ83" s="253"/>
      <c r="AK83" s="253"/>
      <c r="AL83" s="253"/>
      <c r="AM83" s="253"/>
      <c r="AN83" s="253"/>
      <c r="AO83" s="253"/>
      <c r="AP83" s="253"/>
      <c r="AQ83" s="253"/>
      <c r="AR83" s="253"/>
      <c r="AS83" s="253"/>
      <c r="AT83" s="255">
        <f>500-500</f>
        <v>0</v>
      </c>
      <c r="AU83" s="253"/>
      <c r="AV83" s="253"/>
      <c r="AW83" s="253"/>
      <c r="AX83" s="253"/>
      <c r="AY83" s="255">
        <f>200-200</f>
        <v>0</v>
      </c>
      <c r="AZ83" s="253"/>
      <c r="BA83" s="253"/>
      <c r="BB83" s="253"/>
      <c r="BC83" s="253"/>
      <c r="BD83" s="253"/>
      <c r="BE83" s="253"/>
      <c r="BF83" s="253"/>
      <c r="BG83" s="253"/>
      <c r="BH83" s="253"/>
      <c r="BI83" s="253"/>
      <c r="BJ83" s="253"/>
      <c r="BK83" s="255">
        <f>300-300</f>
        <v>0</v>
      </c>
      <c r="BL83" s="255">
        <f>300-300</f>
        <v>0</v>
      </c>
      <c r="BM83" s="255">
        <f>300-300</f>
        <v>0</v>
      </c>
      <c r="BN83" s="255">
        <f>300-300</f>
        <v>0</v>
      </c>
      <c r="BO83" s="253"/>
      <c r="BP83" s="255">
        <f>300-300</f>
        <v>0</v>
      </c>
      <c r="BQ83" s="255">
        <f>300-300</f>
        <v>0</v>
      </c>
      <c r="BR83" s="255">
        <f>300-300</f>
        <v>0</v>
      </c>
      <c r="BS83" s="253"/>
      <c r="BT83" s="255">
        <f>300-300</f>
        <v>0</v>
      </c>
      <c r="BU83" s="255">
        <f>300-300</f>
        <v>0</v>
      </c>
      <c r="BV83" s="253"/>
      <c r="BW83" s="255">
        <f>300-300</f>
        <v>0</v>
      </c>
      <c r="BX83" s="253"/>
      <c r="BY83" s="255">
        <f>200-200</f>
        <v>0</v>
      </c>
      <c r="BZ83" s="255">
        <f>200-200</f>
        <v>0</v>
      </c>
      <c r="CA83" s="255">
        <f>200-200</f>
        <v>0</v>
      </c>
      <c r="CB83" s="255">
        <f>300-300</f>
        <v>0</v>
      </c>
      <c r="CC83" s="255">
        <f>200-200</f>
        <v>0</v>
      </c>
      <c r="CD83" s="255">
        <f>100-100</f>
        <v>0</v>
      </c>
      <c r="CE83" s="253"/>
      <c r="CF83" s="253"/>
      <c r="CG83" s="253"/>
      <c r="CH83" s="255">
        <f>50-50</f>
        <v>0</v>
      </c>
      <c r="CI83" s="255">
        <f>100-100</f>
        <v>0</v>
      </c>
      <c r="CJ83" s="255">
        <f>100-100</f>
        <v>0</v>
      </c>
      <c r="CK83" s="255">
        <f>200-200</f>
        <v>0</v>
      </c>
      <c r="CL83" s="253"/>
      <c r="CM83" s="253"/>
      <c r="CN83" s="253"/>
      <c r="CO83" s="253"/>
      <c r="CP83" s="253"/>
      <c r="CQ83" s="253"/>
      <c r="CR83" s="253"/>
      <c r="CS83" s="253"/>
      <c r="CT83" s="255">
        <f>100-100</f>
        <v>0</v>
      </c>
      <c r="CU83" s="253"/>
      <c r="CV83" s="253"/>
      <c r="CW83" s="255">
        <f>50-50</f>
        <v>0</v>
      </c>
      <c r="CX83" s="253"/>
      <c r="CY83" s="253"/>
      <c r="CZ83" s="253"/>
      <c r="DA83" s="255">
        <f>20-20</f>
        <v>0</v>
      </c>
      <c r="DB83" s="255">
        <f>20-20</f>
        <v>0</v>
      </c>
      <c r="DC83" s="255">
        <f>20-20</f>
        <v>0</v>
      </c>
      <c r="DD83" s="253"/>
      <c r="DE83" s="253"/>
      <c r="DF83" s="253"/>
      <c r="DG83" s="253"/>
      <c r="DH83" s="253"/>
      <c r="DI83" s="253"/>
      <c r="DJ83" s="253"/>
      <c r="DK83" s="255">
        <f>10-10</f>
        <v>0</v>
      </c>
      <c r="DL83" s="253"/>
      <c r="DM83" s="253"/>
      <c r="DN83" s="253"/>
      <c r="DO83" s="253"/>
      <c r="DP83" s="253"/>
      <c r="DQ83" s="253"/>
      <c r="DR83" s="253"/>
      <c r="DS83" s="253"/>
      <c r="DT83" s="253"/>
      <c r="DU83" s="253"/>
      <c r="DV83" s="253"/>
      <c r="DW83" s="253"/>
      <c r="DX83" s="253"/>
      <c r="DY83" s="253"/>
      <c r="DZ83" s="253"/>
      <c r="EA83" s="253"/>
      <c r="EB83" s="253"/>
      <c r="EC83" s="255">
        <f>50-50</f>
        <v>0</v>
      </c>
      <c r="ED83" s="255">
        <f>50-50</f>
        <v>0</v>
      </c>
      <c r="EE83" s="253"/>
      <c r="EF83" s="253"/>
      <c r="EG83" s="255">
        <f>100-100</f>
        <v>0</v>
      </c>
      <c r="EH83" s="255">
        <f>50-50</f>
        <v>0</v>
      </c>
      <c r="EI83" s="253"/>
      <c r="EJ83" s="253"/>
      <c r="EK83" s="253"/>
      <c r="EL83" s="255">
        <f>50-50</f>
        <v>0</v>
      </c>
      <c r="EM83" s="255">
        <f>50-50</f>
        <v>0</v>
      </c>
      <c r="EN83" s="255">
        <f>50-50</f>
        <v>0</v>
      </c>
      <c r="EO83" s="255">
        <f>50-50</f>
        <v>0</v>
      </c>
      <c r="EP83" s="255">
        <f>50-50</f>
        <v>0</v>
      </c>
      <c r="EQ83" s="253"/>
      <c r="ER83" s="253"/>
      <c r="ES83" s="253"/>
      <c r="ET83" s="255">
        <f>50-50</f>
        <v>0</v>
      </c>
      <c r="EU83" s="255">
        <f>30-30</f>
        <v>0</v>
      </c>
      <c r="EV83" s="253"/>
      <c r="EW83" s="255">
        <f>30-30</f>
        <v>0</v>
      </c>
      <c r="EX83" s="255">
        <f>30-30</f>
        <v>0</v>
      </c>
      <c r="EY83" s="255">
        <f>30-30</f>
        <v>0</v>
      </c>
      <c r="EZ83" s="253"/>
      <c r="FA83" s="255">
        <f>30-30</f>
        <v>0</v>
      </c>
      <c r="FB83" s="255">
        <f>20-20</f>
        <v>0</v>
      </c>
      <c r="FC83" s="253"/>
      <c r="FD83" s="253"/>
      <c r="FE83" s="255">
        <f>20-20</f>
        <v>0</v>
      </c>
      <c r="FF83" s="253"/>
      <c r="FG83" s="253"/>
      <c r="FH83" s="253"/>
      <c r="FI83" s="253"/>
      <c r="FJ83" s="253"/>
      <c r="FK83" s="253"/>
      <c r="FL83" s="256"/>
      <c r="FM83" s="257" t="s">
        <v>1145</v>
      </c>
      <c r="FN83" s="258" t="s">
        <v>389</v>
      </c>
      <c r="FO83" s="258"/>
      <c r="FP83" s="258" t="s">
        <v>423</v>
      </c>
      <c r="FQ83" s="259">
        <f t="shared" si="5"/>
        <v>0</v>
      </c>
      <c r="FR83" s="260" t="s">
        <v>424</v>
      </c>
      <c r="FS83" s="260"/>
    </row>
    <row r="84" spans="1:175">
      <c r="A84" s="251" t="s">
        <v>393</v>
      </c>
      <c r="B84" s="251" t="s">
        <v>385</v>
      </c>
      <c r="C84" s="251" t="s">
        <v>411</v>
      </c>
      <c r="D84" s="251" t="s">
        <v>293</v>
      </c>
      <c r="E84" s="252" t="s">
        <v>441</v>
      </c>
      <c r="F84" s="251" t="s">
        <v>388</v>
      </c>
      <c r="G84" s="251"/>
      <c r="H84" s="253"/>
      <c r="I84" s="253"/>
      <c r="J84" s="253"/>
      <c r="K84" s="253"/>
      <c r="L84" s="253"/>
      <c r="M84" s="253"/>
      <c r="N84" s="253"/>
      <c r="O84" s="253"/>
      <c r="P84" s="253"/>
      <c r="Q84" s="253"/>
      <c r="R84" s="253"/>
      <c r="S84" s="253"/>
      <c r="T84" s="253"/>
      <c r="U84" s="253"/>
      <c r="V84" s="253"/>
      <c r="W84" s="253"/>
      <c r="X84" s="253"/>
      <c r="Y84" s="253"/>
      <c r="Z84" s="253"/>
      <c r="AA84" s="253"/>
      <c r="AB84" s="253"/>
      <c r="AC84" s="253"/>
      <c r="AD84" s="253"/>
      <c r="AE84" s="253"/>
      <c r="AF84" s="253"/>
      <c r="AG84" s="253"/>
      <c r="AH84" s="253"/>
      <c r="AI84" s="253"/>
      <c r="AJ84" s="253"/>
      <c r="AK84" s="253"/>
      <c r="AL84" s="253"/>
      <c r="AM84" s="253"/>
      <c r="AN84" s="253"/>
      <c r="AO84" s="253"/>
      <c r="AP84" s="253"/>
      <c r="AQ84" s="253"/>
      <c r="AR84" s="253"/>
      <c r="AS84" s="253"/>
      <c r="AT84" s="253"/>
      <c r="AU84" s="253"/>
      <c r="AV84" s="253"/>
      <c r="AW84" s="253"/>
      <c r="AX84" s="253"/>
      <c r="AY84" s="253"/>
      <c r="AZ84" s="253"/>
      <c r="BA84" s="253"/>
      <c r="BB84" s="253"/>
      <c r="BC84" s="253"/>
      <c r="BD84" s="253"/>
      <c r="BE84" s="253"/>
      <c r="BF84" s="253"/>
      <c r="BG84" s="253"/>
      <c r="BH84" s="253"/>
      <c r="BI84" s="253"/>
      <c r="BJ84" s="253"/>
      <c r="BK84" s="253"/>
      <c r="BL84" s="253"/>
      <c r="BM84" s="253"/>
      <c r="BN84" s="253"/>
      <c r="BO84" s="253"/>
      <c r="BP84" s="253"/>
      <c r="BQ84" s="253"/>
      <c r="BR84" s="253"/>
      <c r="BS84" s="253"/>
      <c r="BT84" s="253"/>
      <c r="BU84" s="253"/>
      <c r="BV84" s="253"/>
      <c r="BW84" s="253"/>
      <c r="BX84" s="253"/>
      <c r="BY84" s="253"/>
      <c r="BZ84" s="253"/>
      <c r="CA84" s="253"/>
      <c r="CB84" s="253"/>
      <c r="CC84" s="253"/>
      <c r="CD84" s="253"/>
      <c r="CE84" s="253"/>
      <c r="CF84" s="253"/>
      <c r="CG84" s="253"/>
      <c r="CH84" s="253"/>
      <c r="CI84" s="253"/>
      <c r="CJ84" s="253"/>
      <c r="CK84" s="253"/>
      <c r="CL84" s="253"/>
      <c r="CM84" s="253"/>
      <c r="CN84" s="253"/>
      <c r="CO84" s="253"/>
      <c r="CP84" s="253"/>
      <c r="CQ84" s="253"/>
      <c r="CR84" s="253"/>
      <c r="CS84" s="253"/>
      <c r="CT84" s="253"/>
      <c r="CU84" s="253"/>
      <c r="CV84" s="253"/>
      <c r="CW84" s="253"/>
      <c r="CX84" s="253"/>
      <c r="CY84" s="253"/>
      <c r="CZ84" s="253"/>
      <c r="DA84" s="253"/>
      <c r="DB84" s="253"/>
      <c r="DC84" s="253"/>
      <c r="DD84" s="253"/>
      <c r="DE84" s="253"/>
      <c r="DF84" s="253"/>
      <c r="DG84" s="253"/>
      <c r="DH84" s="253"/>
      <c r="DI84" s="253"/>
      <c r="DJ84" s="253"/>
      <c r="DK84" s="253"/>
      <c r="DL84" s="253"/>
      <c r="DM84" s="253"/>
      <c r="DN84" s="253"/>
      <c r="DO84" s="253"/>
      <c r="DP84" s="253"/>
      <c r="DQ84" s="253"/>
      <c r="DR84" s="253"/>
      <c r="DS84" s="253"/>
      <c r="DT84" s="253"/>
      <c r="DU84" s="253"/>
      <c r="DV84" s="253"/>
      <c r="DW84" s="253"/>
      <c r="DX84" s="253"/>
      <c r="DY84" s="253"/>
      <c r="DZ84" s="253"/>
      <c r="EA84" s="253"/>
      <c r="EB84" s="253"/>
      <c r="EC84" s="253"/>
      <c r="ED84" s="253"/>
      <c r="EE84" s="253"/>
      <c r="EF84" s="253"/>
      <c r="EG84" s="253"/>
      <c r="EH84" s="253"/>
      <c r="EI84" s="253"/>
      <c r="EJ84" s="253"/>
      <c r="EK84" s="253"/>
      <c r="EL84" s="253"/>
      <c r="EM84" s="253"/>
      <c r="EN84" s="253"/>
      <c r="EO84" s="253"/>
      <c r="EP84" s="253"/>
      <c r="EQ84" s="253"/>
      <c r="ER84" s="253"/>
      <c r="ES84" s="253"/>
      <c r="ET84" s="253"/>
      <c r="EU84" s="253"/>
      <c r="EV84" s="255">
        <f>30-30</f>
        <v>0</v>
      </c>
      <c r="EW84" s="253"/>
      <c r="EX84" s="253"/>
      <c r="EY84" s="253"/>
      <c r="EZ84" s="255">
        <f>30-30</f>
        <v>0</v>
      </c>
      <c r="FA84" s="253"/>
      <c r="FB84" s="253"/>
      <c r="FC84" s="253"/>
      <c r="FD84" s="255">
        <f>20-20</f>
        <v>0</v>
      </c>
      <c r="FE84" s="253"/>
      <c r="FF84" s="253"/>
      <c r="FG84" s="253"/>
      <c r="FH84" s="253"/>
      <c r="FI84" s="253"/>
      <c r="FJ84" s="253"/>
      <c r="FK84" s="253"/>
      <c r="FL84" s="256"/>
      <c r="FM84" s="257" t="s">
        <v>1145</v>
      </c>
      <c r="FN84" s="258" t="s">
        <v>389</v>
      </c>
      <c r="FO84" s="258"/>
      <c r="FP84" s="258" t="s">
        <v>423</v>
      </c>
      <c r="FQ84" s="259">
        <f t="shared" si="5"/>
        <v>0</v>
      </c>
      <c r="FR84" s="260" t="s">
        <v>424</v>
      </c>
      <c r="FS84" s="260"/>
    </row>
    <row r="85" spans="1:175">
      <c r="A85" s="251" t="s">
        <v>417</v>
      </c>
      <c r="B85" s="251" t="s">
        <v>385</v>
      </c>
      <c r="C85" s="251" t="s">
        <v>411</v>
      </c>
      <c r="D85" s="251" t="s">
        <v>291</v>
      </c>
      <c r="E85" s="252" t="s">
        <v>856</v>
      </c>
      <c r="F85" s="251" t="s">
        <v>388</v>
      </c>
      <c r="G85" s="251" t="s">
        <v>1172</v>
      </c>
      <c r="H85" s="253"/>
      <c r="I85" s="253"/>
      <c r="J85" s="253"/>
      <c r="K85" s="253"/>
      <c r="L85" s="253"/>
      <c r="M85" s="253"/>
      <c r="N85" s="253"/>
      <c r="O85" s="253"/>
      <c r="P85" s="253"/>
      <c r="Q85" s="253"/>
      <c r="R85" s="253"/>
      <c r="S85" s="253"/>
      <c r="T85" s="253"/>
      <c r="U85" s="253"/>
      <c r="V85" s="253"/>
      <c r="W85" s="253"/>
      <c r="X85" s="253"/>
      <c r="Y85" s="253"/>
      <c r="Z85" s="253"/>
      <c r="AA85" s="253"/>
      <c r="AB85" s="253"/>
      <c r="AC85" s="253"/>
      <c r="AD85" s="255">
        <f>100-100</f>
        <v>0</v>
      </c>
      <c r="AE85" s="253"/>
      <c r="AF85" s="253"/>
      <c r="AG85" s="253"/>
      <c r="AH85" s="253"/>
      <c r="AI85" s="253"/>
      <c r="AJ85" s="253"/>
      <c r="AK85" s="253"/>
      <c r="AL85" s="253"/>
      <c r="AM85" s="253"/>
      <c r="AN85" s="253"/>
      <c r="AO85" s="253"/>
      <c r="AP85" s="253"/>
      <c r="AQ85" s="253"/>
      <c r="AR85" s="253"/>
      <c r="AS85" s="253"/>
      <c r="AT85" s="253"/>
      <c r="AU85" s="253"/>
      <c r="AV85" s="253"/>
      <c r="AW85" s="253"/>
      <c r="AX85" s="253"/>
      <c r="AY85" s="253"/>
      <c r="AZ85" s="253"/>
      <c r="BA85" s="253"/>
      <c r="BB85" s="253"/>
      <c r="BC85" s="253"/>
      <c r="BD85" s="253"/>
      <c r="BE85" s="253"/>
      <c r="BF85" s="253"/>
      <c r="BG85" s="253"/>
      <c r="BH85" s="253"/>
      <c r="BI85" s="253"/>
      <c r="BJ85" s="253"/>
      <c r="BK85" s="253"/>
      <c r="BL85" s="253"/>
      <c r="BM85" s="253"/>
      <c r="BN85" s="253"/>
      <c r="BO85" s="253"/>
      <c r="BP85" s="253"/>
      <c r="BQ85" s="253"/>
      <c r="BR85" s="253"/>
      <c r="BS85" s="253"/>
      <c r="BT85" s="253"/>
      <c r="BU85" s="253"/>
      <c r="BV85" s="253"/>
      <c r="BW85" s="253"/>
      <c r="BX85" s="253"/>
      <c r="BY85" s="253"/>
      <c r="BZ85" s="253"/>
      <c r="CA85" s="253"/>
      <c r="CB85" s="253"/>
      <c r="CC85" s="253"/>
      <c r="CD85" s="253"/>
      <c r="CE85" s="253"/>
      <c r="CF85" s="253"/>
      <c r="CG85" s="253"/>
      <c r="CH85" s="253"/>
      <c r="CI85" s="253"/>
      <c r="CJ85" s="253"/>
      <c r="CK85" s="253"/>
      <c r="CL85" s="253"/>
      <c r="CM85" s="253"/>
      <c r="CN85" s="253"/>
      <c r="CO85" s="253"/>
      <c r="CP85" s="253"/>
      <c r="CQ85" s="253"/>
      <c r="CR85" s="253"/>
      <c r="CS85" s="253"/>
      <c r="CT85" s="253"/>
      <c r="CU85" s="253"/>
      <c r="CV85" s="253"/>
      <c r="CW85" s="253"/>
      <c r="CX85" s="253"/>
      <c r="CY85" s="253"/>
      <c r="CZ85" s="253"/>
      <c r="DA85" s="253"/>
      <c r="DB85" s="253"/>
      <c r="DC85" s="253"/>
      <c r="DD85" s="253"/>
      <c r="DE85" s="253"/>
      <c r="DF85" s="253"/>
      <c r="DG85" s="253"/>
      <c r="DH85" s="253"/>
      <c r="DI85" s="253"/>
      <c r="DJ85" s="253"/>
      <c r="DK85" s="253"/>
      <c r="DL85" s="253"/>
      <c r="DM85" s="253"/>
      <c r="DN85" s="253"/>
      <c r="DO85" s="253"/>
      <c r="DP85" s="253"/>
      <c r="DQ85" s="253"/>
      <c r="DR85" s="253"/>
      <c r="DS85" s="253"/>
      <c r="DT85" s="253"/>
      <c r="DU85" s="253"/>
      <c r="DV85" s="253"/>
      <c r="DW85" s="253"/>
      <c r="DX85" s="253"/>
      <c r="DY85" s="253"/>
      <c r="DZ85" s="253"/>
      <c r="EA85" s="253"/>
      <c r="EB85" s="253"/>
      <c r="EC85" s="253"/>
      <c r="ED85" s="253"/>
      <c r="EE85" s="253"/>
      <c r="EF85" s="253"/>
      <c r="EG85" s="253"/>
      <c r="EH85" s="253"/>
      <c r="EI85" s="253"/>
      <c r="EJ85" s="253"/>
      <c r="EK85" s="253"/>
      <c r="EL85" s="253"/>
      <c r="EM85" s="253"/>
      <c r="EN85" s="253"/>
      <c r="EO85" s="253"/>
      <c r="EP85" s="253"/>
      <c r="EQ85" s="253"/>
      <c r="ER85" s="253"/>
      <c r="ES85" s="253"/>
      <c r="ET85" s="253"/>
      <c r="EU85" s="253"/>
      <c r="EV85" s="253"/>
      <c r="EW85" s="253"/>
      <c r="EX85" s="253"/>
      <c r="EY85" s="253"/>
      <c r="EZ85" s="253"/>
      <c r="FA85" s="253"/>
      <c r="FB85" s="253"/>
      <c r="FC85" s="253"/>
      <c r="FD85" s="253"/>
      <c r="FE85" s="253"/>
      <c r="FF85" s="253"/>
      <c r="FG85" s="253"/>
      <c r="FH85" s="253"/>
      <c r="FI85" s="253"/>
      <c r="FJ85" s="253"/>
      <c r="FK85" s="253"/>
      <c r="FL85" s="256"/>
      <c r="FM85" s="257" t="s">
        <v>1145</v>
      </c>
      <c r="FN85" s="258" t="s">
        <v>389</v>
      </c>
      <c r="FO85" s="258" t="s">
        <v>858</v>
      </c>
      <c r="FP85" s="258" t="s">
        <v>420</v>
      </c>
      <c r="FQ85" s="259">
        <f t="shared" si="5"/>
        <v>0</v>
      </c>
      <c r="FR85" s="260" t="s">
        <v>433</v>
      </c>
      <c r="FS85" s="260"/>
    </row>
    <row r="86" spans="1:175">
      <c r="A86" s="251" t="s">
        <v>417</v>
      </c>
      <c r="B86" s="251" t="s">
        <v>385</v>
      </c>
      <c r="C86" s="251" t="s">
        <v>411</v>
      </c>
      <c r="D86" s="251" t="s">
        <v>1</v>
      </c>
      <c r="E86" s="252" t="s">
        <v>856</v>
      </c>
      <c r="F86" s="251" t="s">
        <v>388</v>
      </c>
      <c r="G86" s="251" t="s">
        <v>1172</v>
      </c>
      <c r="H86" s="253"/>
      <c r="I86" s="253"/>
      <c r="J86" s="253"/>
      <c r="K86" s="253"/>
      <c r="L86" s="254">
        <f>200-200+100</f>
        <v>100</v>
      </c>
      <c r="M86" s="253"/>
      <c r="N86" s="253"/>
      <c r="O86" s="253"/>
      <c r="P86" s="253"/>
      <c r="Q86" s="253"/>
      <c r="R86" s="253"/>
      <c r="S86" s="253"/>
      <c r="T86" s="253"/>
      <c r="U86" s="255">
        <f>100-100</f>
        <v>0</v>
      </c>
      <c r="V86" s="253"/>
      <c r="W86" s="253"/>
      <c r="X86" s="253"/>
      <c r="Y86" s="253"/>
      <c r="Z86" s="253"/>
      <c r="AA86" s="253"/>
      <c r="AB86" s="253"/>
      <c r="AC86" s="253"/>
      <c r="AD86" s="253"/>
      <c r="AE86" s="253"/>
      <c r="AF86" s="253"/>
      <c r="AG86" s="253"/>
      <c r="AH86" s="253"/>
      <c r="AI86" s="253"/>
      <c r="AJ86" s="253"/>
      <c r="AK86" s="253"/>
      <c r="AL86" s="253"/>
      <c r="AM86" s="253"/>
      <c r="AN86" s="253"/>
      <c r="AO86" s="253"/>
      <c r="AP86" s="253"/>
      <c r="AQ86" s="253"/>
      <c r="AR86" s="253"/>
      <c r="AS86" s="253"/>
      <c r="AT86" s="255">
        <f>100-100</f>
        <v>0</v>
      </c>
      <c r="AU86" s="253"/>
      <c r="AV86" s="253"/>
      <c r="AW86" s="253"/>
      <c r="AX86" s="253"/>
      <c r="AY86" s="253"/>
      <c r="AZ86" s="253"/>
      <c r="BA86" s="253"/>
      <c r="BB86" s="253"/>
      <c r="BC86" s="253"/>
      <c r="BD86" s="253"/>
      <c r="BE86" s="253"/>
      <c r="BF86" s="253"/>
      <c r="BG86" s="253"/>
      <c r="BH86" s="253"/>
      <c r="BI86" s="253"/>
      <c r="BJ86" s="253"/>
      <c r="BK86" s="253"/>
      <c r="BL86" s="253"/>
      <c r="BM86" s="253"/>
      <c r="BN86" s="253"/>
      <c r="BO86" s="253"/>
      <c r="BP86" s="253"/>
      <c r="BQ86" s="253"/>
      <c r="BR86" s="253"/>
      <c r="BS86" s="253"/>
      <c r="BT86" s="253"/>
      <c r="BU86" s="253"/>
      <c r="BV86" s="253"/>
      <c r="BW86" s="253"/>
      <c r="BX86" s="253"/>
      <c r="BY86" s="253"/>
      <c r="BZ86" s="253"/>
      <c r="CA86" s="253"/>
      <c r="CB86" s="253"/>
      <c r="CC86" s="253"/>
      <c r="CD86" s="253"/>
      <c r="CE86" s="253"/>
      <c r="CF86" s="253"/>
      <c r="CG86" s="253"/>
      <c r="CH86" s="253"/>
      <c r="CI86" s="253"/>
      <c r="CJ86" s="253"/>
      <c r="CK86" s="253"/>
      <c r="CL86" s="253"/>
      <c r="CM86" s="253"/>
      <c r="CN86" s="253"/>
      <c r="CO86" s="253"/>
      <c r="CP86" s="253"/>
      <c r="CQ86" s="253"/>
      <c r="CR86" s="253"/>
      <c r="CS86" s="253"/>
      <c r="CT86" s="253"/>
      <c r="CU86" s="253"/>
      <c r="CV86" s="253"/>
      <c r="CW86" s="253"/>
      <c r="CX86" s="253"/>
      <c r="CY86" s="253"/>
      <c r="CZ86" s="253"/>
      <c r="DA86" s="253"/>
      <c r="DB86" s="253"/>
      <c r="DC86" s="253"/>
      <c r="DD86" s="253"/>
      <c r="DE86" s="253"/>
      <c r="DF86" s="253"/>
      <c r="DG86" s="253"/>
      <c r="DH86" s="253"/>
      <c r="DI86" s="253"/>
      <c r="DJ86" s="253"/>
      <c r="DK86" s="253"/>
      <c r="DL86" s="253"/>
      <c r="DM86" s="253"/>
      <c r="DN86" s="253"/>
      <c r="DO86" s="253"/>
      <c r="DP86" s="253"/>
      <c r="DQ86" s="253"/>
      <c r="DR86" s="253"/>
      <c r="DS86" s="253"/>
      <c r="DT86" s="253"/>
      <c r="DU86" s="253"/>
      <c r="DV86" s="253"/>
      <c r="DW86" s="253"/>
      <c r="DX86" s="253"/>
      <c r="DY86" s="253"/>
      <c r="DZ86" s="253"/>
      <c r="EA86" s="253"/>
      <c r="EB86" s="253"/>
      <c r="EC86" s="253"/>
      <c r="ED86" s="253"/>
      <c r="EE86" s="253"/>
      <c r="EF86" s="253"/>
      <c r="EG86" s="253"/>
      <c r="EH86" s="253"/>
      <c r="EI86" s="253"/>
      <c r="EJ86" s="253"/>
      <c r="EK86" s="253"/>
      <c r="EL86" s="253"/>
      <c r="EM86" s="253"/>
      <c r="EN86" s="253"/>
      <c r="EO86" s="253"/>
      <c r="EP86" s="253"/>
      <c r="EQ86" s="253"/>
      <c r="ER86" s="253"/>
      <c r="ES86" s="253"/>
      <c r="ET86" s="253"/>
      <c r="EU86" s="253"/>
      <c r="EV86" s="253"/>
      <c r="EW86" s="253"/>
      <c r="EX86" s="253"/>
      <c r="EY86" s="253"/>
      <c r="EZ86" s="253"/>
      <c r="FA86" s="253"/>
      <c r="FB86" s="253"/>
      <c r="FC86" s="253"/>
      <c r="FD86" s="253"/>
      <c r="FE86" s="253"/>
      <c r="FF86" s="253"/>
      <c r="FG86" s="253"/>
      <c r="FH86" s="253"/>
      <c r="FI86" s="253"/>
      <c r="FJ86" s="253"/>
      <c r="FK86" s="253"/>
      <c r="FL86" s="256"/>
      <c r="FM86" s="257" t="s">
        <v>1145</v>
      </c>
      <c r="FN86" s="258" t="s">
        <v>389</v>
      </c>
      <c r="FO86" s="258" t="s">
        <v>858</v>
      </c>
      <c r="FP86" s="258" t="s">
        <v>420</v>
      </c>
      <c r="FQ86" s="259">
        <f t="shared" si="5"/>
        <v>100</v>
      </c>
      <c r="FR86" s="260" t="s">
        <v>433</v>
      </c>
      <c r="FS86" s="260"/>
    </row>
    <row r="87" spans="1:175">
      <c r="A87" s="251" t="s">
        <v>393</v>
      </c>
      <c r="B87" s="251" t="s">
        <v>385</v>
      </c>
      <c r="C87" s="251" t="s">
        <v>411</v>
      </c>
      <c r="D87" s="251" t="s">
        <v>291</v>
      </c>
      <c r="E87" s="252" t="s">
        <v>859</v>
      </c>
      <c r="F87" s="251" t="s">
        <v>388</v>
      </c>
      <c r="G87" s="251"/>
      <c r="H87" s="253"/>
      <c r="I87" s="253"/>
      <c r="J87" s="253"/>
      <c r="K87" s="253"/>
      <c r="L87" s="253"/>
      <c r="M87" s="253"/>
      <c r="N87" s="253"/>
      <c r="O87" s="253"/>
      <c r="P87" s="253"/>
      <c r="Q87" s="253"/>
      <c r="R87" s="253"/>
      <c r="S87" s="253"/>
      <c r="T87" s="253"/>
      <c r="U87" s="253"/>
      <c r="V87" s="253"/>
      <c r="W87" s="253"/>
      <c r="X87" s="253"/>
      <c r="Y87" s="253"/>
      <c r="Z87" s="253"/>
      <c r="AA87" s="253"/>
      <c r="AB87" s="253"/>
      <c r="AC87" s="253"/>
      <c r="AD87" s="253"/>
      <c r="AE87" s="253"/>
      <c r="AF87" s="255">
        <f>100-100</f>
        <v>0</v>
      </c>
      <c r="AG87" s="255">
        <f>100-100</f>
        <v>0</v>
      </c>
      <c r="AH87" s="253"/>
      <c r="AI87" s="253"/>
      <c r="AJ87" s="253"/>
      <c r="AK87" s="253"/>
      <c r="AL87" s="253"/>
      <c r="AM87" s="253"/>
      <c r="AN87" s="253"/>
      <c r="AO87" s="253"/>
      <c r="AP87" s="255">
        <f>100-100</f>
        <v>0</v>
      </c>
      <c r="AQ87" s="255">
        <f>50-50</f>
        <v>0</v>
      </c>
      <c r="AR87" s="253"/>
      <c r="AS87" s="253"/>
      <c r="AT87" s="253"/>
      <c r="AU87" s="253"/>
      <c r="AV87" s="253"/>
      <c r="AW87" s="253"/>
      <c r="AX87" s="253"/>
      <c r="AY87" s="253"/>
      <c r="AZ87" s="253"/>
      <c r="BA87" s="253"/>
      <c r="BB87" s="253"/>
      <c r="BC87" s="253"/>
      <c r="BD87" s="253"/>
      <c r="BE87" s="253"/>
      <c r="BF87" s="253"/>
      <c r="BG87" s="253"/>
      <c r="BH87" s="253"/>
      <c r="BI87" s="253"/>
      <c r="BJ87" s="253"/>
      <c r="BK87" s="253"/>
      <c r="BL87" s="253"/>
      <c r="BM87" s="253"/>
      <c r="BN87" s="253"/>
      <c r="BO87" s="253"/>
      <c r="BP87" s="253"/>
      <c r="BQ87" s="253"/>
      <c r="BR87" s="253"/>
      <c r="BS87" s="253"/>
      <c r="BT87" s="253"/>
      <c r="BU87" s="253"/>
      <c r="BV87" s="253"/>
      <c r="BW87" s="253"/>
      <c r="BX87" s="253"/>
      <c r="BY87" s="253"/>
      <c r="BZ87" s="253"/>
      <c r="CA87" s="253"/>
      <c r="CB87" s="253"/>
      <c r="CC87" s="253"/>
      <c r="CD87" s="253"/>
      <c r="CE87" s="253"/>
      <c r="CF87" s="253"/>
      <c r="CG87" s="253"/>
      <c r="CH87" s="253"/>
      <c r="CI87" s="253"/>
      <c r="CJ87" s="253"/>
      <c r="CK87" s="253"/>
      <c r="CL87" s="253"/>
      <c r="CM87" s="253"/>
      <c r="CN87" s="253"/>
      <c r="CO87" s="253"/>
      <c r="CP87" s="253"/>
      <c r="CQ87" s="253"/>
      <c r="CR87" s="253"/>
      <c r="CS87" s="253"/>
      <c r="CT87" s="253"/>
      <c r="CU87" s="253"/>
      <c r="CV87" s="253"/>
      <c r="CW87" s="253"/>
      <c r="CX87" s="253"/>
      <c r="CY87" s="253"/>
      <c r="CZ87" s="253"/>
      <c r="DA87" s="253"/>
      <c r="DB87" s="253"/>
      <c r="DC87" s="253"/>
      <c r="DD87" s="253"/>
      <c r="DE87" s="253"/>
      <c r="DF87" s="253"/>
      <c r="DG87" s="253"/>
      <c r="DH87" s="253"/>
      <c r="DI87" s="253"/>
      <c r="DJ87" s="253"/>
      <c r="DK87" s="253"/>
      <c r="DL87" s="253"/>
      <c r="DM87" s="253"/>
      <c r="DN87" s="253"/>
      <c r="DO87" s="253"/>
      <c r="DP87" s="253"/>
      <c r="DQ87" s="253"/>
      <c r="DR87" s="253"/>
      <c r="DS87" s="253"/>
      <c r="DT87" s="253"/>
      <c r="DU87" s="253"/>
      <c r="DV87" s="253"/>
      <c r="DW87" s="253"/>
      <c r="DX87" s="253"/>
      <c r="DY87" s="253"/>
      <c r="DZ87" s="253"/>
      <c r="EA87" s="253"/>
      <c r="EB87" s="253"/>
      <c r="EC87" s="253"/>
      <c r="ED87" s="253"/>
      <c r="EE87" s="253"/>
      <c r="EF87" s="253"/>
      <c r="EG87" s="253"/>
      <c r="EH87" s="253"/>
      <c r="EI87" s="253"/>
      <c r="EJ87" s="253"/>
      <c r="EK87" s="253"/>
      <c r="EL87" s="253"/>
      <c r="EM87" s="253"/>
      <c r="EN87" s="253"/>
      <c r="EO87" s="253"/>
      <c r="EP87" s="253"/>
      <c r="EQ87" s="253"/>
      <c r="ER87" s="253"/>
      <c r="ES87" s="253"/>
      <c r="ET87" s="253"/>
      <c r="EU87" s="253"/>
      <c r="EV87" s="253"/>
      <c r="EW87" s="253"/>
      <c r="EX87" s="253"/>
      <c r="EY87" s="253"/>
      <c r="EZ87" s="253"/>
      <c r="FA87" s="253"/>
      <c r="FB87" s="253"/>
      <c r="FC87" s="253"/>
      <c r="FD87" s="253"/>
      <c r="FE87" s="253"/>
      <c r="FF87" s="253"/>
      <c r="FG87" s="253"/>
      <c r="FH87" s="253"/>
      <c r="FI87" s="253"/>
      <c r="FJ87" s="253"/>
      <c r="FK87" s="253"/>
      <c r="FL87" s="256"/>
      <c r="FM87" s="257" t="s">
        <v>1145</v>
      </c>
      <c r="FN87" s="258" t="s">
        <v>389</v>
      </c>
      <c r="FO87" s="258"/>
      <c r="FP87" s="258" t="s">
        <v>416</v>
      </c>
      <c r="FQ87" s="259">
        <f t="shared" si="5"/>
        <v>0</v>
      </c>
      <c r="FR87" s="260" t="s">
        <v>414</v>
      </c>
      <c r="FS87" s="260"/>
    </row>
    <row r="88" spans="1:175">
      <c r="A88" s="251" t="s">
        <v>393</v>
      </c>
      <c r="B88" s="251" t="s">
        <v>385</v>
      </c>
      <c r="C88" s="251" t="s">
        <v>411</v>
      </c>
      <c r="D88" s="251" t="s">
        <v>1</v>
      </c>
      <c r="E88" s="252" t="s">
        <v>859</v>
      </c>
      <c r="F88" s="251" t="s">
        <v>388</v>
      </c>
      <c r="G88" s="251"/>
      <c r="H88" s="253"/>
      <c r="I88" s="253"/>
      <c r="J88" s="253"/>
      <c r="K88" s="253"/>
      <c r="L88" s="253"/>
      <c r="M88" s="253"/>
      <c r="N88" s="253"/>
      <c r="O88" s="253"/>
      <c r="P88" s="253"/>
      <c r="Q88" s="253"/>
      <c r="R88" s="253"/>
      <c r="S88" s="253"/>
      <c r="T88" s="253"/>
      <c r="U88" s="253"/>
      <c r="V88" s="253"/>
      <c r="W88" s="253"/>
      <c r="X88" s="253"/>
      <c r="Y88" s="253"/>
      <c r="Z88" s="253"/>
      <c r="AA88" s="255">
        <f>100-100</f>
        <v>0</v>
      </c>
      <c r="AB88" s="253"/>
      <c r="AC88" s="253"/>
      <c r="AD88" s="253"/>
      <c r="AE88" s="253"/>
      <c r="AF88" s="253"/>
      <c r="AG88" s="253"/>
      <c r="AH88" s="253"/>
      <c r="AI88" s="253"/>
      <c r="AJ88" s="253"/>
      <c r="AK88" s="253"/>
      <c r="AL88" s="253"/>
      <c r="AM88" s="253"/>
      <c r="AN88" s="253"/>
      <c r="AO88" s="253"/>
      <c r="AP88" s="253"/>
      <c r="AQ88" s="253"/>
      <c r="AR88" s="253"/>
      <c r="AS88" s="253"/>
      <c r="AT88" s="255">
        <f>100-100</f>
        <v>0</v>
      </c>
      <c r="AU88" s="253"/>
      <c r="AV88" s="253"/>
      <c r="AW88" s="253"/>
      <c r="AX88" s="253"/>
      <c r="AY88" s="253"/>
      <c r="AZ88" s="253"/>
      <c r="BA88" s="253"/>
      <c r="BB88" s="253"/>
      <c r="BC88" s="253"/>
      <c r="BD88" s="253"/>
      <c r="BE88" s="253"/>
      <c r="BF88" s="253"/>
      <c r="BG88" s="253"/>
      <c r="BH88" s="253"/>
      <c r="BI88" s="253"/>
      <c r="BJ88" s="253"/>
      <c r="BK88" s="253"/>
      <c r="BL88" s="253"/>
      <c r="BM88" s="253"/>
      <c r="BN88" s="253"/>
      <c r="BO88" s="253"/>
      <c r="BP88" s="253"/>
      <c r="BQ88" s="253"/>
      <c r="BR88" s="253"/>
      <c r="BS88" s="253"/>
      <c r="BT88" s="253"/>
      <c r="BU88" s="253"/>
      <c r="BV88" s="253"/>
      <c r="BW88" s="253"/>
      <c r="BX88" s="253"/>
      <c r="BY88" s="253"/>
      <c r="BZ88" s="253"/>
      <c r="CA88" s="253"/>
      <c r="CB88" s="253"/>
      <c r="CC88" s="253"/>
      <c r="CD88" s="253"/>
      <c r="CE88" s="253"/>
      <c r="CF88" s="253"/>
      <c r="CG88" s="253"/>
      <c r="CH88" s="253"/>
      <c r="CI88" s="253"/>
      <c r="CJ88" s="253"/>
      <c r="CK88" s="253"/>
      <c r="CL88" s="253"/>
      <c r="CM88" s="253"/>
      <c r="CN88" s="253"/>
      <c r="CO88" s="253"/>
      <c r="CP88" s="253"/>
      <c r="CQ88" s="253"/>
      <c r="CR88" s="253"/>
      <c r="CS88" s="253"/>
      <c r="CT88" s="253"/>
      <c r="CU88" s="253"/>
      <c r="CV88" s="253"/>
      <c r="CW88" s="253"/>
      <c r="CX88" s="253"/>
      <c r="CY88" s="253"/>
      <c r="CZ88" s="253"/>
      <c r="DA88" s="253"/>
      <c r="DB88" s="253"/>
      <c r="DC88" s="253"/>
      <c r="DD88" s="253"/>
      <c r="DE88" s="253"/>
      <c r="DF88" s="253"/>
      <c r="DG88" s="253"/>
      <c r="DH88" s="253"/>
      <c r="DI88" s="253"/>
      <c r="DJ88" s="253"/>
      <c r="DK88" s="253"/>
      <c r="DL88" s="253"/>
      <c r="DM88" s="253"/>
      <c r="DN88" s="253"/>
      <c r="DO88" s="253"/>
      <c r="DP88" s="253"/>
      <c r="DQ88" s="253"/>
      <c r="DR88" s="253"/>
      <c r="DS88" s="253"/>
      <c r="DT88" s="253"/>
      <c r="DU88" s="253"/>
      <c r="DV88" s="253"/>
      <c r="DW88" s="253"/>
      <c r="DX88" s="253"/>
      <c r="DY88" s="253"/>
      <c r="DZ88" s="253"/>
      <c r="EA88" s="253"/>
      <c r="EB88" s="253"/>
      <c r="EC88" s="253"/>
      <c r="ED88" s="253"/>
      <c r="EE88" s="253"/>
      <c r="EF88" s="253"/>
      <c r="EG88" s="253"/>
      <c r="EH88" s="253"/>
      <c r="EI88" s="253"/>
      <c r="EJ88" s="253"/>
      <c r="EK88" s="253"/>
      <c r="EL88" s="253"/>
      <c r="EM88" s="253"/>
      <c r="EN88" s="253"/>
      <c r="EO88" s="253"/>
      <c r="EP88" s="253"/>
      <c r="EQ88" s="253"/>
      <c r="ER88" s="253"/>
      <c r="ES88" s="253"/>
      <c r="ET88" s="253"/>
      <c r="EU88" s="253"/>
      <c r="EV88" s="253"/>
      <c r="EW88" s="253"/>
      <c r="EX88" s="253"/>
      <c r="EY88" s="253"/>
      <c r="EZ88" s="253"/>
      <c r="FA88" s="253"/>
      <c r="FB88" s="253"/>
      <c r="FC88" s="253"/>
      <c r="FD88" s="253"/>
      <c r="FE88" s="253"/>
      <c r="FF88" s="253"/>
      <c r="FG88" s="253"/>
      <c r="FH88" s="253"/>
      <c r="FI88" s="253"/>
      <c r="FJ88" s="253"/>
      <c r="FK88" s="253"/>
      <c r="FL88" s="256"/>
      <c r="FM88" s="257" t="s">
        <v>1145</v>
      </c>
      <c r="FN88" s="258" t="s">
        <v>389</v>
      </c>
      <c r="FO88" s="258"/>
      <c r="FP88" s="258" t="s">
        <v>416</v>
      </c>
      <c r="FQ88" s="259">
        <f t="shared" si="5"/>
        <v>0</v>
      </c>
      <c r="FR88" s="260" t="s">
        <v>414</v>
      </c>
      <c r="FS88" s="260"/>
    </row>
    <row r="89" spans="1:175">
      <c r="A89" s="251" t="s">
        <v>393</v>
      </c>
      <c r="B89" s="251" t="s">
        <v>385</v>
      </c>
      <c r="C89" s="251" t="s">
        <v>411</v>
      </c>
      <c r="D89" s="251" t="s">
        <v>291</v>
      </c>
      <c r="E89" s="252" t="s">
        <v>918</v>
      </c>
      <c r="F89" s="251" t="s">
        <v>388</v>
      </c>
      <c r="G89" s="251" t="s">
        <v>1173</v>
      </c>
      <c r="H89" s="253"/>
      <c r="I89" s="253"/>
      <c r="J89" s="253"/>
      <c r="K89" s="253"/>
      <c r="L89" s="253"/>
      <c r="M89" s="253"/>
      <c r="N89" s="253"/>
      <c r="O89" s="253"/>
      <c r="P89" s="253"/>
      <c r="Q89" s="253"/>
      <c r="R89" s="253"/>
      <c r="S89" s="253"/>
      <c r="T89" s="253"/>
      <c r="U89" s="253"/>
      <c r="V89" s="253"/>
      <c r="W89" s="253"/>
      <c r="X89" s="253"/>
      <c r="Y89" s="253"/>
      <c r="Z89" s="253"/>
      <c r="AA89" s="253"/>
      <c r="AB89" s="253"/>
      <c r="AC89" s="253"/>
      <c r="AD89" s="255">
        <f>300-300</f>
        <v>0</v>
      </c>
      <c r="AE89" s="253"/>
      <c r="AF89" s="253"/>
      <c r="AG89" s="253"/>
      <c r="AH89" s="253"/>
      <c r="AI89" s="253"/>
      <c r="AJ89" s="253"/>
      <c r="AK89" s="253"/>
      <c r="AL89" s="253"/>
      <c r="AM89" s="253"/>
      <c r="AN89" s="255">
        <f>300-300</f>
        <v>0</v>
      </c>
      <c r="AO89" s="253"/>
      <c r="AP89" s="253"/>
      <c r="AQ89" s="253"/>
      <c r="AR89" s="253"/>
      <c r="AS89" s="253"/>
      <c r="AT89" s="253"/>
      <c r="AU89" s="253"/>
      <c r="AV89" s="253"/>
      <c r="AW89" s="253"/>
      <c r="AX89" s="253"/>
      <c r="AY89" s="253"/>
      <c r="AZ89" s="253"/>
      <c r="BA89" s="253"/>
      <c r="BB89" s="253"/>
      <c r="BC89" s="255">
        <f>500-500</f>
        <v>0</v>
      </c>
      <c r="BD89" s="253"/>
      <c r="BE89" s="253"/>
      <c r="BF89" s="253"/>
      <c r="BG89" s="253"/>
      <c r="BH89" s="253"/>
      <c r="BI89" s="253"/>
      <c r="BJ89" s="253"/>
      <c r="BK89" s="253"/>
      <c r="BL89" s="253"/>
      <c r="BM89" s="253"/>
      <c r="BN89" s="253"/>
      <c r="BO89" s="253"/>
      <c r="BP89" s="253"/>
      <c r="BQ89" s="253"/>
      <c r="BR89" s="253"/>
      <c r="BS89" s="253"/>
      <c r="BT89" s="253"/>
      <c r="BU89" s="253"/>
      <c r="BV89" s="253"/>
      <c r="BW89" s="253"/>
      <c r="BX89" s="253"/>
      <c r="BY89" s="253"/>
      <c r="BZ89" s="253"/>
      <c r="CA89" s="253"/>
      <c r="CB89" s="253"/>
      <c r="CC89" s="253"/>
      <c r="CD89" s="253"/>
      <c r="CE89" s="253"/>
      <c r="CF89" s="253"/>
      <c r="CG89" s="253"/>
      <c r="CH89" s="253"/>
      <c r="CI89" s="253"/>
      <c r="CJ89" s="253"/>
      <c r="CK89" s="253"/>
      <c r="CL89" s="253"/>
      <c r="CM89" s="253"/>
      <c r="CN89" s="253"/>
      <c r="CO89" s="253"/>
      <c r="CP89" s="253"/>
      <c r="CQ89" s="253"/>
      <c r="CR89" s="253"/>
      <c r="CS89" s="253"/>
      <c r="CT89" s="253"/>
      <c r="CU89" s="253"/>
      <c r="CV89" s="253"/>
      <c r="CW89" s="253"/>
      <c r="CX89" s="253"/>
      <c r="CY89" s="253"/>
      <c r="CZ89" s="253"/>
      <c r="DA89" s="253"/>
      <c r="DB89" s="253"/>
      <c r="DC89" s="253"/>
      <c r="DD89" s="253"/>
      <c r="DE89" s="253"/>
      <c r="DF89" s="253"/>
      <c r="DG89" s="253"/>
      <c r="DH89" s="253"/>
      <c r="DI89" s="253"/>
      <c r="DJ89" s="253"/>
      <c r="DK89" s="253"/>
      <c r="DL89" s="253"/>
      <c r="DM89" s="253"/>
      <c r="DN89" s="253"/>
      <c r="DO89" s="253"/>
      <c r="DP89" s="253"/>
      <c r="DQ89" s="253"/>
      <c r="DR89" s="253"/>
      <c r="DS89" s="253"/>
      <c r="DT89" s="253"/>
      <c r="DU89" s="253"/>
      <c r="DV89" s="253"/>
      <c r="DW89" s="253"/>
      <c r="DX89" s="253"/>
      <c r="DY89" s="253"/>
      <c r="DZ89" s="253"/>
      <c r="EA89" s="253"/>
      <c r="EB89" s="253"/>
      <c r="EC89" s="253"/>
      <c r="ED89" s="253"/>
      <c r="EE89" s="253"/>
      <c r="EF89" s="253"/>
      <c r="EG89" s="253"/>
      <c r="EH89" s="253"/>
      <c r="EI89" s="253"/>
      <c r="EJ89" s="253"/>
      <c r="EK89" s="253"/>
      <c r="EL89" s="253"/>
      <c r="EM89" s="253"/>
      <c r="EN89" s="253"/>
      <c r="EO89" s="253"/>
      <c r="EP89" s="253"/>
      <c r="EQ89" s="253"/>
      <c r="ER89" s="253"/>
      <c r="ES89" s="253"/>
      <c r="ET89" s="253"/>
      <c r="EU89" s="253"/>
      <c r="EV89" s="253"/>
      <c r="EW89" s="253"/>
      <c r="EX89" s="253"/>
      <c r="EY89" s="253"/>
      <c r="EZ89" s="253"/>
      <c r="FA89" s="253"/>
      <c r="FB89" s="253"/>
      <c r="FC89" s="253"/>
      <c r="FD89" s="253"/>
      <c r="FE89" s="253"/>
      <c r="FF89" s="253"/>
      <c r="FG89" s="253"/>
      <c r="FH89" s="253"/>
      <c r="FI89" s="253"/>
      <c r="FJ89" s="253"/>
      <c r="FK89" s="253"/>
      <c r="FL89" s="256"/>
      <c r="FM89" s="257" t="s">
        <v>1145</v>
      </c>
      <c r="FN89" s="258" t="s">
        <v>389</v>
      </c>
      <c r="FO89" s="258" t="s">
        <v>1087</v>
      </c>
      <c r="FP89" s="258" t="s">
        <v>445</v>
      </c>
      <c r="FQ89" s="259">
        <f t="shared" si="5"/>
        <v>0</v>
      </c>
      <c r="FR89" s="260" t="s">
        <v>433</v>
      </c>
      <c r="FS89" s="260"/>
    </row>
    <row r="90" spans="1:175">
      <c r="A90" s="251" t="s">
        <v>393</v>
      </c>
      <c r="B90" s="251" t="s">
        <v>385</v>
      </c>
      <c r="C90" s="251" t="s">
        <v>411</v>
      </c>
      <c r="D90" s="251" t="s">
        <v>1</v>
      </c>
      <c r="E90" s="252" t="s">
        <v>918</v>
      </c>
      <c r="F90" s="251" t="s">
        <v>388</v>
      </c>
      <c r="G90" s="251" t="s">
        <v>1173</v>
      </c>
      <c r="H90" s="253"/>
      <c r="I90" s="253"/>
      <c r="J90" s="253"/>
      <c r="K90" s="253"/>
      <c r="L90" s="253"/>
      <c r="M90" s="253"/>
      <c r="N90" s="253"/>
      <c r="O90" s="253"/>
      <c r="P90" s="253"/>
      <c r="Q90" s="253"/>
      <c r="R90" s="253"/>
      <c r="S90" s="253"/>
      <c r="T90" s="253"/>
      <c r="U90" s="253"/>
      <c r="V90" s="253"/>
      <c r="W90" s="253"/>
      <c r="X90" s="253"/>
      <c r="Y90" s="253"/>
      <c r="Z90" s="253"/>
      <c r="AA90" s="253"/>
      <c r="AB90" s="255">
        <f>200-200</f>
        <v>0</v>
      </c>
      <c r="AC90" s="253"/>
      <c r="AD90" s="253"/>
      <c r="AE90" s="253"/>
      <c r="AF90" s="253"/>
      <c r="AG90" s="253"/>
      <c r="AH90" s="253"/>
      <c r="AI90" s="253"/>
      <c r="AJ90" s="253"/>
      <c r="AK90" s="253"/>
      <c r="AL90" s="253"/>
      <c r="AM90" s="253"/>
      <c r="AN90" s="253"/>
      <c r="AO90" s="253"/>
      <c r="AP90" s="253"/>
      <c r="AQ90" s="253"/>
      <c r="AR90" s="253"/>
      <c r="AS90" s="253"/>
      <c r="AT90" s="255">
        <f>300-300</f>
        <v>0</v>
      </c>
      <c r="AU90" s="253"/>
      <c r="AV90" s="253"/>
      <c r="AW90" s="253"/>
      <c r="AX90" s="253"/>
      <c r="AY90" s="255">
        <f>500-500</f>
        <v>0</v>
      </c>
      <c r="AZ90" s="253"/>
      <c r="BA90" s="253"/>
      <c r="BB90" s="253"/>
      <c r="BC90" s="253"/>
      <c r="BD90" s="253"/>
      <c r="BE90" s="253"/>
      <c r="BF90" s="253"/>
      <c r="BG90" s="253"/>
      <c r="BH90" s="253"/>
      <c r="BI90" s="253"/>
      <c r="BJ90" s="253"/>
      <c r="BK90" s="253"/>
      <c r="BL90" s="253"/>
      <c r="BM90" s="253"/>
      <c r="BN90" s="253"/>
      <c r="BO90" s="253"/>
      <c r="BP90" s="253"/>
      <c r="BQ90" s="253"/>
      <c r="BR90" s="253"/>
      <c r="BS90" s="253"/>
      <c r="BT90" s="253"/>
      <c r="BU90" s="253"/>
      <c r="BV90" s="253"/>
      <c r="BW90" s="253"/>
      <c r="BX90" s="253"/>
      <c r="BY90" s="253"/>
      <c r="BZ90" s="253"/>
      <c r="CA90" s="253"/>
      <c r="CB90" s="253"/>
      <c r="CC90" s="253"/>
      <c r="CD90" s="253"/>
      <c r="CE90" s="253"/>
      <c r="CF90" s="253"/>
      <c r="CG90" s="253"/>
      <c r="CH90" s="253"/>
      <c r="CI90" s="253"/>
      <c r="CJ90" s="253"/>
      <c r="CK90" s="253"/>
      <c r="CL90" s="253"/>
      <c r="CM90" s="253"/>
      <c r="CN90" s="253"/>
      <c r="CO90" s="253"/>
      <c r="CP90" s="253"/>
      <c r="CQ90" s="253"/>
      <c r="CR90" s="253"/>
      <c r="CS90" s="253"/>
      <c r="CT90" s="253"/>
      <c r="CU90" s="253"/>
      <c r="CV90" s="253"/>
      <c r="CW90" s="253"/>
      <c r="CX90" s="253"/>
      <c r="CY90" s="253"/>
      <c r="CZ90" s="253"/>
      <c r="DA90" s="253"/>
      <c r="DB90" s="253"/>
      <c r="DC90" s="253"/>
      <c r="DD90" s="253"/>
      <c r="DE90" s="253"/>
      <c r="DF90" s="253"/>
      <c r="DG90" s="253"/>
      <c r="DH90" s="253"/>
      <c r="DI90" s="253"/>
      <c r="DJ90" s="253"/>
      <c r="DK90" s="253"/>
      <c r="DL90" s="253"/>
      <c r="DM90" s="253"/>
      <c r="DN90" s="253"/>
      <c r="DO90" s="253"/>
      <c r="DP90" s="253"/>
      <c r="DQ90" s="253"/>
      <c r="DR90" s="253"/>
      <c r="DS90" s="253"/>
      <c r="DT90" s="253"/>
      <c r="DU90" s="253"/>
      <c r="DV90" s="253"/>
      <c r="DW90" s="253"/>
      <c r="DX90" s="253"/>
      <c r="DY90" s="253"/>
      <c r="DZ90" s="253"/>
      <c r="EA90" s="253"/>
      <c r="EB90" s="253"/>
      <c r="EC90" s="253"/>
      <c r="ED90" s="253"/>
      <c r="EE90" s="253"/>
      <c r="EF90" s="253"/>
      <c r="EG90" s="253"/>
      <c r="EH90" s="253"/>
      <c r="EI90" s="253"/>
      <c r="EJ90" s="253"/>
      <c r="EK90" s="253"/>
      <c r="EL90" s="253"/>
      <c r="EM90" s="253"/>
      <c r="EN90" s="253"/>
      <c r="EO90" s="253"/>
      <c r="EP90" s="253"/>
      <c r="EQ90" s="253"/>
      <c r="ER90" s="253"/>
      <c r="ES90" s="253"/>
      <c r="ET90" s="253"/>
      <c r="EU90" s="253"/>
      <c r="EV90" s="253"/>
      <c r="EW90" s="253"/>
      <c r="EX90" s="253"/>
      <c r="EY90" s="253"/>
      <c r="EZ90" s="253"/>
      <c r="FA90" s="253"/>
      <c r="FB90" s="253"/>
      <c r="FC90" s="253"/>
      <c r="FD90" s="253"/>
      <c r="FE90" s="253"/>
      <c r="FF90" s="253"/>
      <c r="FG90" s="253"/>
      <c r="FH90" s="253"/>
      <c r="FI90" s="253"/>
      <c r="FJ90" s="253"/>
      <c r="FK90" s="253"/>
      <c r="FL90" s="256"/>
      <c r="FM90" s="257" t="s">
        <v>1145</v>
      </c>
      <c r="FN90" s="258" t="s">
        <v>389</v>
      </c>
      <c r="FO90" s="258" t="s">
        <v>1087</v>
      </c>
      <c r="FP90" s="258" t="s">
        <v>445</v>
      </c>
      <c r="FQ90" s="259">
        <f t="shared" si="5"/>
        <v>0</v>
      </c>
      <c r="FR90" s="260" t="s">
        <v>433</v>
      </c>
      <c r="FS90" s="260"/>
    </row>
    <row r="91" spans="1:175">
      <c r="A91" s="251" t="s">
        <v>393</v>
      </c>
      <c r="B91" s="251" t="s">
        <v>385</v>
      </c>
      <c r="C91" s="251" t="s">
        <v>411</v>
      </c>
      <c r="D91" s="251" t="s">
        <v>291</v>
      </c>
      <c r="E91" s="252" t="s">
        <v>446</v>
      </c>
      <c r="F91" s="251" t="s">
        <v>388</v>
      </c>
      <c r="G91" s="251" t="s">
        <v>1174</v>
      </c>
      <c r="H91" s="253"/>
      <c r="I91" s="255">
        <f>200-200</f>
        <v>0</v>
      </c>
      <c r="J91" s="253"/>
      <c r="K91" s="255">
        <f>200-200</f>
        <v>0</v>
      </c>
      <c r="L91" s="253"/>
      <c r="M91" s="253"/>
      <c r="N91" s="253"/>
      <c r="O91" s="253"/>
      <c r="P91" s="253"/>
      <c r="Q91" s="253"/>
      <c r="R91" s="253"/>
      <c r="S91" s="253"/>
      <c r="T91" s="253"/>
      <c r="U91" s="253"/>
      <c r="V91" s="253"/>
      <c r="W91" s="253"/>
      <c r="X91" s="253"/>
      <c r="Y91" s="253"/>
      <c r="Z91" s="253"/>
      <c r="AA91" s="253"/>
      <c r="AB91" s="253"/>
      <c r="AC91" s="253"/>
      <c r="AD91" s="255">
        <f>1000-1000</f>
        <v>0</v>
      </c>
      <c r="AE91" s="253"/>
      <c r="AF91" s="255">
        <f>1000-1000</f>
        <v>0</v>
      </c>
      <c r="AG91" s="255">
        <f>1000-1000</f>
        <v>0</v>
      </c>
      <c r="AH91" s="253"/>
      <c r="AI91" s="253"/>
      <c r="AJ91" s="253"/>
      <c r="AK91" s="253"/>
      <c r="AL91" s="253"/>
      <c r="AM91" s="253"/>
      <c r="AN91" s="255">
        <f>500-500</f>
        <v>0</v>
      </c>
      <c r="AO91" s="253"/>
      <c r="AP91" s="253"/>
      <c r="AQ91" s="253"/>
      <c r="AR91" s="253"/>
      <c r="AS91" s="253"/>
      <c r="AT91" s="253"/>
      <c r="AU91" s="253"/>
      <c r="AV91" s="253"/>
      <c r="AW91" s="253"/>
      <c r="AX91" s="253"/>
      <c r="AY91" s="253"/>
      <c r="AZ91" s="253"/>
      <c r="BA91" s="253"/>
      <c r="BB91" s="253"/>
      <c r="BC91" s="253"/>
      <c r="BD91" s="253"/>
      <c r="BE91" s="253"/>
      <c r="BF91" s="253"/>
      <c r="BG91" s="253"/>
      <c r="BH91" s="253"/>
      <c r="BI91" s="253"/>
      <c r="BJ91" s="253"/>
      <c r="BK91" s="253"/>
      <c r="BL91" s="253"/>
      <c r="BM91" s="253"/>
      <c r="BN91" s="253"/>
      <c r="BO91" s="253"/>
      <c r="BP91" s="253"/>
      <c r="BQ91" s="253"/>
      <c r="BR91" s="253"/>
      <c r="BS91" s="253"/>
      <c r="BT91" s="253"/>
      <c r="BU91" s="253"/>
      <c r="BV91" s="253"/>
      <c r="BW91" s="253"/>
      <c r="BX91" s="253"/>
      <c r="BY91" s="253"/>
      <c r="BZ91" s="253"/>
      <c r="CA91" s="253"/>
      <c r="CB91" s="253"/>
      <c r="CC91" s="253"/>
      <c r="CD91" s="253"/>
      <c r="CE91" s="253"/>
      <c r="CF91" s="253"/>
      <c r="CG91" s="253"/>
      <c r="CH91" s="253"/>
      <c r="CI91" s="253"/>
      <c r="CJ91" s="253"/>
      <c r="CK91" s="253"/>
      <c r="CL91" s="253"/>
      <c r="CM91" s="253"/>
      <c r="CN91" s="253"/>
      <c r="CO91" s="253"/>
      <c r="CP91" s="253"/>
      <c r="CQ91" s="253"/>
      <c r="CR91" s="253"/>
      <c r="CS91" s="253"/>
      <c r="CT91" s="253"/>
      <c r="CU91" s="253"/>
      <c r="CV91" s="253"/>
      <c r="CW91" s="253"/>
      <c r="CX91" s="253"/>
      <c r="CY91" s="253"/>
      <c r="CZ91" s="253"/>
      <c r="DA91" s="253"/>
      <c r="DB91" s="253"/>
      <c r="DC91" s="253"/>
      <c r="DD91" s="253"/>
      <c r="DE91" s="253"/>
      <c r="DF91" s="253"/>
      <c r="DG91" s="253"/>
      <c r="DH91" s="253"/>
      <c r="DI91" s="253"/>
      <c r="DJ91" s="253"/>
      <c r="DK91" s="253"/>
      <c r="DL91" s="253"/>
      <c r="DM91" s="253"/>
      <c r="DN91" s="253"/>
      <c r="DO91" s="253"/>
      <c r="DP91" s="253"/>
      <c r="DQ91" s="253"/>
      <c r="DR91" s="253"/>
      <c r="DS91" s="253"/>
      <c r="DT91" s="253"/>
      <c r="DU91" s="253"/>
      <c r="DV91" s="253"/>
      <c r="DW91" s="253"/>
      <c r="DX91" s="253"/>
      <c r="DY91" s="253"/>
      <c r="DZ91" s="253"/>
      <c r="EA91" s="253"/>
      <c r="EB91" s="253"/>
      <c r="EC91" s="253"/>
      <c r="ED91" s="253"/>
      <c r="EE91" s="253"/>
      <c r="EF91" s="253"/>
      <c r="EG91" s="253"/>
      <c r="EH91" s="253"/>
      <c r="EI91" s="253"/>
      <c r="EJ91" s="253"/>
      <c r="EK91" s="253"/>
      <c r="EL91" s="253"/>
      <c r="EM91" s="253"/>
      <c r="EN91" s="253"/>
      <c r="EO91" s="253"/>
      <c r="EP91" s="253"/>
      <c r="EQ91" s="253"/>
      <c r="ER91" s="253"/>
      <c r="ES91" s="253"/>
      <c r="ET91" s="253"/>
      <c r="EU91" s="253"/>
      <c r="EV91" s="253"/>
      <c r="EW91" s="253"/>
      <c r="EX91" s="253"/>
      <c r="EY91" s="253"/>
      <c r="EZ91" s="253"/>
      <c r="FA91" s="253"/>
      <c r="FB91" s="253"/>
      <c r="FC91" s="253"/>
      <c r="FD91" s="253"/>
      <c r="FE91" s="253"/>
      <c r="FF91" s="255">
        <f>500-500</f>
        <v>0</v>
      </c>
      <c r="FG91" s="253"/>
      <c r="FH91" s="253"/>
      <c r="FI91" s="253"/>
      <c r="FJ91" s="253"/>
      <c r="FK91" s="253"/>
      <c r="FL91" s="256"/>
      <c r="FM91" s="257" t="s">
        <v>1145</v>
      </c>
      <c r="FN91" s="258" t="s">
        <v>389</v>
      </c>
      <c r="FO91" s="258"/>
      <c r="FP91" s="258" t="s">
        <v>423</v>
      </c>
      <c r="FQ91" s="259">
        <f t="shared" si="5"/>
        <v>0</v>
      </c>
      <c r="FR91" s="260" t="s">
        <v>835</v>
      </c>
      <c r="FS91" s="260"/>
    </row>
    <row r="92" spans="1:175">
      <c r="A92" s="251" t="s">
        <v>393</v>
      </c>
      <c r="B92" s="251" t="s">
        <v>385</v>
      </c>
      <c r="C92" s="251" t="s">
        <v>411</v>
      </c>
      <c r="D92" s="251" t="s">
        <v>1</v>
      </c>
      <c r="E92" s="252" t="s">
        <v>446</v>
      </c>
      <c r="F92" s="251" t="s">
        <v>388</v>
      </c>
      <c r="G92" s="251" t="s">
        <v>1174</v>
      </c>
      <c r="H92" s="253"/>
      <c r="I92" s="253"/>
      <c r="J92" s="253"/>
      <c r="K92" s="253"/>
      <c r="L92" s="253"/>
      <c r="M92" s="253"/>
      <c r="N92" s="253"/>
      <c r="O92" s="255">
        <f>500-500</f>
        <v>0</v>
      </c>
      <c r="P92" s="255">
        <f>500-500</f>
        <v>0</v>
      </c>
      <c r="Q92" s="253"/>
      <c r="R92" s="253"/>
      <c r="S92" s="253"/>
      <c r="T92" s="253"/>
      <c r="U92" s="253"/>
      <c r="V92" s="253"/>
      <c r="W92" s="253"/>
      <c r="X92" s="253"/>
      <c r="Y92" s="253"/>
      <c r="Z92" s="253"/>
      <c r="AA92" s="255">
        <f>1000-1000</f>
        <v>0</v>
      </c>
      <c r="AB92" s="255">
        <f>980-980</f>
        <v>0</v>
      </c>
      <c r="AC92" s="253"/>
      <c r="AD92" s="253"/>
      <c r="AE92" s="253"/>
      <c r="AF92" s="253"/>
      <c r="AG92" s="253"/>
      <c r="AH92" s="253"/>
      <c r="AI92" s="253"/>
      <c r="AJ92" s="253"/>
      <c r="AK92" s="253"/>
      <c r="AL92" s="253"/>
      <c r="AM92" s="253"/>
      <c r="AN92" s="253"/>
      <c r="AO92" s="253"/>
      <c r="AP92" s="253"/>
      <c r="AQ92" s="253"/>
      <c r="AR92" s="254">
        <f>500-500+20</f>
        <v>20</v>
      </c>
      <c r="AS92" s="255">
        <f>200-200</f>
        <v>0</v>
      </c>
      <c r="AT92" s="253"/>
      <c r="AU92" s="253"/>
      <c r="AV92" s="253"/>
      <c r="AW92" s="253"/>
      <c r="AX92" s="253"/>
      <c r="AY92" s="253"/>
      <c r="AZ92" s="253"/>
      <c r="BA92" s="253"/>
      <c r="BB92" s="253"/>
      <c r="BC92" s="253"/>
      <c r="BD92" s="253"/>
      <c r="BE92" s="255">
        <f>1000-1000</f>
        <v>0</v>
      </c>
      <c r="BF92" s="253"/>
      <c r="BG92" s="253"/>
      <c r="BH92" s="253"/>
      <c r="BI92" s="253"/>
      <c r="BJ92" s="253"/>
      <c r="BK92" s="253"/>
      <c r="BL92" s="253"/>
      <c r="BM92" s="253"/>
      <c r="BN92" s="253"/>
      <c r="BO92" s="253"/>
      <c r="BP92" s="253"/>
      <c r="BQ92" s="253"/>
      <c r="BR92" s="253"/>
      <c r="BS92" s="253"/>
      <c r="BT92" s="253"/>
      <c r="BU92" s="253"/>
      <c r="BV92" s="253"/>
      <c r="BW92" s="253"/>
      <c r="BX92" s="253"/>
      <c r="BY92" s="253"/>
      <c r="BZ92" s="253"/>
      <c r="CA92" s="253"/>
      <c r="CB92" s="253"/>
      <c r="CC92" s="253"/>
      <c r="CD92" s="253"/>
      <c r="CE92" s="253"/>
      <c r="CF92" s="253"/>
      <c r="CG92" s="253"/>
      <c r="CH92" s="253"/>
      <c r="CI92" s="253"/>
      <c r="CJ92" s="253"/>
      <c r="CK92" s="253"/>
      <c r="CL92" s="253"/>
      <c r="CM92" s="253"/>
      <c r="CN92" s="253"/>
      <c r="CO92" s="253"/>
      <c r="CP92" s="253"/>
      <c r="CQ92" s="253"/>
      <c r="CR92" s="253"/>
      <c r="CS92" s="253"/>
      <c r="CT92" s="253"/>
      <c r="CU92" s="253"/>
      <c r="CV92" s="253"/>
      <c r="CW92" s="253"/>
      <c r="CX92" s="253"/>
      <c r="CY92" s="253"/>
      <c r="CZ92" s="253"/>
      <c r="DA92" s="253"/>
      <c r="DB92" s="253"/>
      <c r="DC92" s="253"/>
      <c r="DD92" s="253"/>
      <c r="DE92" s="253"/>
      <c r="DF92" s="253"/>
      <c r="DG92" s="253"/>
      <c r="DH92" s="253"/>
      <c r="DI92" s="253"/>
      <c r="DJ92" s="253"/>
      <c r="DK92" s="253"/>
      <c r="DL92" s="253"/>
      <c r="DM92" s="253"/>
      <c r="DN92" s="253"/>
      <c r="DO92" s="253"/>
      <c r="DP92" s="253"/>
      <c r="DQ92" s="253"/>
      <c r="DR92" s="253"/>
      <c r="DS92" s="253"/>
      <c r="DT92" s="253"/>
      <c r="DU92" s="253"/>
      <c r="DV92" s="253"/>
      <c r="DW92" s="253"/>
      <c r="DX92" s="253"/>
      <c r="DY92" s="253"/>
      <c r="DZ92" s="253"/>
      <c r="EA92" s="253"/>
      <c r="EB92" s="253"/>
      <c r="EC92" s="253"/>
      <c r="ED92" s="253"/>
      <c r="EE92" s="253"/>
      <c r="EF92" s="255">
        <f>500-500</f>
        <v>0</v>
      </c>
      <c r="EG92" s="255">
        <f>2000-2000</f>
        <v>0</v>
      </c>
      <c r="EH92" s="255">
        <f>500-500</f>
        <v>0</v>
      </c>
      <c r="EI92" s="255">
        <f>2000-2000</f>
        <v>0</v>
      </c>
      <c r="EJ92" s="253"/>
      <c r="EK92" s="255">
        <f>2000-2000</f>
        <v>0</v>
      </c>
      <c r="EL92" s="255">
        <f>2000-2000</f>
        <v>0</v>
      </c>
      <c r="EM92" s="255">
        <f>2000-2000</f>
        <v>0</v>
      </c>
      <c r="EN92" s="255">
        <f>1000-1000</f>
        <v>0</v>
      </c>
      <c r="EO92" s="253"/>
      <c r="EP92" s="255">
        <f>1000-1000</f>
        <v>0</v>
      </c>
      <c r="EQ92" s="253"/>
      <c r="ER92" s="253"/>
      <c r="ES92" s="253"/>
      <c r="ET92" s="253"/>
      <c r="EU92" s="253"/>
      <c r="EV92" s="253"/>
      <c r="EW92" s="253"/>
      <c r="EX92" s="253"/>
      <c r="EY92" s="253"/>
      <c r="EZ92" s="253"/>
      <c r="FA92" s="253"/>
      <c r="FB92" s="253"/>
      <c r="FC92" s="253"/>
      <c r="FD92" s="253"/>
      <c r="FE92" s="253"/>
      <c r="FF92" s="253"/>
      <c r="FG92" s="253"/>
      <c r="FH92" s="255">
        <f>1600-1600</f>
        <v>0</v>
      </c>
      <c r="FI92" s="255">
        <f>1340-1340</f>
        <v>0</v>
      </c>
      <c r="FJ92" s="253"/>
      <c r="FK92" s="253"/>
      <c r="FL92" s="256"/>
      <c r="FM92" s="257" t="s">
        <v>1145</v>
      </c>
      <c r="FN92" s="258" t="s">
        <v>389</v>
      </c>
      <c r="FO92" s="258"/>
      <c r="FP92" s="258" t="s">
        <v>423</v>
      </c>
      <c r="FQ92" s="259">
        <f t="shared" si="5"/>
        <v>20</v>
      </c>
      <c r="FR92" s="260" t="s">
        <v>835</v>
      </c>
      <c r="FS92" s="260"/>
    </row>
    <row r="93" spans="1:175">
      <c r="A93" s="251" t="s">
        <v>385</v>
      </c>
      <c r="B93" s="251" t="s">
        <v>392</v>
      </c>
      <c r="C93" s="251" t="s">
        <v>411</v>
      </c>
      <c r="D93" s="251" t="s">
        <v>1</v>
      </c>
      <c r="E93" s="252" t="s">
        <v>862</v>
      </c>
      <c r="F93" s="251" t="s">
        <v>388</v>
      </c>
      <c r="G93" s="251" t="s">
        <v>1175</v>
      </c>
      <c r="H93" s="253"/>
      <c r="I93" s="253"/>
      <c r="J93" s="253"/>
      <c r="K93" s="253"/>
      <c r="L93" s="253"/>
      <c r="M93" s="253"/>
      <c r="N93" s="253"/>
      <c r="O93" s="253"/>
      <c r="P93" s="253"/>
      <c r="Q93" s="253"/>
      <c r="R93" s="253"/>
      <c r="S93" s="253"/>
      <c r="T93" s="253"/>
      <c r="U93" s="253"/>
      <c r="V93" s="253"/>
      <c r="W93" s="253"/>
      <c r="X93" s="253"/>
      <c r="Y93" s="253"/>
      <c r="Z93" s="253"/>
      <c r="AA93" s="253"/>
      <c r="AB93" s="253"/>
      <c r="AC93" s="253"/>
      <c r="AD93" s="253"/>
      <c r="AE93" s="253"/>
      <c r="AF93" s="253"/>
      <c r="AG93" s="253"/>
      <c r="AH93" s="253"/>
      <c r="AI93" s="253"/>
      <c r="AJ93" s="253"/>
      <c r="AK93" s="253"/>
      <c r="AL93" s="253"/>
      <c r="AM93" s="253"/>
      <c r="AN93" s="253"/>
      <c r="AO93" s="253"/>
      <c r="AP93" s="253"/>
      <c r="AQ93" s="253"/>
      <c r="AR93" s="253"/>
      <c r="AS93" s="253"/>
      <c r="AT93" s="253"/>
      <c r="AU93" s="253"/>
      <c r="AV93" s="253"/>
      <c r="AW93" s="253"/>
      <c r="AX93" s="253"/>
      <c r="AY93" s="253"/>
      <c r="AZ93" s="253"/>
      <c r="BA93" s="253"/>
      <c r="BB93" s="253"/>
      <c r="BC93" s="253"/>
      <c r="BD93" s="253"/>
      <c r="BE93" s="253"/>
      <c r="BF93" s="253"/>
      <c r="BG93" s="253"/>
      <c r="BH93" s="253"/>
      <c r="BI93" s="253"/>
      <c r="BJ93" s="253"/>
      <c r="BK93" s="253"/>
      <c r="BL93" s="253"/>
      <c r="BM93" s="253"/>
      <c r="BN93" s="253"/>
      <c r="BO93" s="253"/>
      <c r="BP93" s="253"/>
      <c r="BQ93" s="253"/>
      <c r="BR93" s="253"/>
      <c r="BS93" s="253"/>
      <c r="BT93" s="253"/>
      <c r="BU93" s="253"/>
      <c r="BV93" s="253"/>
      <c r="BW93" s="253"/>
      <c r="BX93" s="253"/>
      <c r="BY93" s="253"/>
      <c r="BZ93" s="253"/>
      <c r="CA93" s="253"/>
      <c r="CB93" s="253"/>
      <c r="CC93" s="253"/>
      <c r="CD93" s="253"/>
      <c r="CE93" s="253"/>
      <c r="CF93" s="253"/>
      <c r="CG93" s="253"/>
      <c r="CH93" s="253"/>
      <c r="CI93" s="253"/>
      <c r="CJ93" s="253"/>
      <c r="CK93" s="253"/>
      <c r="CL93" s="253"/>
      <c r="CM93" s="253"/>
      <c r="CN93" s="253"/>
      <c r="CO93" s="253"/>
      <c r="CP93" s="253"/>
      <c r="CQ93" s="253"/>
      <c r="CR93" s="253"/>
      <c r="CS93" s="253"/>
      <c r="CT93" s="253"/>
      <c r="CU93" s="253"/>
      <c r="CV93" s="253"/>
      <c r="CW93" s="253"/>
      <c r="CX93" s="253"/>
      <c r="CY93" s="253"/>
      <c r="CZ93" s="253"/>
      <c r="DA93" s="253"/>
      <c r="DB93" s="253"/>
      <c r="DC93" s="253"/>
      <c r="DD93" s="253"/>
      <c r="DE93" s="253"/>
      <c r="DF93" s="253"/>
      <c r="DG93" s="253"/>
      <c r="DH93" s="253"/>
      <c r="DI93" s="253"/>
      <c r="DJ93" s="253"/>
      <c r="DK93" s="253"/>
      <c r="DL93" s="253"/>
      <c r="DM93" s="253"/>
      <c r="DN93" s="253"/>
      <c r="DO93" s="253"/>
      <c r="DP93" s="253"/>
      <c r="DQ93" s="253"/>
      <c r="DR93" s="253"/>
      <c r="DS93" s="253"/>
      <c r="DT93" s="253"/>
      <c r="DU93" s="253"/>
      <c r="DV93" s="253"/>
      <c r="DW93" s="253"/>
      <c r="DX93" s="253"/>
      <c r="DY93" s="255">
        <f>480-480</f>
        <v>0</v>
      </c>
      <c r="DZ93" s="253"/>
      <c r="EA93" s="253"/>
      <c r="EB93" s="253"/>
      <c r="EC93" s="253"/>
      <c r="ED93" s="253"/>
      <c r="EE93" s="253"/>
      <c r="EF93" s="253"/>
      <c r="EG93" s="253"/>
      <c r="EH93" s="253"/>
      <c r="EI93" s="253"/>
      <c r="EJ93" s="253"/>
      <c r="EK93" s="253"/>
      <c r="EL93" s="253"/>
      <c r="EM93" s="253"/>
      <c r="EN93" s="253"/>
      <c r="EO93" s="253"/>
      <c r="EP93" s="253"/>
      <c r="EQ93" s="253"/>
      <c r="ER93" s="253"/>
      <c r="ES93" s="253"/>
      <c r="ET93" s="253"/>
      <c r="EU93" s="253"/>
      <c r="EV93" s="253"/>
      <c r="EW93" s="253"/>
      <c r="EX93" s="253"/>
      <c r="EY93" s="253"/>
      <c r="EZ93" s="253"/>
      <c r="FA93" s="253"/>
      <c r="FB93" s="253"/>
      <c r="FC93" s="253"/>
      <c r="FD93" s="253"/>
      <c r="FE93" s="253"/>
      <c r="FF93" s="253"/>
      <c r="FG93" s="253"/>
      <c r="FH93" s="253"/>
      <c r="FI93" s="253"/>
      <c r="FJ93" s="253"/>
      <c r="FK93" s="253"/>
      <c r="FL93" s="256"/>
      <c r="FM93" s="257" t="s">
        <v>1145</v>
      </c>
      <c r="FN93" s="258" t="s">
        <v>389</v>
      </c>
      <c r="FO93" s="258" t="s">
        <v>864</v>
      </c>
      <c r="FP93" s="258" t="s">
        <v>432</v>
      </c>
      <c r="FQ93" s="259">
        <f t="shared" si="5"/>
        <v>0</v>
      </c>
      <c r="FR93" s="260" t="s">
        <v>433</v>
      </c>
      <c r="FS93" s="260"/>
    </row>
    <row r="94" spans="1:175">
      <c r="A94" s="251" t="s">
        <v>393</v>
      </c>
      <c r="B94" s="251" t="s">
        <v>385</v>
      </c>
      <c r="C94" s="251" t="s">
        <v>411</v>
      </c>
      <c r="D94" s="251" t="s">
        <v>291</v>
      </c>
      <c r="E94" s="252" t="s">
        <v>447</v>
      </c>
      <c r="F94" s="251" t="s">
        <v>388</v>
      </c>
      <c r="G94" s="251" t="s">
        <v>1176</v>
      </c>
      <c r="H94" s="253"/>
      <c r="I94" s="253"/>
      <c r="J94" s="253"/>
      <c r="K94" s="253"/>
      <c r="L94" s="253"/>
      <c r="M94" s="253"/>
      <c r="N94" s="253"/>
      <c r="O94" s="253"/>
      <c r="P94" s="253"/>
      <c r="Q94" s="253"/>
      <c r="R94" s="253"/>
      <c r="S94" s="253"/>
      <c r="T94" s="253"/>
      <c r="U94" s="253"/>
      <c r="V94" s="253"/>
      <c r="W94" s="253"/>
      <c r="X94" s="253"/>
      <c r="Y94" s="253"/>
      <c r="Z94" s="253"/>
      <c r="AA94" s="253"/>
      <c r="AB94" s="253"/>
      <c r="AC94" s="253"/>
      <c r="AD94" s="253"/>
      <c r="AE94" s="253"/>
      <c r="AF94" s="253"/>
      <c r="AG94" s="255">
        <f>100-100</f>
        <v>0</v>
      </c>
      <c r="AH94" s="253"/>
      <c r="AI94" s="253"/>
      <c r="AJ94" s="253"/>
      <c r="AK94" s="253"/>
      <c r="AL94" s="253"/>
      <c r="AM94" s="253"/>
      <c r="AN94" s="253"/>
      <c r="AO94" s="253"/>
      <c r="AP94" s="253"/>
      <c r="AQ94" s="253"/>
      <c r="AR94" s="253"/>
      <c r="AS94" s="253"/>
      <c r="AT94" s="253"/>
      <c r="AU94" s="253"/>
      <c r="AV94" s="253"/>
      <c r="AW94" s="253"/>
      <c r="AX94" s="253"/>
      <c r="AY94" s="253"/>
      <c r="AZ94" s="253"/>
      <c r="BA94" s="253"/>
      <c r="BB94" s="253"/>
      <c r="BC94" s="253"/>
      <c r="BD94" s="253"/>
      <c r="BE94" s="253"/>
      <c r="BF94" s="253"/>
      <c r="BG94" s="253"/>
      <c r="BH94" s="253"/>
      <c r="BI94" s="253"/>
      <c r="BJ94" s="253"/>
      <c r="BK94" s="253"/>
      <c r="BL94" s="253"/>
      <c r="BM94" s="253"/>
      <c r="BN94" s="253"/>
      <c r="BO94" s="253"/>
      <c r="BP94" s="253"/>
      <c r="BQ94" s="253"/>
      <c r="BR94" s="253"/>
      <c r="BS94" s="253"/>
      <c r="BT94" s="253"/>
      <c r="BU94" s="253"/>
      <c r="BV94" s="253"/>
      <c r="BW94" s="253"/>
      <c r="BX94" s="253"/>
      <c r="BY94" s="253"/>
      <c r="BZ94" s="253"/>
      <c r="CA94" s="253"/>
      <c r="CB94" s="253"/>
      <c r="CC94" s="253"/>
      <c r="CD94" s="253"/>
      <c r="CE94" s="253"/>
      <c r="CF94" s="253"/>
      <c r="CG94" s="253"/>
      <c r="CH94" s="253"/>
      <c r="CI94" s="253"/>
      <c r="CJ94" s="253"/>
      <c r="CK94" s="253"/>
      <c r="CL94" s="253"/>
      <c r="CM94" s="253"/>
      <c r="CN94" s="253"/>
      <c r="CO94" s="253"/>
      <c r="CP94" s="253"/>
      <c r="CQ94" s="253"/>
      <c r="CR94" s="253"/>
      <c r="CS94" s="253"/>
      <c r="CT94" s="253"/>
      <c r="CU94" s="253"/>
      <c r="CV94" s="253"/>
      <c r="CW94" s="253"/>
      <c r="CX94" s="253"/>
      <c r="CY94" s="253"/>
      <c r="CZ94" s="253"/>
      <c r="DA94" s="253"/>
      <c r="DB94" s="253"/>
      <c r="DC94" s="253"/>
      <c r="DD94" s="253"/>
      <c r="DE94" s="253"/>
      <c r="DF94" s="253"/>
      <c r="DG94" s="253"/>
      <c r="DH94" s="253"/>
      <c r="DI94" s="253"/>
      <c r="DJ94" s="253"/>
      <c r="DK94" s="253"/>
      <c r="DL94" s="253"/>
      <c r="DM94" s="253"/>
      <c r="DN94" s="253"/>
      <c r="DO94" s="253"/>
      <c r="DP94" s="253"/>
      <c r="DQ94" s="253"/>
      <c r="DR94" s="253"/>
      <c r="DS94" s="253"/>
      <c r="DT94" s="253"/>
      <c r="DU94" s="253"/>
      <c r="DV94" s="253"/>
      <c r="DW94" s="253"/>
      <c r="DX94" s="253"/>
      <c r="DY94" s="253"/>
      <c r="DZ94" s="253"/>
      <c r="EA94" s="253"/>
      <c r="EB94" s="253"/>
      <c r="EC94" s="253"/>
      <c r="ED94" s="253"/>
      <c r="EE94" s="253"/>
      <c r="EF94" s="253"/>
      <c r="EG94" s="253"/>
      <c r="EH94" s="253"/>
      <c r="EI94" s="253"/>
      <c r="EJ94" s="253"/>
      <c r="EK94" s="253"/>
      <c r="EL94" s="253"/>
      <c r="EM94" s="253"/>
      <c r="EN94" s="253"/>
      <c r="EO94" s="253"/>
      <c r="EP94" s="253"/>
      <c r="EQ94" s="253"/>
      <c r="ER94" s="253"/>
      <c r="ES94" s="253"/>
      <c r="ET94" s="253"/>
      <c r="EU94" s="253"/>
      <c r="EV94" s="253"/>
      <c r="EW94" s="253"/>
      <c r="EX94" s="253"/>
      <c r="EY94" s="253"/>
      <c r="EZ94" s="253"/>
      <c r="FA94" s="253"/>
      <c r="FB94" s="253"/>
      <c r="FC94" s="253"/>
      <c r="FD94" s="253"/>
      <c r="FE94" s="253"/>
      <c r="FF94" s="253"/>
      <c r="FG94" s="253"/>
      <c r="FH94" s="253"/>
      <c r="FI94" s="253"/>
      <c r="FJ94" s="253"/>
      <c r="FK94" s="253"/>
      <c r="FL94" s="256"/>
      <c r="FM94" s="257" t="s">
        <v>1145</v>
      </c>
      <c r="FN94" s="258" t="s">
        <v>389</v>
      </c>
      <c r="FO94" s="258" t="s">
        <v>448</v>
      </c>
      <c r="FP94" s="258" t="s">
        <v>449</v>
      </c>
      <c r="FQ94" s="259">
        <f t="shared" si="5"/>
        <v>0</v>
      </c>
      <c r="FR94" s="260" t="s">
        <v>433</v>
      </c>
      <c r="FS94" s="260"/>
    </row>
    <row r="95" spans="1:175">
      <c r="A95" s="251" t="s">
        <v>393</v>
      </c>
      <c r="B95" s="251" t="s">
        <v>385</v>
      </c>
      <c r="C95" s="251" t="s">
        <v>411</v>
      </c>
      <c r="D95" s="251" t="s">
        <v>1</v>
      </c>
      <c r="E95" s="252" t="s">
        <v>447</v>
      </c>
      <c r="F95" s="251" t="s">
        <v>388</v>
      </c>
      <c r="G95" s="251" t="s">
        <v>1176</v>
      </c>
      <c r="H95" s="253"/>
      <c r="I95" s="253"/>
      <c r="J95" s="253"/>
      <c r="K95" s="253"/>
      <c r="L95" s="253"/>
      <c r="M95" s="253"/>
      <c r="N95" s="253"/>
      <c r="O95" s="253"/>
      <c r="P95" s="253"/>
      <c r="Q95" s="253"/>
      <c r="R95" s="253"/>
      <c r="S95" s="253"/>
      <c r="T95" s="253"/>
      <c r="U95" s="253"/>
      <c r="V95" s="253"/>
      <c r="W95" s="253"/>
      <c r="X95" s="253"/>
      <c r="Y95" s="253"/>
      <c r="Z95" s="253"/>
      <c r="AA95" s="253"/>
      <c r="AB95" s="253"/>
      <c r="AC95" s="255">
        <f>100-100</f>
        <v>0</v>
      </c>
      <c r="AD95" s="253"/>
      <c r="AE95" s="253"/>
      <c r="AF95" s="253"/>
      <c r="AG95" s="253"/>
      <c r="AH95" s="253"/>
      <c r="AI95" s="253"/>
      <c r="AJ95" s="253"/>
      <c r="AK95" s="253"/>
      <c r="AL95" s="253"/>
      <c r="AM95" s="253"/>
      <c r="AN95" s="253"/>
      <c r="AO95" s="253"/>
      <c r="AP95" s="253"/>
      <c r="AQ95" s="253"/>
      <c r="AR95" s="253"/>
      <c r="AS95" s="253"/>
      <c r="AT95" s="255">
        <f>100-100</f>
        <v>0</v>
      </c>
      <c r="AU95" s="253"/>
      <c r="AV95" s="253"/>
      <c r="AW95" s="253"/>
      <c r="AX95" s="253"/>
      <c r="AY95" s="253"/>
      <c r="AZ95" s="253"/>
      <c r="BA95" s="253"/>
      <c r="BB95" s="253"/>
      <c r="BC95" s="253"/>
      <c r="BD95" s="253"/>
      <c r="BE95" s="253"/>
      <c r="BF95" s="253"/>
      <c r="BG95" s="253"/>
      <c r="BH95" s="253"/>
      <c r="BI95" s="253"/>
      <c r="BJ95" s="253"/>
      <c r="BK95" s="253"/>
      <c r="BL95" s="253"/>
      <c r="BM95" s="253"/>
      <c r="BN95" s="253"/>
      <c r="BO95" s="253"/>
      <c r="BP95" s="253"/>
      <c r="BQ95" s="253"/>
      <c r="BR95" s="253"/>
      <c r="BS95" s="253"/>
      <c r="BT95" s="253"/>
      <c r="BU95" s="253"/>
      <c r="BV95" s="253"/>
      <c r="BW95" s="253"/>
      <c r="BX95" s="253"/>
      <c r="BY95" s="253"/>
      <c r="BZ95" s="253"/>
      <c r="CA95" s="253"/>
      <c r="CB95" s="253"/>
      <c r="CC95" s="253"/>
      <c r="CD95" s="253"/>
      <c r="CE95" s="253"/>
      <c r="CF95" s="253"/>
      <c r="CG95" s="253"/>
      <c r="CH95" s="253"/>
      <c r="CI95" s="253"/>
      <c r="CJ95" s="253"/>
      <c r="CK95" s="253"/>
      <c r="CL95" s="253"/>
      <c r="CM95" s="253"/>
      <c r="CN95" s="253"/>
      <c r="CO95" s="253"/>
      <c r="CP95" s="253"/>
      <c r="CQ95" s="253"/>
      <c r="CR95" s="253"/>
      <c r="CS95" s="253"/>
      <c r="CT95" s="253"/>
      <c r="CU95" s="253"/>
      <c r="CV95" s="253"/>
      <c r="CW95" s="253"/>
      <c r="CX95" s="253"/>
      <c r="CY95" s="253"/>
      <c r="CZ95" s="253"/>
      <c r="DA95" s="253"/>
      <c r="DB95" s="253"/>
      <c r="DC95" s="253"/>
      <c r="DD95" s="253"/>
      <c r="DE95" s="253"/>
      <c r="DF95" s="253"/>
      <c r="DG95" s="253"/>
      <c r="DH95" s="253"/>
      <c r="DI95" s="253"/>
      <c r="DJ95" s="253"/>
      <c r="DK95" s="253"/>
      <c r="DL95" s="253"/>
      <c r="DM95" s="253"/>
      <c r="DN95" s="253"/>
      <c r="DO95" s="253"/>
      <c r="DP95" s="253"/>
      <c r="DQ95" s="253"/>
      <c r="DR95" s="253"/>
      <c r="DS95" s="253"/>
      <c r="DT95" s="253"/>
      <c r="DU95" s="253"/>
      <c r="DV95" s="253"/>
      <c r="DW95" s="253"/>
      <c r="DX95" s="253"/>
      <c r="DY95" s="253"/>
      <c r="DZ95" s="253"/>
      <c r="EA95" s="253"/>
      <c r="EB95" s="253"/>
      <c r="EC95" s="253"/>
      <c r="ED95" s="253"/>
      <c r="EE95" s="253"/>
      <c r="EF95" s="253"/>
      <c r="EG95" s="253"/>
      <c r="EH95" s="253"/>
      <c r="EI95" s="253"/>
      <c r="EJ95" s="253"/>
      <c r="EK95" s="253"/>
      <c r="EL95" s="253"/>
      <c r="EM95" s="253"/>
      <c r="EN95" s="253"/>
      <c r="EO95" s="253"/>
      <c r="EP95" s="253"/>
      <c r="EQ95" s="253"/>
      <c r="ER95" s="253"/>
      <c r="ES95" s="253"/>
      <c r="ET95" s="253"/>
      <c r="EU95" s="253"/>
      <c r="EV95" s="253"/>
      <c r="EW95" s="253"/>
      <c r="EX95" s="253"/>
      <c r="EY95" s="253"/>
      <c r="EZ95" s="253"/>
      <c r="FA95" s="253"/>
      <c r="FB95" s="253"/>
      <c r="FC95" s="253"/>
      <c r="FD95" s="253"/>
      <c r="FE95" s="253"/>
      <c r="FF95" s="253"/>
      <c r="FG95" s="253"/>
      <c r="FH95" s="253"/>
      <c r="FI95" s="253"/>
      <c r="FJ95" s="253"/>
      <c r="FK95" s="253"/>
      <c r="FL95" s="256"/>
      <c r="FM95" s="257" t="s">
        <v>1145</v>
      </c>
      <c r="FN95" s="258" t="s">
        <v>389</v>
      </c>
      <c r="FO95" s="258" t="s">
        <v>448</v>
      </c>
      <c r="FP95" s="258" t="s">
        <v>449</v>
      </c>
      <c r="FQ95" s="259">
        <f t="shared" si="5"/>
        <v>0</v>
      </c>
      <c r="FR95" s="260" t="s">
        <v>433</v>
      </c>
      <c r="FS95" s="260"/>
    </row>
    <row r="96" spans="1:175">
      <c r="A96" s="251" t="s">
        <v>417</v>
      </c>
      <c r="B96" s="251" t="s">
        <v>385</v>
      </c>
      <c r="C96" s="251" t="s">
        <v>411</v>
      </c>
      <c r="D96" s="251" t="s">
        <v>291</v>
      </c>
      <c r="E96" s="252" t="s">
        <v>450</v>
      </c>
      <c r="F96" s="251" t="s">
        <v>388</v>
      </c>
      <c r="G96" s="251" t="s">
        <v>1177</v>
      </c>
      <c r="H96" s="253"/>
      <c r="I96" s="253"/>
      <c r="J96" s="253"/>
      <c r="K96" s="253"/>
      <c r="L96" s="253"/>
      <c r="M96" s="253"/>
      <c r="N96" s="253"/>
      <c r="O96" s="253"/>
      <c r="P96" s="253"/>
      <c r="Q96" s="253"/>
      <c r="R96" s="253"/>
      <c r="S96" s="253"/>
      <c r="T96" s="253"/>
      <c r="U96" s="253"/>
      <c r="V96" s="253"/>
      <c r="W96" s="253"/>
      <c r="X96" s="253"/>
      <c r="Y96" s="253"/>
      <c r="Z96" s="253"/>
      <c r="AA96" s="253"/>
      <c r="AB96" s="253"/>
      <c r="AC96" s="253"/>
      <c r="AD96" s="255">
        <f>100-100</f>
        <v>0</v>
      </c>
      <c r="AE96" s="253"/>
      <c r="AF96" s="253"/>
      <c r="AG96" s="253"/>
      <c r="AH96" s="253"/>
      <c r="AI96" s="253"/>
      <c r="AJ96" s="253"/>
      <c r="AK96" s="253"/>
      <c r="AL96" s="253"/>
      <c r="AM96" s="253"/>
      <c r="AN96" s="253"/>
      <c r="AO96" s="253"/>
      <c r="AP96" s="253"/>
      <c r="AQ96" s="253"/>
      <c r="AR96" s="253"/>
      <c r="AS96" s="253"/>
      <c r="AT96" s="253"/>
      <c r="AU96" s="253"/>
      <c r="AV96" s="253"/>
      <c r="AW96" s="253"/>
      <c r="AX96" s="253"/>
      <c r="AY96" s="253"/>
      <c r="AZ96" s="253"/>
      <c r="BA96" s="253"/>
      <c r="BB96" s="253"/>
      <c r="BC96" s="253"/>
      <c r="BD96" s="253"/>
      <c r="BE96" s="253"/>
      <c r="BF96" s="253"/>
      <c r="BG96" s="253"/>
      <c r="BH96" s="253"/>
      <c r="BI96" s="253"/>
      <c r="BJ96" s="253"/>
      <c r="BK96" s="253"/>
      <c r="BL96" s="253"/>
      <c r="BM96" s="253"/>
      <c r="BN96" s="253"/>
      <c r="BO96" s="253"/>
      <c r="BP96" s="253"/>
      <c r="BQ96" s="253"/>
      <c r="BR96" s="253"/>
      <c r="BS96" s="253"/>
      <c r="BT96" s="253"/>
      <c r="BU96" s="253"/>
      <c r="BV96" s="253"/>
      <c r="BW96" s="253"/>
      <c r="BX96" s="253"/>
      <c r="BY96" s="253"/>
      <c r="BZ96" s="253"/>
      <c r="CA96" s="253"/>
      <c r="CB96" s="253"/>
      <c r="CC96" s="253"/>
      <c r="CD96" s="253"/>
      <c r="CE96" s="253"/>
      <c r="CF96" s="253"/>
      <c r="CG96" s="253"/>
      <c r="CH96" s="253"/>
      <c r="CI96" s="253"/>
      <c r="CJ96" s="253"/>
      <c r="CK96" s="253"/>
      <c r="CL96" s="253"/>
      <c r="CM96" s="253"/>
      <c r="CN96" s="253"/>
      <c r="CO96" s="253"/>
      <c r="CP96" s="253"/>
      <c r="CQ96" s="253"/>
      <c r="CR96" s="253"/>
      <c r="CS96" s="253"/>
      <c r="CT96" s="253"/>
      <c r="CU96" s="253"/>
      <c r="CV96" s="253"/>
      <c r="CW96" s="253"/>
      <c r="CX96" s="253"/>
      <c r="CY96" s="253"/>
      <c r="CZ96" s="253"/>
      <c r="DA96" s="253"/>
      <c r="DB96" s="253"/>
      <c r="DC96" s="253"/>
      <c r="DD96" s="253"/>
      <c r="DE96" s="253"/>
      <c r="DF96" s="253"/>
      <c r="DG96" s="253"/>
      <c r="DH96" s="253"/>
      <c r="DI96" s="253"/>
      <c r="DJ96" s="253"/>
      <c r="DK96" s="253"/>
      <c r="DL96" s="253"/>
      <c r="DM96" s="253"/>
      <c r="DN96" s="253"/>
      <c r="DO96" s="253"/>
      <c r="DP96" s="253"/>
      <c r="DQ96" s="253"/>
      <c r="DR96" s="253"/>
      <c r="DS96" s="253"/>
      <c r="DT96" s="253"/>
      <c r="DU96" s="253"/>
      <c r="DV96" s="253"/>
      <c r="DW96" s="253"/>
      <c r="DX96" s="253"/>
      <c r="DY96" s="253"/>
      <c r="DZ96" s="253"/>
      <c r="EA96" s="253"/>
      <c r="EB96" s="253"/>
      <c r="EC96" s="253"/>
      <c r="ED96" s="253"/>
      <c r="EE96" s="253"/>
      <c r="EF96" s="253"/>
      <c r="EG96" s="253"/>
      <c r="EH96" s="253"/>
      <c r="EI96" s="253"/>
      <c r="EJ96" s="253"/>
      <c r="EK96" s="253"/>
      <c r="EL96" s="253"/>
      <c r="EM96" s="253"/>
      <c r="EN96" s="253"/>
      <c r="EO96" s="253"/>
      <c r="EP96" s="253"/>
      <c r="EQ96" s="253"/>
      <c r="ER96" s="253"/>
      <c r="ES96" s="253"/>
      <c r="ET96" s="253"/>
      <c r="EU96" s="253"/>
      <c r="EV96" s="253"/>
      <c r="EW96" s="253"/>
      <c r="EX96" s="253"/>
      <c r="EY96" s="253"/>
      <c r="EZ96" s="253"/>
      <c r="FA96" s="253"/>
      <c r="FB96" s="253"/>
      <c r="FC96" s="253"/>
      <c r="FD96" s="253"/>
      <c r="FE96" s="253"/>
      <c r="FF96" s="253"/>
      <c r="FG96" s="253"/>
      <c r="FH96" s="253"/>
      <c r="FI96" s="253"/>
      <c r="FJ96" s="253"/>
      <c r="FK96" s="253"/>
      <c r="FL96" s="256"/>
      <c r="FM96" s="257" t="s">
        <v>1145</v>
      </c>
      <c r="FN96" s="258" t="s">
        <v>389</v>
      </c>
      <c r="FO96" s="258" t="s">
        <v>451</v>
      </c>
      <c r="FP96" s="258" t="s">
        <v>432</v>
      </c>
      <c r="FQ96" s="259">
        <f t="shared" si="5"/>
        <v>0</v>
      </c>
      <c r="FR96" s="260" t="s">
        <v>433</v>
      </c>
      <c r="FS96" s="260"/>
    </row>
    <row r="97" spans="1:179">
      <c r="A97" s="251" t="s">
        <v>417</v>
      </c>
      <c r="B97" s="251" t="s">
        <v>385</v>
      </c>
      <c r="C97" s="251" t="s">
        <v>411</v>
      </c>
      <c r="D97" s="251" t="s">
        <v>1</v>
      </c>
      <c r="E97" s="252" t="s">
        <v>450</v>
      </c>
      <c r="F97" s="251" t="s">
        <v>388</v>
      </c>
      <c r="G97" s="251" t="s">
        <v>1177</v>
      </c>
      <c r="H97" s="253"/>
      <c r="I97" s="253"/>
      <c r="J97" s="253"/>
      <c r="K97" s="253"/>
      <c r="L97" s="253"/>
      <c r="M97" s="253"/>
      <c r="N97" s="253"/>
      <c r="O97" s="253"/>
      <c r="P97" s="253"/>
      <c r="Q97" s="253"/>
      <c r="R97" s="253"/>
      <c r="S97" s="253"/>
      <c r="T97" s="253"/>
      <c r="U97" s="253"/>
      <c r="V97" s="253"/>
      <c r="W97" s="253"/>
      <c r="X97" s="255">
        <f>100-100</f>
        <v>0</v>
      </c>
      <c r="Y97" s="253"/>
      <c r="Z97" s="253"/>
      <c r="AA97" s="255">
        <f>100-100</f>
        <v>0</v>
      </c>
      <c r="AB97" s="253"/>
      <c r="AC97" s="253"/>
      <c r="AD97" s="253"/>
      <c r="AE97" s="253"/>
      <c r="AF97" s="253"/>
      <c r="AG97" s="253"/>
      <c r="AH97" s="253"/>
      <c r="AI97" s="253"/>
      <c r="AJ97" s="253"/>
      <c r="AK97" s="253"/>
      <c r="AL97" s="253"/>
      <c r="AM97" s="253"/>
      <c r="AN97" s="253"/>
      <c r="AO97" s="253"/>
      <c r="AP97" s="253"/>
      <c r="AQ97" s="253"/>
      <c r="AR97" s="253"/>
      <c r="AS97" s="253"/>
      <c r="AT97" s="253"/>
      <c r="AU97" s="253"/>
      <c r="AV97" s="253"/>
      <c r="AW97" s="253"/>
      <c r="AX97" s="253"/>
      <c r="AY97" s="253"/>
      <c r="AZ97" s="253"/>
      <c r="BA97" s="253"/>
      <c r="BB97" s="253"/>
      <c r="BC97" s="253"/>
      <c r="BD97" s="253"/>
      <c r="BE97" s="253"/>
      <c r="BF97" s="253"/>
      <c r="BG97" s="253"/>
      <c r="BH97" s="253"/>
      <c r="BI97" s="253"/>
      <c r="BJ97" s="253"/>
      <c r="BK97" s="253"/>
      <c r="BL97" s="253"/>
      <c r="BM97" s="253"/>
      <c r="BN97" s="253"/>
      <c r="BO97" s="253"/>
      <c r="BP97" s="253"/>
      <c r="BQ97" s="253"/>
      <c r="BR97" s="253"/>
      <c r="BS97" s="253"/>
      <c r="BT97" s="253"/>
      <c r="BU97" s="253"/>
      <c r="BV97" s="253"/>
      <c r="BW97" s="253"/>
      <c r="BX97" s="253"/>
      <c r="BY97" s="253"/>
      <c r="BZ97" s="253"/>
      <c r="CA97" s="253"/>
      <c r="CB97" s="253"/>
      <c r="CC97" s="253"/>
      <c r="CD97" s="253"/>
      <c r="CE97" s="253"/>
      <c r="CF97" s="253"/>
      <c r="CG97" s="253"/>
      <c r="CH97" s="253"/>
      <c r="CI97" s="253"/>
      <c r="CJ97" s="253"/>
      <c r="CK97" s="253"/>
      <c r="CL97" s="253"/>
      <c r="CM97" s="253"/>
      <c r="CN97" s="253"/>
      <c r="CO97" s="253"/>
      <c r="CP97" s="253"/>
      <c r="CQ97" s="253"/>
      <c r="CR97" s="253"/>
      <c r="CS97" s="253"/>
      <c r="CT97" s="253"/>
      <c r="CU97" s="253"/>
      <c r="CV97" s="253"/>
      <c r="CW97" s="253"/>
      <c r="CX97" s="253"/>
      <c r="CY97" s="253"/>
      <c r="CZ97" s="253"/>
      <c r="DA97" s="253"/>
      <c r="DB97" s="253"/>
      <c r="DC97" s="253"/>
      <c r="DD97" s="253"/>
      <c r="DE97" s="253"/>
      <c r="DF97" s="253"/>
      <c r="DG97" s="253"/>
      <c r="DH97" s="253"/>
      <c r="DI97" s="253"/>
      <c r="DJ97" s="253"/>
      <c r="DK97" s="253"/>
      <c r="DL97" s="253"/>
      <c r="DM97" s="253"/>
      <c r="DN97" s="253"/>
      <c r="DO97" s="253"/>
      <c r="DP97" s="253"/>
      <c r="DQ97" s="253"/>
      <c r="DR97" s="253"/>
      <c r="DS97" s="253"/>
      <c r="DT97" s="253"/>
      <c r="DU97" s="253"/>
      <c r="DV97" s="253"/>
      <c r="DW97" s="253"/>
      <c r="DX97" s="253"/>
      <c r="DY97" s="253"/>
      <c r="DZ97" s="253"/>
      <c r="EA97" s="253"/>
      <c r="EB97" s="253"/>
      <c r="EC97" s="253"/>
      <c r="ED97" s="253"/>
      <c r="EE97" s="253"/>
      <c r="EF97" s="253"/>
      <c r="EG97" s="253"/>
      <c r="EH97" s="253"/>
      <c r="EI97" s="253"/>
      <c r="EJ97" s="253"/>
      <c r="EK97" s="253"/>
      <c r="EL97" s="253"/>
      <c r="EM97" s="253"/>
      <c r="EN97" s="253"/>
      <c r="EO97" s="253"/>
      <c r="EP97" s="253"/>
      <c r="EQ97" s="253"/>
      <c r="ER97" s="253"/>
      <c r="ES97" s="253"/>
      <c r="ET97" s="253"/>
      <c r="EU97" s="253"/>
      <c r="EV97" s="253"/>
      <c r="EW97" s="253"/>
      <c r="EX97" s="253"/>
      <c r="EY97" s="253"/>
      <c r="EZ97" s="253"/>
      <c r="FA97" s="253"/>
      <c r="FB97" s="253"/>
      <c r="FC97" s="253"/>
      <c r="FD97" s="253"/>
      <c r="FE97" s="253"/>
      <c r="FF97" s="253"/>
      <c r="FG97" s="253"/>
      <c r="FH97" s="253"/>
      <c r="FI97" s="253"/>
      <c r="FJ97" s="253"/>
      <c r="FK97" s="253"/>
      <c r="FL97" s="256"/>
      <c r="FM97" s="257" t="s">
        <v>1145</v>
      </c>
      <c r="FN97" s="258" t="s">
        <v>389</v>
      </c>
      <c r="FO97" s="258" t="s">
        <v>451</v>
      </c>
      <c r="FP97" s="258" t="s">
        <v>432</v>
      </c>
      <c r="FQ97" s="259">
        <f t="shared" si="5"/>
        <v>0</v>
      </c>
      <c r="FR97" s="260" t="s">
        <v>433</v>
      </c>
      <c r="FS97" s="260"/>
    </row>
    <row r="98" spans="1:179" s="353" customFormat="1">
      <c r="A98" s="326"/>
      <c r="B98" s="326"/>
      <c r="C98" s="326"/>
      <c r="D98" s="326" t="s">
        <v>773</v>
      </c>
      <c r="E98" s="327" t="s">
        <v>933</v>
      </c>
      <c r="F98" s="326"/>
      <c r="G98" s="326"/>
      <c r="H98" s="328"/>
      <c r="I98" s="328"/>
      <c r="J98" s="328"/>
      <c r="K98" s="328"/>
      <c r="L98" s="328"/>
      <c r="M98" s="328"/>
      <c r="N98" s="328"/>
      <c r="O98" s="328"/>
      <c r="P98" s="328"/>
      <c r="Q98" s="328"/>
      <c r="R98" s="328"/>
      <c r="S98" s="328"/>
      <c r="T98" s="328"/>
      <c r="U98" s="328"/>
      <c r="V98" s="328"/>
      <c r="W98" s="328"/>
      <c r="X98" s="328"/>
      <c r="Y98" s="328"/>
      <c r="Z98" s="328"/>
      <c r="AA98" s="328"/>
      <c r="AB98" s="328"/>
      <c r="AC98" s="328"/>
      <c r="AD98" s="328">
        <v>100</v>
      </c>
      <c r="AE98" s="328"/>
      <c r="AF98" s="328"/>
      <c r="AG98" s="328"/>
      <c r="AH98" s="328"/>
      <c r="AI98" s="328"/>
      <c r="AJ98" s="328"/>
      <c r="AK98" s="328"/>
      <c r="AL98" s="328">
        <v>250</v>
      </c>
      <c r="AM98" s="328"/>
      <c r="AN98" s="328"/>
      <c r="AO98" s="328"/>
      <c r="AP98" s="328"/>
      <c r="AQ98" s="328"/>
      <c r="AR98" s="328"/>
      <c r="AS98" s="328"/>
      <c r="AT98" s="328"/>
      <c r="AU98" s="328"/>
      <c r="AV98" s="328"/>
      <c r="AW98" s="328"/>
      <c r="AX98" s="328"/>
      <c r="AY98" s="328"/>
      <c r="AZ98" s="328"/>
      <c r="BA98" s="328"/>
      <c r="BB98" s="328"/>
      <c r="BC98" s="328">
        <v>800</v>
      </c>
      <c r="BD98" s="328"/>
      <c r="BE98" s="328"/>
      <c r="BF98" s="328"/>
      <c r="BG98" s="328"/>
      <c r="BH98" s="328"/>
      <c r="BI98" s="328"/>
      <c r="BJ98" s="328"/>
      <c r="BK98" s="328"/>
      <c r="BL98" s="328"/>
      <c r="BM98" s="328"/>
      <c r="BN98" s="328"/>
      <c r="BO98" s="328"/>
      <c r="BP98" s="328"/>
      <c r="BQ98" s="328"/>
      <c r="BR98" s="328"/>
      <c r="BS98" s="328"/>
      <c r="BT98" s="328"/>
      <c r="BU98" s="328"/>
      <c r="BV98" s="328"/>
      <c r="BW98" s="328"/>
      <c r="BX98" s="328"/>
      <c r="BY98" s="328"/>
      <c r="BZ98" s="328"/>
      <c r="CA98" s="328"/>
      <c r="CB98" s="328"/>
      <c r="CC98" s="328"/>
      <c r="CD98" s="328"/>
      <c r="CE98" s="328"/>
      <c r="CF98" s="328"/>
      <c r="CG98" s="328"/>
      <c r="CH98" s="328"/>
      <c r="CI98" s="328"/>
      <c r="CJ98" s="328"/>
      <c r="CK98" s="328"/>
      <c r="CL98" s="328"/>
      <c r="CM98" s="328"/>
      <c r="CN98" s="328"/>
      <c r="CO98" s="328"/>
      <c r="CP98" s="328"/>
      <c r="CQ98" s="328"/>
      <c r="CR98" s="328"/>
      <c r="CS98" s="328"/>
      <c r="CT98" s="328"/>
      <c r="CU98" s="328"/>
      <c r="CV98" s="328"/>
      <c r="CW98" s="328"/>
      <c r="CX98" s="328"/>
      <c r="CY98" s="328"/>
      <c r="CZ98" s="328"/>
      <c r="DA98" s="328"/>
      <c r="DB98" s="328"/>
      <c r="DC98" s="328"/>
      <c r="DD98" s="351"/>
      <c r="DE98" s="328"/>
      <c r="DF98" s="328"/>
      <c r="DG98" s="328"/>
      <c r="DH98" s="328"/>
      <c r="DI98" s="328"/>
      <c r="DJ98" s="328"/>
      <c r="DK98" s="328"/>
      <c r="DL98" s="328"/>
      <c r="DM98" s="328"/>
      <c r="DN98" s="328"/>
      <c r="DO98" s="328"/>
      <c r="DP98" s="328"/>
      <c r="DQ98" s="328"/>
      <c r="DR98" s="328"/>
      <c r="DS98" s="328"/>
      <c r="DT98" s="328"/>
      <c r="DU98" s="328"/>
      <c r="DV98" s="328"/>
      <c r="DW98" s="328"/>
      <c r="DX98" s="328"/>
      <c r="DY98" s="328"/>
      <c r="DZ98" s="328"/>
      <c r="EA98" s="328"/>
      <c r="EB98" s="328"/>
      <c r="EC98" s="328"/>
      <c r="ED98" s="328"/>
      <c r="EE98" s="328"/>
      <c r="EF98" s="328"/>
      <c r="EG98" s="328"/>
      <c r="EH98" s="328"/>
      <c r="EI98" s="328"/>
      <c r="EJ98" s="328"/>
      <c r="EK98" s="328"/>
      <c r="EL98" s="328"/>
      <c r="EM98" s="328"/>
      <c r="EN98" s="328"/>
      <c r="EO98" s="328"/>
      <c r="EP98" s="328"/>
      <c r="EQ98" s="328"/>
      <c r="ER98" s="328"/>
      <c r="ES98" s="328"/>
      <c r="ET98" s="328"/>
      <c r="EU98" s="328"/>
      <c r="EV98" s="328"/>
      <c r="EW98" s="328"/>
      <c r="EX98" s="328"/>
      <c r="EY98" s="328"/>
      <c r="EZ98" s="328"/>
      <c r="FA98" s="328"/>
      <c r="FB98" s="328"/>
      <c r="FC98" s="328"/>
      <c r="FD98" s="328"/>
      <c r="FE98" s="328"/>
      <c r="FF98" s="328"/>
      <c r="FG98" s="328"/>
      <c r="FH98" s="328"/>
      <c r="FI98" s="328"/>
      <c r="FJ98" s="328"/>
      <c r="FK98" s="328"/>
      <c r="FL98" s="330"/>
      <c r="FM98" s="331"/>
      <c r="FN98" s="332"/>
      <c r="FO98" s="332"/>
      <c r="FP98" s="332"/>
      <c r="FQ98" s="333">
        <f t="shared" ref="FQ98:FQ100" si="10">SUM(H98:FK98)</f>
        <v>1150</v>
      </c>
      <c r="FR98" s="334"/>
      <c r="FS98" s="334"/>
    </row>
    <row r="99" spans="1:179" s="353" customFormat="1">
      <c r="A99" s="326"/>
      <c r="B99" s="326"/>
      <c r="C99" s="326"/>
      <c r="D99" s="326" t="s">
        <v>772</v>
      </c>
      <c r="E99" s="327" t="s">
        <v>933</v>
      </c>
      <c r="F99" s="326"/>
      <c r="G99" s="326"/>
      <c r="H99" s="328"/>
      <c r="I99" s="328"/>
      <c r="J99" s="328"/>
      <c r="K99" s="328"/>
      <c r="L99" s="328"/>
      <c r="M99" s="328"/>
      <c r="N99" s="328">
        <v>180</v>
      </c>
      <c r="O99" s="328">
        <v>100</v>
      </c>
      <c r="P99" s="328"/>
      <c r="Q99" s="328"/>
      <c r="R99" s="328"/>
      <c r="S99" s="328"/>
      <c r="T99" s="328"/>
      <c r="U99" s="328">
        <v>380</v>
      </c>
      <c r="V99" s="328"/>
      <c r="W99" s="328"/>
      <c r="X99" s="328"/>
      <c r="Y99" s="328"/>
      <c r="Z99" s="328"/>
      <c r="AA99" s="328"/>
      <c r="AB99" s="328">
        <v>100</v>
      </c>
      <c r="AC99" s="328"/>
      <c r="AD99" s="328"/>
      <c r="AE99" s="328"/>
      <c r="AF99" s="328"/>
      <c r="AG99" s="328"/>
      <c r="AH99" s="328"/>
      <c r="AI99" s="328"/>
      <c r="AJ99" s="328"/>
      <c r="AK99" s="328"/>
      <c r="AL99" s="328"/>
      <c r="AM99" s="328"/>
      <c r="AN99" s="328"/>
      <c r="AO99" s="328"/>
      <c r="AP99" s="328"/>
      <c r="AQ99" s="328"/>
      <c r="AR99" s="328"/>
      <c r="AS99" s="328"/>
      <c r="AT99" s="328">
        <v>820</v>
      </c>
      <c r="AU99" s="328"/>
      <c r="AV99" s="328"/>
      <c r="AW99" s="328"/>
      <c r="AX99" s="328"/>
      <c r="AY99" s="328">
        <v>90</v>
      </c>
      <c r="AZ99" s="328"/>
      <c r="BA99" s="328"/>
      <c r="BB99" s="328"/>
      <c r="BC99" s="328"/>
      <c r="BD99" s="328"/>
      <c r="BE99" s="328"/>
      <c r="BF99" s="328"/>
      <c r="BG99" s="328"/>
      <c r="BH99" s="328"/>
      <c r="BI99" s="328"/>
      <c r="BJ99" s="328"/>
      <c r="BK99" s="328"/>
      <c r="BL99" s="328"/>
      <c r="BM99" s="328">
        <v>245</v>
      </c>
      <c r="BN99" s="328"/>
      <c r="BO99" s="328"/>
      <c r="BP99" s="328"/>
      <c r="BQ99" s="328"/>
      <c r="BR99" s="328"/>
      <c r="BS99" s="328"/>
      <c r="BT99" s="328"/>
      <c r="BU99" s="328"/>
      <c r="BV99" s="328"/>
      <c r="BW99" s="328"/>
      <c r="BX99" s="328"/>
      <c r="BY99" s="328">
        <v>220</v>
      </c>
      <c r="BZ99" s="328"/>
      <c r="CA99" s="328"/>
      <c r="CB99" s="328">
        <v>225</v>
      </c>
      <c r="CC99" s="328">
        <v>80</v>
      </c>
      <c r="CD99" s="328"/>
      <c r="CE99" s="328"/>
      <c r="CF99" s="328"/>
      <c r="CG99" s="328"/>
      <c r="CH99" s="328"/>
      <c r="CI99" s="328"/>
      <c r="CJ99" s="328"/>
      <c r="CK99" s="328"/>
      <c r="CL99" s="328">
        <v>10</v>
      </c>
      <c r="CM99" s="328"/>
      <c r="CN99" s="328"/>
      <c r="CO99" s="328"/>
      <c r="CP99" s="328"/>
      <c r="CQ99" s="328"/>
      <c r="CR99" s="328"/>
      <c r="CS99" s="328">
        <v>10</v>
      </c>
      <c r="CT99" s="328"/>
      <c r="CU99" s="328"/>
      <c r="CV99" s="328"/>
      <c r="CW99" s="328"/>
      <c r="CX99" s="328">
        <v>8</v>
      </c>
      <c r="CY99" s="328"/>
      <c r="CZ99" s="328">
        <v>50</v>
      </c>
      <c r="DA99" s="328"/>
      <c r="DB99" s="328"/>
      <c r="DC99" s="328">
        <v>20</v>
      </c>
      <c r="DD99" s="351"/>
      <c r="DE99" s="328"/>
      <c r="DF99" s="328"/>
      <c r="DG99" s="328"/>
      <c r="DH99" s="328"/>
      <c r="DI99" s="328">
        <v>10</v>
      </c>
      <c r="DJ99" s="328"/>
      <c r="DK99" s="328"/>
      <c r="DL99" s="328"/>
      <c r="DM99" s="328"/>
      <c r="DN99" s="328"/>
      <c r="DO99" s="328"/>
      <c r="DP99" s="328"/>
      <c r="DQ99" s="328"/>
      <c r="DR99" s="328"/>
      <c r="DS99" s="328"/>
      <c r="DT99" s="328"/>
      <c r="DU99" s="328"/>
      <c r="DV99" s="328"/>
      <c r="DW99" s="328"/>
      <c r="DX99" s="328"/>
      <c r="DY99" s="328"/>
      <c r="DZ99" s="328"/>
      <c r="EA99" s="328"/>
      <c r="EB99" s="328"/>
      <c r="EC99" s="328"/>
      <c r="ED99" s="328"/>
      <c r="EE99" s="328"/>
      <c r="EF99" s="328"/>
      <c r="EG99" s="328"/>
      <c r="EH99" s="328"/>
      <c r="EI99" s="328"/>
      <c r="EJ99" s="328"/>
      <c r="EK99" s="328"/>
      <c r="EL99" s="328"/>
      <c r="EM99" s="328"/>
      <c r="EN99" s="328"/>
      <c r="EO99" s="328"/>
      <c r="EP99" s="328"/>
      <c r="EQ99" s="328"/>
      <c r="ER99" s="328"/>
      <c r="ES99" s="328"/>
      <c r="ET99" s="328"/>
      <c r="EU99" s="328"/>
      <c r="EV99" s="328"/>
      <c r="EW99" s="328"/>
      <c r="EX99" s="328"/>
      <c r="EY99" s="328"/>
      <c r="EZ99" s="328"/>
      <c r="FA99" s="328"/>
      <c r="FB99" s="328"/>
      <c r="FC99" s="328"/>
      <c r="FD99" s="328"/>
      <c r="FE99" s="328"/>
      <c r="FF99" s="328"/>
      <c r="FG99" s="328"/>
      <c r="FH99" s="328"/>
      <c r="FI99" s="328"/>
      <c r="FJ99" s="328"/>
      <c r="FK99" s="328"/>
      <c r="FL99" s="330"/>
      <c r="FM99" s="331"/>
      <c r="FN99" s="332"/>
      <c r="FO99" s="332"/>
      <c r="FP99" s="332"/>
      <c r="FQ99" s="333">
        <f t="shared" si="10"/>
        <v>2548</v>
      </c>
      <c r="FR99" s="334"/>
      <c r="FS99" s="334"/>
    </row>
    <row r="100" spans="1:179" s="363" customFormat="1">
      <c r="A100" s="354"/>
      <c r="B100" s="354"/>
      <c r="C100" s="354"/>
      <c r="D100" s="354" t="s">
        <v>777</v>
      </c>
      <c r="E100" s="355" t="s">
        <v>933</v>
      </c>
      <c r="F100" s="354"/>
      <c r="G100" s="354"/>
      <c r="H100" s="356"/>
      <c r="I100" s="356"/>
      <c r="J100" s="356"/>
      <c r="K100" s="356"/>
      <c r="L100" s="356"/>
      <c r="M100" s="356"/>
      <c r="N100" s="356"/>
      <c r="O100" s="356"/>
      <c r="P100" s="356"/>
      <c r="Q100" s="356"/>
      <c r="R100" s="356"/>
      <c r="S100" s="356"/>
      <c r="T100" s="356"/>
      <c r="U100" s="356"/>
      <c r="V100" s="356"/>
      <c r="W100" s="356"/>
      <c r="X100" s="356"/>
      <c r="Y100" s="356"/>
      <c r="Z100" s="356"/>
      <c r="AA100" s="356"/>
      <c r="AB100" s="356"/>
      <c r="AC100" s="356"/>
      <c r="AD100" s="356"/>
      <c r="AE100" s="356"/>
      <c r="AF100" s="356"/>
      <c r="AG100" s="356"/>
      <c r="AH100" s="356"/>
      <c r="AI100" s="356"/>
      <c r="AJ100" s="356"/>
      <c r="AK100" s="356"/>
      <c r="AL100" s="356"/>
      <c r="AM100" s="356"/>
      <c r="AN100" s="356"/>
      <c r="AO100" s="356"/>
      <c r="AP100" s="356"/>
      <c r="AQ100" s="356"/>
      <c r="AR100" s="356"/>
      <c r="AS100" s="356"/>
      <c r="AT100" s="356"/>
      <c r="AU100" s="356"/>
      <c r="AV100" s="356"/>
      <c r="AW100" s="356"/>
      <c r="AX100" s="356"/>
      <c r="AY100" s="356"/>
      <c r="AZ100" s="356"/>
      <c r="BA100" s="356"/>
      <c r="BB100" s="356"/>
      <c r="BC100" s="356"/>
      <c r="BD100" s="356"/>
      <c r="BE100" s="356"/>
      <c r="BF100" s="356"/>
      <c r="BG100" s="356"/>
      <c r="BH100" s="356"/>
      <c r="BI100" s="356"/>
      <c r="BJ100" s="356"/>
      <c r="BK100" s="356"/>
      <c r="BL100" s="356"/>
      <c r="BM100" s="356"/>
      <c r="BN100" s="356"/>
      <c r="BO100" s="356"/>
      <c r="BP100" s="356"/>
      <c r="BQ100" s="356"/>
      <c r="BR100" s="356"/>
      <c r="BS100" s="356"/>
      <c r="BT100" s="356"/>
      <c r="BU100" s="356"/>
      <c r="BV100" s="356"/>
      <c r="BW100" s="356"/>
      <c r="BX100" s="356"/>
      <c r="BY100" s="356"/>
      <c r="BZ100" s="356"/>
      <c r="CA100" s="356"/>
      <c r="CB100" s="356"/>
      <c r="CC100" s="356"/>
      <c r="CD100" s="356"/>
      <c r="CE100" s="356"/>
      <c r="CF100" s="356"/>
      <c r="CG100" s="356"/>
      <c r="CH100" s="356"/>
      <c r="CI100" s="356"/>
      <c r="CJ100" s="356"/>
      <c r="CK100" s="356"/>
      <c r="CL100" s="356"/>
      <c r="CM100" s="356"/>
      <c r="CN100" s="356"/>
      <c r="CO100" s="356"/>
      <c r="CP100" s="356"/>
      <c r="CQ100" s="356"/>
      <c r="CR100" s="356"/>
      <c r="CS100" s="356"/>
      <c r="CT100" s="356"/>
      <c r="CU100" s="356"/>
      <c r="CV100" s="356"/>
      <c r="CW100" s="356"/>
      <c r="CX100" s="356"/>
      <c r="CY100" s="356"/>
      <c r="CZ100" s="356"/>
      <c r="DA100" s="356"/>
      <c r="DB100" s="356"/>
      <c r="DC100" s="356"/>
      <c r="DD100" s="357">
        <v>12</v>
      </c>
      <c r="DE100" s="356"/>
      <c r="DF100" s="356"/>
      <c r="DG100" s="356"/>
      <c r="DH100" s="356"/>
      <c r="DI100" s="356"/>
      <c r="DJ100" s="356"/>
      <c r="DK100" s="356"/>
      <c r="DL100" s="356"/>
      <c r="DM100" s="356"/>
      <c r="DN100" s="356"/>
      <c r="DO100" s="356"/>
      <c r="DP100" s="356"/>
      <c r="DQ100" s="356"/>
      <c r="DR100" s="356"/>
      <c r="DS100" s="356"/>
      <c r="DT100" s="356"/>
      <c r="DU100" s="356"/>
      <c r="DV100" s="356"/>
      <c r="DW100" s="356"/>
      <c r="DX100" s="356"/>
      <c r="DY100" s="356"/>
      <c r="DZ100" s="356"/>
      <c r="EA100" s="356"/>
      <c r="EB100" s="356"/>
      <c r="EC100" s="356"/>
      <c r="ED100" s="356"/>
      <c r="EE100" s="356"/>
      <c r="EF100" s="356"/>
      <c r="EG100" s="356"/>
      <c r="EH100" s="356"/>
      <c r="EI100" s="356"/>
      <c r="EJ100" s="356"/>
      <c r="EK100" s="356"/>
      <c r="EL100" s="356"/>
      <c r="EM100" s="356"/>
      <c r="EN100" s="356"/>
      <c r="EO100" s="356"/>
      <c r="EP100" s="356"/>
      <c r="EQ100" s="356"/>
      <c r="ER100" s="356"/>
      <c r="ES100" s="356"/>
      <c r="ET100" s="356"/>
      <c r="EU100" s="356"/>
      <c r="EV100" s="356"/>
      <c r="EW100" s="356"/>
      <c r="EX100" s="356"/>
      <c r="EY100" s="356"/>
      <c r="EZ100" s="356"/>
      <c r="FA100" s="356"/>
      <c r="FB100" s="356"/>
      <c r="FC100" s="356"/>
      <c r="FD100" s="356"/>
      <c r="FE100" s="356"/>
      <c r="FF100" s="356"/>
      <c r="FG100" s="356"/>
      <c r="FH100" s="356"/>
      <c r="FI100" s="356"/>
      <c r="FJ100" s="356"/>
      <c r="FK100" s="356"/>
      <c r="FL100" s="358"/>
      <c r="FM100" s="359"/>
      <c r="FN100" s="360"/>
      <c r="FO100" s="360"/>
      <c r="FP100" s="360"/>
      <c r="FQ100" s="361">
        <f t="shared" si="10"/>
        <v>12</v>
      </c>
      <c r="FR100" s="362"/>
      <c r="FS100" s="362"/>
    </row>
    <row r="101" spans="1:179" s="222" customFormat="1">
      <c r="A101" s="309"/>
      <c r="B101" s="310"/>
      <c r="C101" s="310"/>
      <c r="D101" s="310"/>
      <c r="E101" s="311" t="s">
        <v>994</v>
      </c>
      <c r="F101" s="311"/>
      <c r="G101" s="312"/>
      <c r="H101" s="313">
        <f>SUM(H7:H100)</f>
        <v>140</v>
      </c>
      <c r="I101" s="313">
        <f t="shared" ref="I101:BT101" si="11">SUM(I7:I100)</f>
        <v>0</v>
      </c>
      <c r="J101" s="313">
        <f t="shared" si="11"/>
        <v>0</v>
      </c>
      <c r="K101" s="313">
        <f t="shared" si="11"/>
        <v>0</v>
      </c>
      <c r="L101" s="313">
        <f t="shared" si="11"/>
        <v>1320</v>
      </c>
      <c r="M101" s="313">
        <f t="shared" si="11"/>
        <v>0</v>
      </c>
      <c r="N101" s="313">
        <f t="shared" si="11"/>
        <v>800</v>
      </c>
      <c r="O101" s="313">
        <f t="shared" si="11"/>
        <v>340</v>
      </c>
      <c r="P101" s="313">
        <f t="shared" si="11"/>
        <v>0</v>
      </c>
      <c r="Q101" s="313">
        <f t="shared" si="11"/>
        <v>1</v>
      </c>
      <c r="R101" s="313">
        <f t="shared" si="11"/>
        <v>0</v>
      </c>
      <c r="S101" s="313">
        <f t="shared" si="11"/>
        <v>0</v>
      </c>
      <c r="T101" s="313">
        <f t="shared" si="11"/>
        <v>0</v>
      </c>
      <c r="U101" s="313">
        <f t="shared" si="11"/>
        <v>1380</v>
      </c>
      <c r="V101" s="313">
        <f t="shared" si="11"/>
        <v>0</v>
      </c>
      <c r="W101" s="313">
        <f t="shared" si="11"/>
        <v>0</v>
      </c>
      <c r="X101" s="313">
        <f t="shared" si="11"/>
        <v>20</v>
      </c>
      <c r="Y101" s="313">
        <f t="shared" si="11"/>
        <v>0</v>
      </c>
      <c r="Z101" s="313">
        <f t="shared" si="11"/>
        <v>0</v>
      </c>
      <c r="AA101" s="313">
        <f t="shared" si="11"/>
        <v>0</v>
      </c>
      <c r="AB101" s="313">
        <f t="shared" si="11"/>
        <v>340</v>
      </c>
      <c r="AC101" s="313">
        <f t="shared" si="11"/>
        <v>0</v>
      </c>
      <c r="AD101" s="313">
        <f t="shared" si="11"/>
        <v>300</v>
      </c>
      <c r="AE101" s="313">
        <f t="shared" si="11"/>
        <v>0</v>
      </c>
      <c r="AF101" s="313">
        <f t="shared" si="11"/>
        <v>0</v>
      </c>
      <c r="AG101" s="313">
        <f t="shared" si="11"/>
        <v>10</v>
      </c>
      <c r="AH101" s="313">
        <f t="shared" si="11"/>
        <v>0</v>
      </c>
      <c r="AI101" s="313">
        <f t="shared" si="11"/>
        <v>0</v>
      </c>
      <c r="AJ101" s="313">
        <f t="shared" si="11"/>
        <v>0</v>
      </c>
      <c r="AK101" s="313">
        <f t="shared" si="11"/>
        <v>1</v>
      </c>
      <c r="AL101" s="313">
        <f t="shared" si="11"/>
        <v>730</v>
      </c>
      <c r="AM101" s="313">
        <f t="shared" si="11"/>
        <v>0</v>
      </c>
      <c r="AN101" s="313">
        <f t="shared" si="11"/>
        <v>0</v>
      </c>
      <c r="AO101" s="313">
        <f t="shared" si="11"/>
        <v>0</v>
      </c>
      <c r="AP101" s="313">
        <f t="shared" si="11"/>
        <v>0</v>
      </c>
      <c r="AQ101" s="313">
        <f t="shared" si="11"/>
        <v>0</v>
      </c>
      <c r="AR101" s="313">
        <f t="shared" si="11"/>
        <v>40</v>
      </c>
      <c r="AS101" s="313">
        <f t="shared" si="11"/>
        <v>0</v>
      </c>
      <c r="AT101" s="313">
        <f t="shared" si="11"/>
        <v>2410</v>
      </c>
      <c r="AU101" s="313">
        <f t="shared" si="11"/>
        <v>0</v>
      </c>
      <c r="AV101" s="313">
        <f t="shared" si="11"/>
        <v>0</v>
      </c>
      <c r="AW101" s="313">
        <f t="shared" si="11"/>
        <v>0</v>
      </c>
      <c r="AX101" s="313">
        <f t="shared" si="11"/>
        <v>1</v>
      </c>
      <c r="AY101" s="313">
        <f t="shared" si="11"/>
        <v>440</v>
      </c>
      <c r="AZ101" s="313">
        <f t="shared" si="11"/>
        <v>0</v>
      </c>
      <c r="BA101" s="313">
        <f t="shared" si="11"/>
        <v>0</v>
      </c>
      <c r="BB101" s="313">
        <f t="shared" si="11"/>
        <v>0</v>
      </c>
      <c r="BC101" s="313">
        <f t="shared" si="11"/>
        <v>3620</v>
      </c>
      <c r="BD101" s="313">
        <f t="shared" si="11"/>
        <v>0</v>
      </c>
      <c r="BE101" s="313">
        <f t="shared" si="11"/>
        <v>0</v>
      </c>
      <c r="BF101" s="313">
        <f t="shared" si="11"/>
        <v>0</v>
      </c>
      <c r="BG101" s="313">
        <f t="shared" si="11"/>
        <v>5</v>
      </c>
      <c r="BH101" s="313">
        <f t="shared" si="11"/>
        <v>0</v>
      </c>
      <c r="BI101" s="313">
        <f t="shared" si="11"/>
        <v>0</v>
      </c>
      <c r="BJ101" s="313">
        <f t="shared" si="11"/>
        <v>0</v>
      </c>
      <c r="BK101" s="313">
        <f t="shared" si="11"/>
        <v>13</v>
      </c>
      <c r="BL101" s="313">
        <f t="shared" si="11"/>
        <v>0</v>
      </c>
      <c r="BM101" s="313">
        <f t="shared" si="11"/>
        <v>1170</v>
      </c>
      <c r="BN101" s="313">
        <f t="shared" si="11"/>
        <v>0</v>
      </c>
      <c r="BO101" s="313">
        <f t="shared" si="11"/>
        <v>2</v>
      </c>
      <c r="BP101" s="313">
        <f t="shared" si="11"/>
        <v>3</v>
      </c>
      <c r="BQ101" s="313">
        <f t="shared" si="11"/>
        <v>4</v>
      </c>
      <c r="BR101" s="313">
        <f t="shared" si="11"/>
        <v>5</v>
      </c>
      <c r="BS101" s="313">
        <f t="shared" si="11"/>
        <v>0</v>
      </c>
      <c r="BT101" s="313">
        <f t="shared" si="11"/>
        <v>0</v>
      </c>
      <c r="BU101" s="313">
        <f t="shared" ref="BU101:EF101" si="12">SUM(BU7:BU100)</f>
        <v>0</v>
      </c>
      <c r="BV101" s="313">
        <f t="shared" si="12"/>
        <v>0</v>
      </c>
      <c r="BW101" s="313">
        <f t="shared" si="12"/>
        <v>0</v>
      </c>
      <c r="BX101" s="313">
        <f t="shared" si="12"/>
        <v>0</v>
      </c>
      <c r="BY101" s="313">
        <f t="shared" si="12"/>
        <v>1230</v>
      </c>
      <c r="BZ101" s="313">
        <f t="shared" si="12"/>
        <v>1</v>
      </c>
      <c r="CA101" s="313">
        <f t="shared" si="12"/>
        <v>0</v>
      </c>
      <c r="CB101" s="313">
        <f t="shared" si="12"/>
        <v>1270</v>
      </c>
      <c r="CC101" s="313">
        <f t="shared" si="12"/>
        <v>440</v>
      </c>
      <c r="CD101" s="313">
        <f t="shared" si="12"/>
        <v>16</v>
      </c>
      <c r="CE101" s="313">
        <f t="shared" si="12"/>
        <v>0</v>
      </c>
      <c r="CF101" s="313">
        <f t="shared" si="12"/>
        <v>0</v>
      </c>
      <c r="CG101" s="313">
        <f t="shared" si="12"/>
        <v>0</v>
      </c>
      <c r="CH101" s="313">
        <f t="shared" si="12"/>
        <v>0</v>
      </c>
      <c r="CI101" s="313">
        <f t="shared" si="12"/>
        <v>4</v>
      </c>
      <c r="CJ101" s="313">
        <f t="shared" si="12"/>
        <v>0</v>
      </c>
      <c r="CK101" s="313">
        <f t="shared" si="12"/>
        <v>0</v>
      </c>
      <c r="CL101" s="313">
        <f t="shared" si="12"/>
        <v>40</v>
      </c>
      <c r="CM101" s="313">
        <f t="shared" si="12"/>
        <v>0</v>
      </c>
      <c r="CN101" s="313">
        <f t="shared" si="12"/>
        <v>0</v>
      </c>
      <c r="CO101" s="313">
        <f t="shared" si="12"/>
        <v>0</v>
      </c>
      <c r="CP101" s="313">
        <f t="shared" si="12"/>
        <v>0</v>
      </c>
      <c r="CQ101" s="313">
        <f t="shared" si="12"/>
        <v>0</v>
      </c>
      <c r="CR101" s="313">
        <f t="shared" si="12"/>
        <v>0</v>
      </c>
      <c r="CS101" s="313">
        <f t="shared" si="12"/>
        <v>40</v>
      </c>
      <c r="CT101" s="313">
        <f t="shared" si="12"/>
        <v>0</v>
      </c>
      <c r="CU101" s="313">
        <f t="shared" si="12"/>
        <v>0</v>
      </c>
      <c r="CV101" s="313">
        <f t="shared" si="12"/>
        <v>0</v>
      </c>
      <c r="CW101" s="313">
        <f t="shared" si="12"/>
        <v>0</v>
      </c>
      <c r="CX101" s="313">
        <f t="shared" si="12"/>
        <v>50</v>
      </c>
      <c r="CY101" s="313">
        <f t="shared" si="12"/>
        <v>0</v>
      </c>
      <c r="CZ101" s="313">
        <f t="shared" si="12"/>
        <v>305</v>
      </c>
      <c r="DA101" s="313">
        <f t="shared" si="12"/>
        <v>0</v>
      </c>
      <c r="DB101" s="313">
        <f t="shared" si="12"/>
        <v>0</v>
      </c>
      <c r="DC101" s="313">
        <f t="shared" si="12"/>
        <v>80</v>
      </c>
      <c r="DD101" s="313">
        <f t="shared" si="12"/>
        <v>55</v>
      </c>
      <c r="DE101" s="313">
        <f t="shared" si="12"/>
        <v>0</v>
      </c>
      <c r="DF101" s="313">
        <f t="shared" si="12"/>
        <v>0</v>
      </c>
      <c r="DG101" s="313">
        <f t="shared" si="12"/>
        <v>0</v>
      </c>
      <c r="DH101" s="313">
        <f t="shared" si="12"/>
        <v>0</v>
      </c>
      <c r="DI101" s="313">
        <f t="shared" si="12"/>
        <v>20</v>
      </c>
      <c r="DJ101" s="313">
        <f t="shared" si="12"/>
        <v>0</v>
      </c>
      <c r="DK101" s="313">
        <f t="shared" si="12"/>
        <v>0</v>
      </c>
      <c r="DL101" s="313">
        <f t="shared" si="12"/>
        <v>0</v>
      </c>
      <c r="DM101" s="313">
        <f t="shared" si="12"/>
        <v>0</v>
      </c>
      <c r="DN101" s="313">
        <f t="shared" si="12"/>
        <v>0</v>
      </c>
      <c r="DO101" s="313">
        <f t="shared" si="12"/>
        <v>0</v>
      </c>
      <c r="DP101" s="313">
        <f t="shared" si="12"/>
        <v>0</v>
      </c>
      <c r="DQ101" s="313">
        <f t="shared" si="12"/>
        <v>150</v>
      </c>
      <c r="DR101" s="313">
        <f t="shared" si="12"/>
        <v>0</v>
      </c>
      <c r="DS101" s="313">
        <f t="shared" si="12"/>
        <v>0</v>
      </c>
      <c r="DT101" s="313">
        <f t="shared" si="12"/>
        <v>0</v>
      </c>
      <c r="DU101" s="313">
        <f t="shared" si="12"/>
        <v>0</v>
      </c>
      <c r="DV101" s="313">
        <f t="shared" si="12"/>
        <v>8</v>
      </c>
      <c r="DW101" s="313">
        <f t="shared" si="12"/>
        <v>0</v>
      </c>
      <c r="DX101" s="313">
        <f t="shared" si="12"/>
        <v>1650</v>
      </c>
      <c r="DY101" s="313">
        <f t="shared" si="12"/>
        <v>0</v>
      </c>
      <c r="DZ101" s="313">
        <f t="shared" si="12"/>
        <v>0</v>
      </c>
      <c r="EA101" s="313">
        <f t="shared" si="12"/>
        <v>0</v>
      </c>
      <c r="EB101" s="313">
        <f t="shared" si="12"/>
        <v>0</v>
      </c>
      <c r="EC101" s="313">
        <f t="shared" si="12"/>
        <v>0</v>
      </c>
      <c r="ED101" s="313">
        <f t="shared" si="12"/>
        <v>0</v>
      </c>
      <c r="EE101" s="313">
        <f t="shared" si="12"/>
        <v>0</v>
      </c>
      <c r="EF101" s="313">
        <f t="shared" si="12"/>
        <v>0</v>
      </c>
      <c r="EG101" s="313">
        <f t="shared" ref="EG101:FQ101" si="13">SUM(EG7:EG100)</f>
        <v>0</v>
      </c>
      <c r="EH101" s="313">
        <f t="shared" si="13"/>
        <v>10</v>
      </c>
      <c r="EI101" s="313">
        <f t="shared" si="13"/>
        <v>0</v>
      </c>
      <c r="EJ101" s="313">
        <f t="shared" si="13"/>
        <v>0</v>
      </c>
      <c r="EK101" s="313">
        <f t="shared" si="13"/>
        <v>0</v>
      </c>
      <c r="EL101" s="313">
        <f t="shared" si="13"/>
        <v>0</v>
      </c>
      <c r="EM101" s="313">
        <f t="shared" si="13"/>
        <v>0</v>
      </c>
      <c r="EN101" s="313">
        <f t="shared" si="13"/>
        <v>0</v>
      </c>
      <c r="EO101" s="313">
        <f t="shared" si="13"/>
        <v>0</v>
      </c>
      <c r="EP101" s="313">
        <f t="shared" si="13"/>
        <v>0</v>
      </c>
      <c r="EQ101" s="313">
        <f t="shared" si="13"/>
        <v>0</v>
      </c>
      <c r="ER101" s="313">
        <f t="shared" si="13"/>
        <v>0</v>
      </c>
      <c r="ES101" s="313">
        <f t="shared" si="13"/>
        <v>0</v>
      </c>
      <c r="ET101" s="313">
        <f t="shared" si="13"/>
        <v>0</v>
      </c>
      <c r="EU101" s="313">
        <f t="shared" si="13"/>
        <v>8</v>
      </c>
      <c r="EV101" s="313">
        <f t="shared" si="13"/>
        <v>0</v>
      </c>
      <c r="EW101" s="313">
        <f t="shared" si="13"/>
        <v>10</v>
      </c>
      <c r="EX101" s="313">
        <f t="shared" si="13"/>
        <v>0</v>
      </c>
      <c r="EY101" s="313">
        <f t="shared" si="13"/>
        <v>0</v>
      </c>
      <c r="EZ101" s="313">
        <f t="shared" si="13"/>
        <v>0</v>
      </c>
      <c r="FA101" s="313">
        <f t="shared" si="13"/>
        <v>0</v>
      </c>
      <c r="FB101" s="313">
        <f t="shared" si="13"/>
        <v>0</v>
      </c>
      <c r="FC101" s="313">
        <f t="shared" si="13"/>
        <v>0</v>
      </c>
      <c r="FD101" s="313">
        <f t="shared" si="13"/>
        <v>0</v>
      </c>
      <c r="FE101" s="313">
        <f t="shared" si="13"/>
        <v>13</v>
      </c>
      <c r="FF101" s="313">
        <f t="shared" si="13"/>
        <v>0</v>
      </c>
      <c r="FG101" s="313">
        <f t="shared" si="13"/>
        <v>0</v>
      </c>
      <c r="FH101" s="313">
        <f t="shared" si="13"/>
        <v>0</v>
      </c>
      <c r="FI101" s="313">
        <f t="shared" si="13"/>
        <v>0</v>
      </c>
      <c r="FJ101" s="313">
        <f t="shared" si="13"/>
        <v>0</v>
      </c>
      <c r="FK101" s="313">
        <f t="shared" si="13"/>
        <v>0</v>
      </c>
      <c r="FL101" s="313">
        <f t="shared" si="13"/>
        <v>0</v>
      </c>
      <c r="FM101" s="313">
        <f t="shared" si="13"/>
        <v>0</v>
      </c>
      <c r="FN101" s="313">
        <f t="shared" si="13"/>
        <v>0</v>
      </c>
      <c r="FO101" s="313">
        <f t="shared" si="13"/>
        <v>0</v>
      </c>
      <c r="FP101" s="313">
        <f t="shared" si="13"/>
        <v>0</v>
      </c>
      <c r="FQ101" s="313">
        <f t="shared" si="13"/>
        <v>18495</v>
      </c>
      <c r="FR101" s="260"/>
      <c r="FS101" s="260"/>
      <c r="FT101" s="260"/>
      <c r="FU101" s="260"/>
      <c r="FV101" s="260"/>
      <c r="FW101" s="260"/>
    </row>
    <row r="102" spans="1:179">
      <c r="D102" s="194"/>
      <c r="FR102" s="260"/>
      <c r="FS102" s="260"/>
      <c r="FT102" s="260"/>
      <c r="FU102" s="260"/>
      <c r="FV102" s="260"/>
      <c r="FW102" s="260"/>
    </row>
    <row r="103" spans="1:179">
      <c r="D103" s="194" t="s">
        <v>770</v>
      </c>
      <c r="N103" s="273">
        <v>100</v>
      </c>
      <c r="O103" s="273">
        <v>60</v>
      </c>
      <c r="U103" s="273">
        <v>180</v>
      </c>
      <c r="AB103" s="273">
        <v>60</v>
      </c>
      <c r="AD103" s="273">
        <v>60</v>
      </c>
      <c r="AL103" s="273">
        <v>160</v>
      </c>
      <c r="AT103" s="273">
        <v>500</v>
      </c>
      <c r="BC103" s="273">
        <v>500</v>
      </c>
      <c r="BM103" s="273">
        <v>100</v>
      </c>
      <c r="BY103" s="273">
        <v>150</v>
      </c>
      <c r="CB103" s="273">
        <v>120</v>
      </c>
      <c r="CC103" s="273">
        <v>40</v>
      </c>
      <c r="CL103" s="273">
        <v>10</v>
      </c>
      <c r="CS103" s="273">
        <v>5</v>
      </c>
      <c r="CX103" s="273">
        <v>8</v>
      </c>
      <c r="CZ103" s="273">
        <v>35</v>
      </c>
      <c r="DC103" s="273">
        <v>10</v>
      </c>
      <c r="DD103" s="273">
        <v>12</v>
      </c>
      <c r="DI103" s="273">
        <v>10</v>
      </c>
      <c r="FQ103" s="333">
        <f t="shared" ref="FQ103:FQ108" si="14">SUM(H103:FK103)</f>
        <v>2120</v>
      </c>
    </row>
    <row r="104" spans="1:179">
      <c r="D104" s="194" t="s">
        <v>769</v>
      </c>
      <c r="N104" s="273">
        <v>30</v>
      </c>
      <c r="O104" s="273">
        <v>10</v>
      </c>
      <c r="U104" s="273">
        <v>40</v>
      </c>
      <c r="AB104" s="273">
        <v>10</v>
      </c>
      <c r="AD104" s="273">
        <v>10</v>
      </c>
      <c r="AL104" s="273">
        <v>20</v>
      </c>
      <c r="AT104" s="273">
        <v>80</v>
      </c>
      <c r="AY104" s="273">
        <v>20</v>
      </c>
      <c r="BC104" s="273">
        <v>40</v>
      </c>
      <c r="BM104" s="273">
        <v>55</v>
      </c>
      <c r="BY104" s="273">
        <v>10</v>
      </c>
      <c r="CB104" s="273">
        <v>35</v>
      </c>
      <c r="CS104" s="273">
        <v>1</v>
      </c>
      <c r="CZ104" s="273">
        <v>2</v>
      </c>
      <c r="DC104" s="273">
        <v>6</v>
      </c>
      <c r="FQ104" s="333">
        <f t="shared" si="14"/>
        <v>369</v>
      </c>
    </row>
    <row r="105" spans="1:179">
      <c r="D105" s="194" t="s">
        <v>768</v>
      </c>
      <c r="N105" s="273">
        <v>20</v>
      </c>
      <c r="O105" s="273">
        <v>10</v>
      </c>
      <c r="U105" s="273">
        <v>20</v>
      </c>
      <c r="AB105" s="273">
        <v>10</v>
      </c>
      <c r="AD105" s="273">
        <v>10</v>
      </c>
      <c r="AL105" s="273">
        <v>20</v>
      </c>
      <c r="AT105" s="273">
        <v>80</v>
      </c>
      <c r="AY105" s="273">
        <v>20</v>
      </c>
      <c r="BC105" s="273">
        <v>100</v>
      </c>
      <c r="BM105" s="273">
        <v>20</v>
      </c>
      <c r="BY105" s="273">
        <v>30</v>
      </c>
      <c r="CB105" s="273">
        <v>20</v>
      </c>
      <c r="CC105" s="273">
        <v>20</v>
      </c>
      <c r="CS105" s="273">
        <v>1</v>
      </c>
      <c r="CZ105" s="273">
        <v>5</v>
      </c>
      <c r="DC105" s="273">
        <v>2</v>
      </c>
      <c r="FQ105" s="333">
        <f t="shared" si="14"/>
        <v>388</v>
      </c>
    </row>
    <row r="106" spans="1:179">
      <c r="D106" s="194" t="s">
        <v>766</v>
      </c>
      <c r="N106" s="273">
        <v>20</v>
      </c>
      <c r="O106" s="273">
        <v>10</v>
      </c>
      <c r="U106" s="273">
        <v>30</v>
      </c>
      <c r="AB106" s="273">
        <v>10</v>
      </c>
      <c r="AD106" s="273">
        <v>10</v>
      </c>
      <c r="AL106" s="273">
        <v>30</v>
      </c>
      <c r="AT106" s="273">
        <v>100</v>
      </c>
      <c r="AY106" s="273">
        <v>30</v>
      </c>
      <c r="BC106" s="273">
        <v>120</v>
      </c>
      <c r="BM106" s="273">
        <v>20</v>
      </c>
      <c r="BY106" s="273">
        <v>20</v>
      </c>
      <c r="CB106" s="273">
        <v>25</v>
      </c>
      <c r="CC106" s="273">
        <v>20</v>
      </c>
      <c r="CS106" s="273">
        <v>2</v>
      </c>
      <c r="CZ106" s="273">
        <v>5</v>
      </c>
      <c r="DC106" s="273">
        <v>1</v>
      </c>
      <c r="FQ106" s="333">
        <f t="shared" si="14"/>
        <v>453</v>
      </c>
    </row>
    <row r="107" spans="1:179">
      <c r="A107" s="274"/>
      <c r="B107" s="274"/>
      <c r="C107" s="274"/>
      <c r="D107" s="291" t="s">
        <v>767</v>
      </c>
      <c r="E107" s="274"/>
      <c r="F107" s="274"/>
      <c r="G107" s="274"/>
      <c r="H107" s="274"/>
      <c r="I107" s="274"/>
      <c r="J107" s="274"/>
      <c r="K107" s="274"/>
      <c r="L107" s="274"/>
      <c r="M107" s="274"/>
      <c r="N107" s="274">
        <v>10</v>
      </c>
      <c r="O107" s="274">
        <v>10</v>
      </c>
      <c r="P107" s="274"/>
      <c r="Q107" s="274"/>
      <c r="R107" s="274"/>
      <c r="S107" s="274"/>
      <c r="T107" s="274"/>
      <c r="U107" s="274">
        <v>110</v>
      </c>
      <c r="V107" s="274"/>
      <c r="W107" s="274"/>
      <c r="X107" s="274"/>
      <c r="Y107" s="274"/>
      <c r="Z107" s="274"/>
      <c r="AA107" s="274"/>
      <c r="AB107" s="274">
        <v>10</v>
      </c>
      <c r="AC107" s="274"/>
      <c r="AD107" s="274">
        <v>10</v>
      </c>
      <c r="AE107" s="274"/>
      <c r="AF107" s="274"/>
      <c r="AG107" s="274"/>
      <c r="AH107" s="274"/>
      <c r="AI107" s="274"/>
      <c r="AJ107" s="274"/>
      <c r="AK107" s="274"/>
      <c r="AL107" s="274">
        <v>20</v>
      </c>
      <c r="AM107" s="274"/>
      <c r="AN107" s="274"/>
      <c r="AO107" s="274"/>
      <c r="AP107" s="274"/>
      <c r="AQ107" s="274"/>
      <c r="AR107" s="274"/>
      <c r="AS107" s="274"/>
      <c r="AT107" s="274">
        <v>60</v>
      </c>
      <c r="AU107" s="274"/>
      <c r="AV107" s="274"/>
      <c r="AW107" s="274"/>
      <c r="AX107" s="274"/>
      <c r="AY107" s="274">
        <v>20</v>
      </c>
      <c r="AZ107" s="274"/>
      <c r="BA107" s="274"/>
      <c r="BB107" s="274"/>
      <c r="BC107" s="274">
        <v>40</v>
      </c>
      <c r="BD107" s="274"/>
      <c r="BE107" s="274"/>
      <c r="BF107" s="274"/>
      <c r="BG107" s="274"/>
      <c r="BH107" s="274"/>
      <c r="BI107" s="274"/>
      <c r="BJ107" s="274"/>
      <c r="BK107" s="274"/>
      <c r="BL107" s="274"/>
      <c r="BM107" s="274">
        <v>50</v>
      </c>
      <c r="BN107" s="274"/>
      <c r="BO107" s="274"/>
      <c r="BP107" s="274"/>
      <c r="BQ107" s="274"/>
      <c r="BR107" s="274"/>
      <c r="BS107" s="274"/>
      <c r="BT107" s="274"/>
      <c r="BU107" s="274"/>
      <c r="BV107" s="274"/>
      <c r="BW107" s="274"/>
      <c r="BX107" s="274"/>
      <c r="BY107" s="274">
        <v>10</v>
      </c>
      <c r="BZ107" s="274"/>
      <c r="CA107" s="274"/>
      <c r="CB107" s="274">
        <v>25</v>
      </c>
      <c r="CC107" s="274"/>
      <c r="CD107" s="274"/>
      <c r="CE107" s="274"/>
      <c r="CF107" s="274"/>
      <c r="CG107" s="274"/>
      <c r="CH107" s="274"/>
      <c r="CI107" s="274"/>
      <c r="CJ107" s="274"/>
      <c r="CK107" s="274"/>
      <c r="CL107" s="274"/>
      <c r="CM107" s="274"/>
      <c r="CN107" s="274"/>
      <c r="CO107" s="274"/>
      <c r="CP107" s="274"/>
      <c r="CQ107" s="274"/>
      <c r="CR107" s="274"/>
      <c r="CS107" s="274">
        <v>1</v>
      </c>
      <c r="CT107" s="274"/>
      <c r="CU107" s="274"/>
      <c r="CV107" s="274"/>
      <c r="CW107" s="274"/>
      <c r="CX107" s="274"/>
      <c r="CY107" s="274"/>
      <c r="CZ107" s="274">
        <v>3</v>
      </c>
      <c r="DA107" s="274"/>
      <c r="DB107" s="274"/>
      <c r="DC107" s="274">
        <v>1</v>
      </c>
      <c r="DD107" s="274"/>
      <c r="DE107" s="274"/>
      <c r="DF107" s="274"/>
      <c r="DG107" s="274"/>
      <c r="DH107" s="274"/>
      <c r="DI107" s="274"/>
      <c r="DJ107" s="274"/>
      <c r="DK107" s="274"/>
      <c r="DL107" s="274"/>
      <c r="DM107" s="274"/>
      <c r="DN107" s="274"/>
      <c r="DO107" s="274"/>
      <c r="DP107" s="274"/>
      <c r="DQ107" s="274"/>
      <c r="DR107" s="274"/>
      <c r="DS107" s="274"/>
      <c r="DT107" s="274"/>
      <c r="DU107" s="274"/>
      <c r="DV107" s="274"/>
      <c r="DW107" s="274"/>
      <c r="DX107" s="274"/>
      <c r="DY107" s="274"/>
      <c r="DZ107" s="274"/>
      <c r="EA107" s="274"/>
      <c r="EB107" s="274"/>
      <c r="EC107" s="274"/>
      <c r="ED107" s="274"/>
      <c r="EE107" s="274"/>
      <c r="EF107" s="274"/>
      <c r="EG107" s="274"/>
      <c r="EH107" s="274"/>
      <c r="EI107" s="274"/>
      <c r="EJ107" s="274"/>
      <c r="EK107" s="274"/>
      <c r="EL107" s="274"/>
      <c r="EM107" s="274"/>
      <c r="EN107" s="274"/>
      <c r="EO107" s="274"/>
      <c r="EP107" s="274"/>
      <c r="EQ107" s="274"/>
      <c r="ER107" s="274"/>
      <c r="ES107" s="274"/>
      <c r="ET107" s="274"/>
      <c r="EU107" s="274"/>
      <c r="EV107" s="274"/>
      <c r="EW107" s="274"/>
      <c r="EX107" s="274"/>
      <c r="EY107" s="274"/>
      <c r="EZ107" s="274"/>
      <c r="FA107" s="274"/>
      <c r="FB107" s="274"/>
      <c r="FC107" s="274"/>
      <c r="FD107" s="274"/>
      <c r="FE107" s="274"/>
      <c r="FF107" s="274"/>
      <c r="FG107" s="274"/>
      <c r="FH107" s="274"/>
      <c r="FI107" s="274"/>
      <c r="FJ107" s="274"/>
      <c r="FK107" s="274"/>
      <c r="FQ107" s="333">
        <f t="shared" si="14"/>
        <v>380</v>
      </c>
    </row>
    <row r="108" spans="1:179">
      <c r="D108" s="318" t="s">
        <v>771</v>
      </c>
      <c r="N108" s="273">
        <f>SUBTOTAL(9,N103:N107)</f>
        <v>180</v>
      </c>
      <c r="O108" s="273">
        <f>SUBTOTAL(9,O103:O107)</f>
        <v>100</v>
      </c>
      <c r="U108" s="273">
        <f>SUBTOTAL(9,U103:U107)</f>
        <v>380</v>
      </c>
      <c r="AB108" s="273">
        <f>SUBTOTAL(9,AB103:AB107)</f>
        <v>100</v>
      </c>
      <c r="AD108" s="273">
        <f>SUBTOTAL(9,AD103:AD107)</f>
        <v>100</v>
      </c>
      <c r="AL108" s="273">
        <f>SUBTOTAL(9,AL103:AL107)</f>
        <v>250</v>
      </c>
      <c r="AT108" s="273">
        <f>SUBTOTAL(9,AT103:AT107)</f>
        <v>820</v>
      </c>
      <c r="AY108" s="273">
        <f>SUBTOTAL(9,AY103:AY107)</f>
        <v>90</v>
      </c>
      <c r="BC108" s="273">
        <f>SUBTOTAL(9,BC103:BC107)</f>
        <v>800</v>
      </c>
      <c r="BM108" s="273">
        <f>SUBTOTAL(9,BM103:BM107)</f>
        <v>245</v>
      </c>
      <c r="BY108" s="273">
        <f>SUBTOTAL(9,BY103:BY107)</f>
        <v>220</v>
      </c>
      <c r="CB108" s="273">
        <f>SUBTOTAL(9,CB103:CB107)</f>
        <v>225</v>
      </c>
      <c r="CC108" s="273">
        <f>SUBTOTAL(9,CC103:CC107)</f>
        <v>80</v>
      </c>
      <c r="CL108" s="273">
        <f>SUBTOTAL(9,CL103:CL107)</f>
        <v>10</v>
      </c>
      <c r="CS108" s="273">
        <f>SUBTOTAL(9,CS103:CS107)</f>
        <v>10</v>
      </c>
      <c r="CX108" s="273">
        <f>SUBTOTAL(9,CX103:CX107)</f>
        <v>8</v>
      </c>
      <c r="CZ108" s="273">
        <f>SUBTOTAL(9,CZ103:CZ107)</f>
        <v>50</v>
      </c>
      <c r="DC108" s="273">
        <f>SUBTOTAL(9,DC103:DC107)</f>
        <v>20</v>
      </c>
      <c r="DD108" s="273">
        <f>SUBTOTAL(9,DD103:DD107)</f>
        <v>12</v>
      </c>
      <c r="DI108" s="273">
        <f>SUBTOTAL(9,DI103:DI107)</f>
        <v>10</v>
      </c>
      <c r="FQ108" s="333">
        <f t="shared" si="14"/>
        <v>3710</v>
      </c>
    </row>
  </sheetData>
  <autoFilter ref="A6:FR100">
    <filterColumn colId="2">
      <filters blank="1">
        <filter val="UA1J"/>
        <filter val="UA1K"/>
      </filters>
    </filterColumn>
  </autoFilter>
  <phoneticPr fontId="1" type="noConversion"/>
  <conditionalFormatting sqref="F5:F6">
    <cfRule type="cellIs" dxfId="1046" priority="250" stopIfTrue="1" operator="equal">
      <formula>"E7"</formula>
    </cfRule>
    <cfRule type="cellIs" dxfId="1045" priority="251" stopIfTrue="1" operator="equal">
      <formula>"E7A"</formula>
    </cfRule>
  </conditionalFormatting>
  <conditionalFormatting sqref="F7">
    <cfRule type="cellIs" dxfId="1044" priority="248" stopIfTrue="1" operator="equal">
      <formula>"E7"</formula>
    </cfRule>
    <cfRule type="cellIs" dxfId="1043" priority="249" stopIfTrue="1" operator="equal">
      <formula>"E7A"</formula>
    </cfRule>
  </conditionalFormatting>
  <conditionalFormatting sqref="F8">
    <cfRule type="cellIs" dxfId="1042" priority="246" stopIfTrue="1" operator="equal">
      <formula>"E7"</formula>
    </cfRule>
    <cfRule type="cellIs" dxfId="1041" priority="247" stopIfTrue="1" operator="equal">
      <formula>"E7A"</formula>
    </cfRule>
  </conditionalFormatting>
  <conditionalFormatting sqref="F75">
    <cfRule type="cellIs" dxfId="1040" priority="244" stopIfTrue="1" operator="equal">
      <formula>"E7"</formula>
    </cfRule>
    <cfRule type="cellIs" dxfId="1039" priority="245" stopIfTrue="1" operator="equal">
      <formula>"E7A"</formula>
    </cfRule>
  </conditionalFormatting>
  <conditionalFormatting sqref="F9">
    <cfRule type="cellIs" dxfId="1038" priority="240" stopIfTrue="1" operator="equal">
      <formula>"E7"</formula>
    </cfRule>
    <cfRule type="cellIs" dxfId="1037" priority="241" stopIfTrue="1" operator="equal">
      <formula>"E7A"</formula>
    </cfRule>
  </conditionalFormatting>
  <conditionalFormatting sqref="F74">
    <cfRule type="cellIs" dxfId="1036" priority="242" stopIfTrue="1" operator="equal">
      <formula>"E7"</formula>
    </cfRule>
    <cfRule type="cellIs" dxfId="1035" priority="243" stopIfTrue="1" operator="equal">
      <formula>"E7A"</formula>
    </cfRule>
  </conditionalFormatting>
  <conditionalFormatting sqref="F73">
    <cfRule type="cellIs" dxfId="1034" priority="238" stopIfTrue="1" operator="equal">
      <formula>"E7"</formula>
    </cfRule>
    <cfRule type="cellIs" dxfId="1033" priority="239" stopIfTrue="1" operator="equal">
      <formula>"E7A"</formula>
    </cfRule>
  </conditionalFormatting>
  <conditionalFormatting sqref="F76">
    <cfRule type="cellIs" dxfId="1032" priority="236" stopIfTrue="1" operator="equal">
      <formula>"E7"</formula>
    </cfRule>
    <cfRule type="cellIs" dxfId="1031" priority="237" stopIfTrue="1" operator="equal">
      <formula>"E7A"</formula>
    </cfRule>
  </conditionalFormatting>
  <conditionalFormatting sqref="F97">
    <cfRule type="cellIs" dxfId="1030" priority="234" stopIfTrue="1" operator="equal">
      <formula>"E7"</formula>
    </cfRule>
    <cfRule type="cellIs" dxfId="1029" priority="235" stopIfTrue="1" operator="equal">
      <formula>"E7A"</formula>
    </cfRule>
  </conditionalFormatting>
  <conditionalFormatting sqref="F100">
    <cfRule type="cellIs" dxfId="1028" priority="232" stopIfTrue="1" operator="equal">
      <formula>"E7"</formula>
    </cfRule>
    <cfRule type="cellIs" dxfId="1027" priority="233" stopIfTrue="1" operator="equal">
      <formula>"E7A"</formula>
    </cfRule>
  </conditionalFormatting>
  <conditionalFormatting sqref="F94">
    <cfRule type="cellIs" dxfId="1026" priority="230" stopIfTrue="1" operator="equal">
      <formula>"E7"</formula>
    </cfRule>
    <cfRule type="cellIs" dxfId="1025" priority="231" stopIfTrue="1" operator="equal">
      <formula>"E7A"</formula>
    </cfRule>
  </conditionalFormatting>
  <conditionalFormatting sqref="F95">
    <cfRule type="cellIs" dxfId="1024" priority="228" stopIfTrue="1" operator="equal">
      <formula>"E7"</formula>
    </cfRule>
    <cfRule type="cellIs" dxfId="1023" priority="229" stopIfTrue="1" operator="equal">
      <formula>"E7A"</formula>
    </cfRule>
  </conditionalFormatting>
  <conditionalFormatting sqref="F96">
    <cfRule type="cellIs" dxfId="1022" priority="226" stopIfTrue="1" operator="equal">
      <formula>"E7"</formula>
    </cfRule>
    <cfRule type="cellIs" dxfId="1021" priority="227" stopIfTrue="1" operator="equal">
      <formula>"E7A"</formula>
    </cfRule>
  </conditionalFormatting>
  <conditionalFormatting sqref="B7 B84 B91:B97 B100">
    <cfRule type="expression" dxfId="1020" priority="225">
      <formula>$B7="A"</formula>
    </cfRule>
  </conditionalFormatting>
  <conditionalFormatting sqref="B8:B9 B73:B76">
    <cfRule type="expression" dxfId="1019" priority="224">
      <formula>$B8="A"</formula>
    </cfRule>
  </conditionalFormatting>
  <conditionalFormatting sqref="H6 AT6:BW6 FH6:FK6 BY6:CC6 CE6:FE6">
    <cfRule type="expression" dxfId="1018" priority="186">
      <formula>H272=0</formula>
    </cfRule>
  </conditionalFormatting>
  <conditionalFormatting sqref="F84">
    <cfRule type="cellIs" dxfId="1017" priority="222" stopIfTrue="1" operator="equal">
      <formula>"E7"</formula>
    </cfRule>
    <cfRule type="cellIs" dxfId="1016" priority="223" stopIfTrue="1" operator="equal">
      <formula>"E7A"</formula>
    </cfRule>
  </conditionalFormatting>
  <conditionalFormatting sqref="F91">
    <cfRule type="cellIs" dxfId="1015" priority="220" stopIfTrue="1" operator="equal">
      <formula>"E7"</formula>
    </cfRule>
    <cfRule type="cellIs" dxfId="1014" priority="221" stopIfTrue="1" operator="equal">
      <formula>"E7A"</formula>
    </cfRule>
  </conditionalFormatting>
  <conditionalFormatting sqref="F92">
    <cfRule type="cellIs" dxfId="1013" priority="218" stopIfTrue="1" operator="equal">
      <formula>"E7"</formula>
    </cfRule>
    <cfRule type="cellIs" dxfId="1012" priority="219" stopIfTrue="1" operator="equal">
      <formula>"E7A"</formula>
    </cfRule>
  </conditionalFormatting>
  <conditionalFormatting sqref="F93">
    <cfRule type="cellIs" dxfId="1011" priority="216" stopIfTrue="1" operator="equal">
      <formula>"E7"</formula>
    </cfRule>
    <cfRule type="cellIs" dxfId="1010" priority="217" stopIfTrue="1" operator="equal">
      <formula>"E7A"</formula>
    </cfRule>
  </conditionalFormatting>
  <conditionalFormatting sqref="F88">
    <cfRule type="cellIs" dxfId="1009" priority="214" stopIfTrue="1" operator="equal">
      <formula>"E7"</formula>
    </cfRule>
    <cfRule type="cellIs" dxfId="1008" priority="215" stopIfTrue="1" operator="equal">
      <formula>"E7A"</formula>
    </cfRule>
  </conditionalFormatting>
  <conditionalFormatting sqref="F89">
    <cfRule type="cellIs" dxfId="1007" priority="212" stopIfTrue="1" operator="equal">
      <formula>"E7"</formula>
    </cfRule>
    <cfRule type="cellIs" dxfId="1006" priority="213" stopIfTrue="1" operator="equal">
      <formula>"E7A"</formula>
    </cfRule>
  </conditionalFormatting>
  <conditionalFormatting sqref="F90">
    <cfRule type="cellIs" dxfId="1005" priority="210" stopIfTrue="1" operator="equal">
      <formula>"E7"</formula>
    </cfRule>
    <cfRule type="cellIs" dxfId="1004" priority="211" stopIfTrue="1" operator="equal">
      <formula>"E7A"</formula>
    </cfRule>
  </conditionalFormatting>
  <conditionalFormatting sqref="B85:B90">
    <cfRule type="expression" dxfId="1003" priority="209">
      <formula>$B85="A"</formula>
    </cfRule>
  </conditionalFormatting>
  <conditionalFormatting sqref="F85">
    <cfRule type="cellIs" dxfId="1002" priority="207" stopIfTrue="1" operator="equal">
      <formula>"E7"</formula>
    </cfRule>
    <cfRule type="cellIs" dxfId="1001" priority="208" stopIfTrue="1" operator="equal">
      <formula>"E7A"</formula>
    </cfRule>
  </conditionalFormatting>
  <conditionalFormatting sqref="F86">
    <cfRule type="cellIs" dxfId="1000" priority="205" stopIfTrue="1" operator="equal">
      <formula>"E7"</formula>
    </cfRule>
    <cfRule type="cellIs" dxfId="999" priority="206" stopIfTrue="1" operator="equal">
      <formula>"E7A"</formula>
    </cfRule>
  </conditionalFormatting>
  <conditionalFormatting sqref="F87">
    <cfRule type="cellIs" dxfId="998" priority="203" stopIfTrue="1" operator="equal">
      <formula>"E7"</formula>
    </cfRule>
    <cfRule type="cellIs" dxfId="997" priority="204" stopIfTrue="1" operator="equal">
      <formula>"E7A"</formula>
    </cfRule>
  </conditionalFormatting>
  <conditionalFormatting sqref="B77">
    <cfRule type="expression" dxfId="996" priority="202">
      <formula>$B77="A"</formula>
    </cfRule>
  </conditionalFormatting>
  <conditionalFormatting sqref="F77">
    <cfRule type="cellIs" dxfId="995" priority="200" stopIfTrue="1" operator="equal">
      <formula>"E7"</formula>
    </cfRule>
    <cfRule type="cellIs" dxfId="994" priority="201" stopIfTrue="1" operator="equal">
      <formula>"E7A"</formula>
    </cfRule>
  </conditionalFormatting>
  <conditionalFormatting sqref="F81">
    <cfRule type="cellIs" dxfId="993" priority="198" stopIfTrue="1" operator="equal">
      <formula>"E7"</formula>
    </cfRule>
    <cfRule type="cellIs" dxfId="992" priority="199" stopIfTrue="1" operator="equal">
      <formula>"E7A"</formula>
    </cfRule>
  </conditionalFormatting>
  <conditionalFormatting sqref="F82">
    <cfRule type="cellIs" dxfId="991" priority="196" stopIfTrue="1" operator="equal">
      <formula>"E7"</formula>
    </cfRule>
    <cfRule type="cellIs" dxfId="990" priority="197" stopIfTrue="1" operator="equal">
      <formula>"E7A"</formula>
    </cfRule>
  </conditionalFormatting>
  <conditionalFormatting sqref="F83">
    <cfRule type="cellIs" dxfId="989" priority="194" stopIfTrue="1" operator="equal">
      <formula>"E7"</formula>
    </cfRule>
    <cfRule type="cellIs" dxfId="988" priority="195" stopIfTrue="1" operator="equal">
      <formula>"E7A"</formula>
    </cfRule>
  </conditionalFormatting>
  <conditionalFormatting sqref="B78:B83">
    <cfRule type="expression" dxfId="987" priority="193">
      <formula>$B78="A"</formula>
    </cfRule>
  </conditionalFormatting>
  <conditionalFormatting sqref="F78">
    <cfRule type="cellIs" dxfId="986" priority="191" stopIfTrue="1" operator="equal">
      <formula>"E7"</formula>
    </cfRule>
    <cfRule type="cellIs" dxfId="985" priority="192" stopIfTrue="1" operator="equal">
      <formula>"E7A"</formula>
    </cfRule>
  </conditionalFormatting>
  <conditionalFormatting sqref="F79">
    <cfRule type="cellIs" dxfId="984" priority="189" stopIfTrue="1" operator="equal">
      <formula>"E7"</formula>
    </cfRule>
    <cfRule type="cellIs" dxfId="983" priority="190" stopIfTrue="1" operator="equal">
      <formula>"E7A"</formula>
    </cfRule>
  </conditionalFormatting>
  <conditionalFormatting sqref="F80">
    <cfRule type="cellIs" dxfId="982" priority="187" stopIfTrue="1" operator="equal">
      <formula>"E7"</formula>
    </cfRule>
    <cfRule type="cellIs" dxfId="981" priority="188" stopIfTrue="1" operator="equal">
      <formula>"E7A"</formula>
    </cfRule>
  </conditionalFormatting>
  <conditionalFormatting sqref="I6:L6">
    <cfRule type="expression" dxfId="980" priority="185">
      <formula>I272=0</formula>
    </cfRule>
  </conditionalFormatting>
  <conditionalFormatting sqref="H1:L1 FH1:FK1 BY1:CC1 CE1:FE1 AT1:BW1">
    <cfRule type="duplicateValues" dxfId="979" priority="184"/>
  </conditionalFormatting>
  <conditionalFormatting sqref="I1:K1">
    <cfRule type="duplicateValues" dxfId="978" priority="183"/>
  </conditionalFormatting>
  <conditionalFormatting sqref="AV1">
    <cfRule type="duplicateValues" dxfId="977" priority="182"/>
  </conditionalFormatting>
  <conditionalFormatting sqref="F65">
    <cfRule type="cellIs" dxfId="976" priority="180" stopIfTrue="1" operator="equal">
      <formula>"E7"</formula>
    </cfRule>
    <cfRule type="cellIs" dxfId="975" priority="181" stopIfTrue="1" operator="equal">
      <formula>"E7A"</formula>
    </cfRule>
  </conditionalFormatting>
  <conditionalFormatting sqref="F11">
    <cfRule type="cellIs" dxfId="974" priority="178" stopIfTrue="1" operator="equal">
      <formula>"E7"</formula>
    </cfRule>
    <cfRule type="cellIs" dxfId="973" priority="179" stopIfTrue="1" operator="equal">
      <formula>"E7A"</formula>
    </cfRule>
  </conditionalFormatting>
  <conditionalFormatting sqref="F10">
    <cfRule type="cellIs" dxfId="972" priority="176" stopIfTrue="1" operator="equal">
      <formula>"E7"</formula>
    </cfRule>
    <cfRule type="cellIs" dxfId="971" priority="177" stopIfTrue="1" operator="equal">
      <formula>"E7A"</formula>
    </cfRule>
  </conditionalFormatting>
  <conditionalFormatting sqref="F66">
    <cfRule type="cellIs" dxfId="970" priority="174" stopIfTrue="1" operator="equal">
      <formula>"E7"</formula>
    </cfRule>
    <cfRule type="cellIs" dxfId="969" priority="175" stopIfTrue="1" operator="equal">
      <formula>"E7A"</formula>
    </cfRule>
  </conditionalFormatting>
  <conditionalFormatting sqref="B10:B11 B65:B66">
    <cfRule type="expression" dxfId="968" priority="173">
      <formula>$B10="A"</formula>
    </cfRule>
  </conditionalFormatting>
  <conditionalFormatting sqref="B67">
    <cfRule type="expression" dxfId="967" priority="172">
      <formula>$B67="A"</formula>
    </cfRule>
  </conditionalFormatting>
  <conditionalFormatting sqref="F67">
    <cfRule type="cellIs" dxfId="966" priority="170" stopIfTrue="1" operator="equal">
      <formula>"E7"</formula>
    </cfRule>
    <cfRule type="cellIs" dxfId="965" priority="171" stopIfTrue="1" operator="equal">
      <formula>"E7A"</formula>
    </cfRule>
  </conditionalFormatting>
  <conditionalFormatting sqref="F71">
    <cfRule type="cellIs" dxfId="964" priority="168" stopIfTrue="1" operator="equal">
      <formula>"E7"</formula>
    </cfRule>
    <cfRule type="cellIs" dxfId="963" priority="169" stopIfTrue="1" operator="equal">
      <formula>"E7A"</formula>
    </cfRule>
  </conditionalFormatting>
  <conditionalFormatting sqref="F72">
    <cfRule type="cellIs" dxfId="962" priority="166" stopIfTrue="1" operator="equal">
      <formula>"E7"</formula>
    </cfRule>
    <cfRule type="cellIs" dxfId="961" priority="167" stopIfTrue="1" operator="equal">
      <formula>"E7A"</formula>
    </cfRule>
  </conditionalFormatting>
  <conditionalFormatting sqref="B68:B72">
    <cfRule type="expression" dxfId="960" priority="165">
      <formula>$B68="A"</formula>
    </cfRule>
  </conditionalFormatting>
  <conditionalFormatting sqref="F68">
    <cfRule type="cellIs" dxfId="959" priority="163" stopIfTrue="1" operator="equal">
      <formula>"E7"</formula>
    </cfRule>
    <cfRule type="cellIs" dxfId="958" priority="164" stopIfTrue="1" operator="equal">
      <formula>"E7A"</formula>
    </cfRule>
  </conditionalFormatting>
  <conditionalFormatting sqref="F69">
    <cfRule type="cellIs" dxfId="957" priority="161" stopIfTrue="1" operator="equal">
      <formula>"E7"</formula>
    </cfRule>
    <cfRule type="cellIs" dxfId="956" priority="162" stopIfTrue="1" operator="equal">
      <formula>"E7A"</formula>
    </cfRule>
  </conditionalFormatting>
  <conditionalFormatting sqref="F70">
    <cfRule type="cellIs" dxfId="955" priority="159" stopIfTrue="1" operator="equal">
      <formula>"E7"</formula>
    </cfRule>
    <cfRule type="cellIs" dxfId="954" priority="160" stopIfTrue="1" operator="equal">
      <formula>"E7A"</formula>
    </cfRule>
  </conditionalFormatting>
  <conditionalFormatting sqref="H4">
    <cfRule type="duplicateValues" dxfId="953" priority="158"/>
  </conditionalFormatting>
  <conditionalFormatting sqref="I4:L4 AT4:BW4 FH4:FK4 BY4:CC4 CE4:FE4">
    <cfRule type="duplicateValues" dxfId="952" priority="157"/>
  </conditionalFormatting>
  <conditionalFormatting sqref="AI6:AS6">
    <cfRule type="expression" dxfId="951" priority="156">
      <formula>AI272=0</formula>
    </cfRule>
  </conditionalFormatting>
  <conditionalFormatting sqref="AI1:AS1">
    <cfRule type="duplicateValues" dxfId="950" priority="155"/>
  </conditionalFormatting>
  <conditionalFormatting sqref="AK1">
    <cfRule type="duplicateValues" dxfId="949" priority="154"/>
  </conditionalFormatting>
  <conditionalFormatting sqref="AI4:AS4">
    <cfRule type="duplicateValues" dxfId="948" priority="153"/>
  </conditionalFormatting>
  <conditionalFormatting sqref="X6:AH6">
    <cfRule type="expression" dxfId="947" priority="152">
      <formula>X272=0</formula>
    </cfRule>
  </conditionalFormatting>
  <conditionalFormatting sqref="X1:AH1">
    <cfRule type="duplicateValues" dxfId="946" priority="151"/>
  </conditionalFormatting>
  <conditionalFormatting sqref="Z1">
    <cfRule type="duplicateValues" dxfId="945" priority="150"/>
  </conditionalFormatting>
  <conditionalFormatting sqref="X4:AH4">
    <cfRule type="duplicateValues" dxfId="944" priority="149"/>
  </conditionalFormatting>
  <conditionalFormatting sqref="M6:W6">
    <cfRule type="expression" dxfId="943" priority="148">
      <formula>M272=0</formula>
    </cfRule>
  </conditionalFormatting>
  <conditionalFormatting sqref="M1:W1">
    <cfRule type="duplicateValues" dxfId="942" priority="147"/>
  </conditionalFormatting>
  <conditionalFormatting sqref="O1">
    <cfRule type="duplicateValues" dxfId="941" priority="146"/>
  </conditionalFormatting>
  <conditionalFormatting sqref="M4:W4">
    <cfRule type="duplicateValues" dxfId="940" priority="145"/>
  </conditionalFormatting>
  <conditionalFormatting sqref="F48">
    <cfRule type="cellIs" dxfId="939" priority="143" stopIfTrue="1" operator="equal">
      <formula>"E7"</formula>
    </cfRule>
    <cfRule type="cellIs" dxfId="938" priority="144" stopIfTrue="1" operator="equal">
      <formula>"E7A"</formula>
    </cfRule>
  </conditionalFormatting>
  <conditionalFormatting sqref="F47">
    <cfRule type="cellIs" dxfId="937" priority="141" stopIfTrue="1" operator="equal">
      <formula>"E7"</formula>
    </cfRule>
    <cfRule type="cellIs" dxfId="936" priority="142" stopIfTrue="1" operator="equal">
      <formula>"E7A"</formula>
    </cfRule>
  </conditionalFormatting>
  <conditionalFormatting sqref="F46">
    <cfRule type="cellIs" dxfId="935" priority="139" stopIfTrue="1" operator="equal">
      <formula>"E7"</formula>
    </cfRule>
    <cfRule type="cellIs" dxfId="934" priority="140" stopIfTrue="1" operator="equal">
      <formula>"E7A"</formula>
    </cfRule>
  </conditionalFormatting>
  <conditionalFormatting sqref="F49">
    <cfRule type="cellIs" dxfId="933" priority="137" stopIfTrue="1" operator="equal">
      <formula>"E7"</formula>
    </cfRule>
    <cfRule type="cellIs" dxfId="932" priority="138" stopIfTrue="1" operator="equal">
      <formula>"E7A"</formula>
    </cfRule>
  </conditionalFormatting>
  <conditionalFormatting sqref="B58">
    <cfRule type="expression" dxfId="931" priority="136">
      <formula>$B58="A"</formula>
    </cfRule>
  </conditionalFormatting>
  <conditionalFormatting sqref="B46:B49">
    <cfRule type="expression" dxfId="930" priority="135">
      <formula>$B46="A"</formula>
    </cfRule>
  </conditionalFormatting>
  <conditionalFormatting sqref="F58">
    <cfRule type="cellIs" dxfId="929" priority="133" stopIfTrue="1" operator="equal">
      <formula>"E7"</formula>
    </cfRule>
    <cfRule type="cellIs" dxfId="928" priority="134" stopIfTrue="1" operator="equal">
      <formula>"E7A"</formula>
    </cfRule>
  </conditionalFormatting>
  <conditionalFormatting sqref="F62">
    <cfRule type="cellIs" dxfId="927" priority="131" stopIfTrue="1" operator="equal">
      <formula>"E7"</formula>
    </cfRule>
    <cfRule type="cellIs" dxfId="926" priority="132" stopIfTrue="1" operator="equal">
      <formula>"E7A"</formula>
    </cfRule>
  </conditionalFormatting>
  <conditionalFormatting sqref="F63">
    <cfRule type="cellIs" dxfId="925" priority="129" stopIfTrue="1" operator="equal">
      <formula>"E7"</formula>
    </cfRule>
    <cfRule type="cellIs" dxfId="924" priority="130" stopIfTrue="1" operator="equal">
      <formula>"E7A"</formula>
    </cfRule>
  </conditionalFormatting>
  <conditionalFormatting sqref="F64">
    <cfRule type="cellIs" dxfId="923" priority="127" stopIfTrue="1" operator="equal">
      <formula>"E7"</formula>
    </cfRule>
    <cfRule type="cellIs" dxfId="922" priority="128" stopIfTrue="1" operator="equal">
      <formula>"E7A"</formula>
    </cfRule>
  </conditionalFormatting>
  <conditionalFormatting sqref="B59:B64">
    <cfRule type="expression" dxfId="921" priority="126">
      <formula>$B59="A"</formula>
    </cfRule>
  </conditionalFormatting>
  <conditionalFormatting sqref="F59">
    <cfRule type="cellIs" dxfId="920" priority="124" stopIfTrue="1" operator="equal">
      <formula>"E7"</formula>
    </cfRule>
    <cfRule type="cellIs" dxfId="919" priority="125" stopIfTrue="1" operator="equal">
      <formula>"E7A"</formula>
    </cfRule>
  </conditionalFormatting>
  <conditionalFormatting sqref="F60">
    <cfRule type="cellIs" dxfId="918" priority="122" stopIfTrue="1" operator="equal">
      <formula>"E7"</formula>
    </cfRule>
    <cfRule type="cellIs" dxfId="917" priority="123" stopIfTrue="1" operator="equal">
      <formula>"E7A"</formula>
    </cfRule>
  </conditionalFormatting>
  <conditionalFormatting sqref="F61">
    <cfRule type="cellIs" dxfId="916" priority="120" stopIfTrue="1" operator="equal">
      <formula>"E7"</formula>
    </cfRule>
    <cfRule type="cellIs" dxfId="915" priority="121" stopIfTrue="1" operator="equal">
      <formula>"E7A"</formula>
    </cfRule>
  </conditionalFormatting>
  <conditionalFormatting sqref="B51">
    <cfRule type="expression" dxfId="914" priority="119">
      <formula>$B51="A"</formula>
    </cfRule>
  </conditionalFormatting>
  <conditionalFormatting sqref="F51">
    <cfRule type="cellIs" dxfId="913" priority="117" stopIfTrue="1" operator="equal">
      <formula>"E7"</formula>
    </cfRule>
    <cfRule type="cellIs" dxfId="912" priority="118" stopIfTrue="1" operator="equal">
      <formula>"E7A"</formula>
    </cfRule>
  </conditionalFormatting>
  <conditionalFormatting sqref="F55">
    <cfRule type="cellIs" dxfId="911" priority="115" stopIfTrue="1" operator="equal">
      <formula>"E7"</formula>
    </cfRule>
    <cfRule type="cellIs" dxfId="910" priority="116" stopIfTrue="1" operator="equal">
      <formula>"E7A"</formula>
    </cfRule>
  </conditionalFormatting>
  <conditionalFormatting sqref="F56">
    <cfRule type="cellIs" dxfId="909" priority="113" stopIfTrue="1" operator="equal">
      <formula>"E7"</formula>
    </cfRule>
    <cfRule type="cellIs" dxfId="908" priority="114" stopIfTrue="1" operator="equal">
      <formula>"E7A"</formula>
    </cfRule>
  </conditionalFormatting>
  <conditionalFormatting sqref="F57">
    <cfRule type="cellIs" dxfId="907" priority="111" stopIfTrue="1" operator="equal">
      <formula>"E7"</formula>
    </cfRule>
    <cfRule type="cellIs" dxfId="906" priority="112" stopIfTrue="1" operator="equal">
      <formula>"E7A"</formula>
    </cfRule>
  </conditionalFormatting>
  <conditionalFormatting sqref="B52:B57">
    <cfRule type="expression" dxfId="905" priority="110">
      <formula>$B52="A"</formula>
    </cfRule>
  </conditionalFormatting>
  <conditionalFormatting sqref="F52">
    <cfRule type="cellIs" dxfId="904" priority="108" stopIfTrue="1" operator="equal">
      <formula>"E7"</formula>
    </cfRule>
    <cfRule type="cellIs" dxfId="903" priority="109" stopIfTrue="1" operator="equal">
      <formula>"E7A"</formula>
    </cfRule>
  </conditionalFormatting>
  <conditionalFormatting sqref="F53">
    <cfRule type="cellIs" dxfId="902" priority="106" stopIfTrue="1" operator="equal">
      <formula>"E7"</formula>
    </cfRule>
    <cfRule type="cellIs" dxfId="901" priority="107" stopIfTrue="1" operator="equal">
      <formula>"E7A"</formula>
    </cfRule>
  </conditionalFormatting>
  <conditionalFormatting sqref="F54">
    <cfRule type="cellIs" dxfId="900" priority="104" stopIfTrue="1" operator="equal">
      <formula>"E7"</formula>
    </cfRule>
    <cfRule type="cellIs" dxfId="899" priority="105" stopIfTrue="1" operator="equal">
      <formula>"E7A"</formula>
    </cfRule>
  </conditionalFormatting>
  <conditionalFormatting sqref="F38">
    <cfRule type="cellIs" dxfId="898" priority="102" stopIfTrue="1" operator="equal">
      <formula>"E7"</formula>
    </cfRule>
    <cfRule type="cellIs" dxfId="897" priority="103" stopIfTrue="1" operator="equal">
      <formula>"E7A"</formula>
    </cfRule>
  </conditionalFormatting>
  <conditionalFormatting sqref="F39">
    <cfRule type="cellIs" dxfId="896" priority="100" stopIfTrue="1" operator="equal">
      <formula>"E7"</formula>
    </cfRule>
    <cfRule type="cellIs" dxfId="895" priority="101" stopIfTrue="1" operator="equal">
      <formula>"E7A"</formula>
    </cfRule>
  </conditionalFormatting>
  <conditionalFormatting sqref="B38:B39">
    <cfRule type="expression" dxfId="894" priority="99">
      <formula>$B38="A"</formula>
    </cfRule>
  </conditionalFormatting>
  <conditionalFormatting sqref="B40">
    <cfRule type="expression" dxfId="893" priority="98">
      <formula>$B40="A"</formula>
    </cfRule>
  </conditionalFormatting>
  <conditionalFormatting sqref="F40">
    <cfRule type="cellIs" dxfId="892" priority="96" stopIfTrue="1" operator="equal">
      <formula>"E7"</formula>
    </cfRule>
    <cfRule type="cellIs" dxfId="891" priority="97" stopIfTrue="1" operator="equal">
      <formula>"E7A"</formula>
    </cfRule>
  </conditionalFormatting>
  <conditionalFormatting sqref="F44">
    <cfRule type="cellIs" dxfId="890" priority="94" stopIfTrue="1" operator="equal">
      <formula>"E7"</formula>
    </cfRule>
    <cfRule type="cellIs" dxfId="889" priority="95" stopIfTrue="1" operator="equal">
      <formula>"E7A"</formula>
    </cfRule>
  </conditionalFormatting>
  <conditionalFormatting sqref="F45">
    <cfRule type="cellIs" dxfId="888" priority="92" stopIfTrue="1" operator="equal">
      <formula>"E7"</formula>
    </cfRule>
    <cfRule type="cellIs" dxfId="887" priority="93" stopIfTrue="1" operator="equal">
      <formula>"E7A"</formula>
    </cfRule>
  </conditionalFormatting>
  <conditionalFormatting sqref="B41:B45">
    <cfRule type="expression" dxfId="886" priority="91">
      <formula>$B41="A"</formula>
    </cfRule>
  </conditionalFormatting>
  <conditionalFormatting sqref="F41">
    <cfRule type="cellIs" dxfId="885" priority="89" stopIfTrue="1" operator="equal">
      <formula>"E7"</formula>
    </cfRule>
    <cfRule type="cellIs" dxfId="884" priority="90" stopIfTrue="1" operator="equal">
      <formula>"E7A"</formula>
    </cfRule>
  </conditionalFormatting>
  <conditionalFormatting sqref="F42">
    <cfRule type="cellIs" dxfId="883" priority="87" stopIfTrue="1" operator="equal">
      <formula>"E7"</formula>
    </cfRule>
    <cfRule type="cellIs" dxfId="882" priority="88" stopIfTrue="1" operator="equal">
      <formula>"E7A"</formula>
    </cfRule>
  </conditionalFormatting>
  <conditionalFormatting sqref="F43">
    <cfRule type="cellIs" dxfId="881" priority="85" stopIfTrue="1" operator="equal">
      <formula>"E7"</formula>
    </cfRule>
    <cfRule type="cellIs" dxfId="880" priority="86" stopIfTrue="1" operator="equal">
      <formula>"E7A"</formula>
    </cfRule>
  </conditionalFormatting>
  <conditionalFormatting sqref="F22">
    <cfRule type="cellIs" dxfId="879" priority="83" stopIfTrue="1" operator="equal">
      <formula>"E7"</formula>
    </cfRule>
    <cfRule type="cellIs" dxfId="878" priority="84" stopIfTrue="1" operator="equal">
      <formula>"E7A"</formula>
    </cfRule>
  </conditionalFormatting>
  <conditionalFormatting sqref="F21">
    <cfRule type="cellIs" dxfId="877" priority="81" stopIfTrue="1" operator="equal">
      <formula>"E7"</formula>
    </cfRule>
    <cfRule type="cellIs" dxfId="876" priority="82" stopIfTrue="1" operator="equal">
      <formula>"E7A"</formula>
    </cfRule>
  </conditionalFormatting>
  <conditionalFormatting sqref="F20">
    <cfRule type="cellIs" dxfId="875" priority="79" stopIfTrue="1" operator="equal">
      <formula>"E7"</formula>
    </cfRule>
    <cfRule type="cellIs" dxfId="874" priority="80" stopIfTrue="1" operator="equal">
      <formula>"E7A"</formula>
    </cfRule>
  </conditionalFormatting>
  <conditionalFormatting sqref="F23">
    <cfRule type="cellIs" dxfId="873" priority="77" stopIfTrue="1" operator="equal">
      <formula>"E7"</formula>
    </cfRule>
    <cfRule type="cellIs" dxfId="872" priority="78" stopIfTrue="1" operator="equal">
      <formula>"E7A"</formula>
    </cfRule>
  </conditionalFormatting>
  <conditionalFormatting sqref="B31">
    <cfRule type="expression" dxfId="871" priority="76">
      <formula>$B31="A"</formula>
    </cfRule>
  </conditionalFormatting>
  <conditionalFormatting sqref="B20:B23">
    <cfRule type="expression" dxfId="870" priority="75">
      <formula>$B20="A"</formula>
    </cfRule>
  </conditionalFormatting>
  <conditionalFormatting sqref="F31">
    <cfRule type="cellIs" dxfId="869" priority="73" stopIfTrue="1" operator="equal">
      <formula>"E7"</formula>
    </cfRule>
    <cfRule type="cellIs" dxfId="868" priority="74" stopIfTrue="1" operator="equal">
      <formula>"E7A"</formula>
    </cfRule>
  </conditionalFormatting>
  <conditionalFormatting sqref="F35">
    <cfRule type="cellIs" dxfId="867" priority="71" stopIfTrue="1" operator="equal">
      <formula>"E7"</formula>
    </cfRule>
    <cfRule type="cellIs" dxfId="866" priority="72" stopIfTrue="1" operator="equal">
      <formula>"E7A"</formula>
    </cfRule>
  </conditionalFormatting>
  <conditionalFormatting sqref="F36">
    <cfRule type="cellIs" dxfId="865" priority="69" stopIfTrue="1" operator="equal">
      <formula>"E7"</formula>
    </cfRule>
    <cfRule type="cellIs" dxfId="864" priority="70" stopIfTrue="1" operator="equal">
      <formula>"E7A"</formula>
    </cfRule>
  </conditionalFormatting>
  <conditionalFormatting sqref="F37">
    <cfRule type="cellIs" dxfId="863" priority="67" stopIfTrue="1" operator="equal">
      <formula>"E7"</formula>
    </cfRule>
    <cfRule type="cellIs" dxfId="862" priority="68" stopIfTrue="1" operator="equal">
      <formula>"E7A"</formula>
    </cfRule>
  </conditionalFormatting>
  <conditionalFormatting sqref="B32:B37">
    <cfRule type="expression" dxfId="861" priority="66">
      <formula>$B32="A"</formula>
    </cfRule>
  </conditionalFormatting>
  <conditionalFormatting sqref="F32">
    <cfRule type="cellIs" dxfId="860" priority="64" stopIfTrue="1" operator="equal">
      <formula>"E7"</formula>
    </cfRule>
    <cfRule type="cellIs" dxfId="859" priority="65" stopIfTrue="1" operator="equal">
      <formula>"E7A"</formula>
    </cfRule>
  </conditionalFormatting>
  <conditionalFormatting sqref="F33">
    <cfRule type="cellIs" dxfId="858" priority="62" stopIfTrue="1" operator="equal">
      <formula>"E7"</formula>
    </cfRule>
    <cfRule type="cellIs" dxfId="857" priority="63" stopIfTrue="1" operator="equal">
      <formula>"E7A"</formula>
    </cfRule>
  </conditionalFormatting>
  <conditionalFormatting sqref="F34">
    <cfRule type="cellIs" dxfId="856" priority="60" stopIfTrue="1" operator="equal">
      <formula>"E7"</formula>
    </cfRule>
    <cfRule type="cellIs" dxfId="855" priority="61" stopIfTrue="1" operator="equal">
      <formula>"E7A"</formula>
    </cfRule>
  </conditionalFormatting>
  <conditionalFormatting sqref="B24">
    <cfRule type="expression" dxfId="854" priority="59">
      <formula>$B24="A"</formula>
    </cfRule>
  </conditionalFormatting>
  <conditionalFormatting sqref="F24">
    <cfRule type="cellIs" dxfId="853" priority="57" stopIfTrue="1" operator="equal">
      <formula>"E7"</formula>
    </cfRule>
    <cfRule type="cellIs" dxfId="852" priority="58" stopIfTrue="1" operator="equal">
      <formula>"E7A"</formula>
    </cfRule>
  </conditionalFormatting>
  <conditionalFormatting sqref="F28">
    <cfRule type="cellIs" dxfId="851" priority="55" stopIfTrue="1" operator="equal">
      <formula>"E7"</formula>
    </cfRule>
    <cfRule type="cellIs" dxfId="850" priority="56" stopIfTrue="1" operator="equal">
      <formula>"E7A"</formula>
    </cfRule>
  </conditionalFormatting>
  <conditionalFormatting sqref="F29">
    <cfRule type="cellIs" dxfId="849" priority="53" stopIfTrue="1" operator="equal">
      <formula>"E7"</formula>
    </cfRule>
    <cfRule type="cellIs" dxfId="848" priority="54" stopIfTrue="1" operator="equal">
      <formula>"E7A"</formula>
    </cfRule>
  </conditionalFormatting>
  <conditionalFormatting sqref="F30">
    <cfRule type="cellIs" dxfId="847" priority="51" stopIfTrue="1" operator="equal">
      <formula>"E7"</formula>
    </cfRule>
    <cfRule type="cellIs" dxfId="846" priority="52" stopIfTrue="1" operator="equal">
      <formula>"E7A"</formula>
    </cfRule>
  </conditionalFormatting>
  <conditionalFormatting sqref="B25:B30">
    <cfRule type="expression" dxfId="845" priority="50">
      <formula>$B25="A"</formula>
    </cfRule>
  </conditionalFormatting>
  <conditionalFormatting sqref="F25">
    <cfRule type="cellIs" dxfId="844" priority="48" stopIfTrue="1" operator="equal">
      <formula>"E7"</formula>
    </cfRule>
    <cfRule type="cellIs" dxfId="843" priority="49" stopIfTrue="1" operator="equal">
      <formula>"E7A"</formula>
    </cfRule>
  </conditionalFormatting>
  <conditionalFormatting sqref="F26">
    <cfRule type="cellIs" dxfId="842" priority="46" stopIfTrue="1" operator="equal">
      <formula>"E7"</formula>
    </cfRule>
    <cfRule type="cellIs" dxfId="841" priority="47" stopIfTrue="1" operator="equal">
      <formula>"E7A"</formula>
    </cfRule>
  </conditionalFormatting>
  <conditionalFormatting sqref="F27">
    <cfRule type="cellIs" dxfId="840" priority="44" stopIfTrue="1" operator="equal">
      <formula>"E7"</formula>
    </cfRule>
    <cfRule type="cellIs" dxfId="839" priority="45" stopIfTrue="1" operator="equal">
      <formula>"E7A"</formula>
    </cfRule>
  </conditionalFormatting>
  <conditionalFormatting sqref="F12">
    <cfRule type="cellIs" dxfId="838" priority="42" stopIfTrue="1" operator="equal">
      <formula>"E7"</formula>
    </cfRule>
    <cfRule type="cellIs" dxfId="837" priority="43" stopIfTrue="1" operator="equal">
      <formula>"E7A"</formula>
    </cfRule>
  </conditionalFormatting>
  <conditionalFormatting sqref="F13">
    <cfRule type="cellIs" dxfId="836" priority="40" stopIfTrue="1" operator="equal">
      <formula>"E7"</formula>
    </cfRule>
    <cfRule type="cellIs" dxfId="835" priority="41" stopIfTrue="1" operator="equal">
      <formula>"E7A"</formula>
    </cfRule>
  </conditionalFormatting>
  <conditionalFormatting sqref="B12:B13">
    <cfRule type="expression" dxfId="834" priority="39">
      <formula>$B12="A"</formula>
    </cfRule>
  </conditionalFormatting>
  <conditionalFormatting sqref="B14">
    <cfRule type="expression" dxfId="833" priority="38">
      <formula>$B14="A"</formula>
    </cfRule>
  </conditionalFormatting>
  <conditionalFormatting sqref="F14">
    <cfRule type="cellIs" dxfId="832" priority="36" stopIfTrue="1" operator="equal">
      <formula>"E7"</formula>
    </cfRule>
    <cfRule type="cellIs" dxfId="831" priority="37" stopIfTrue="1" operator="equal">
      <formula>"E7A"</formula>
    </cfRule>
  </conditionalFormatting>
  <conditionalFormatting sqref="F18">
    <cfRule type="cellIs" dxfId="830" priority="34" stopIfTrue="1" operator="equal">
      <formula>"E7"</formula>
    </cfRule>
    <cfRule type="cellIs" dxfId="829" priority="35" stopIfTrue="1" operator="equal">
      <formula>"E7A"</formula>
    </cfRule>
  </conditionalFormatting>
  <conditionalFormatting sqref="F19">
    <cfRule type="cellIs" dxfId="828" priority="32" stopIfTrue="1" operator="equal">
      <formula>"E7"</formula>
    </cfRule>
    <cfRule type="cellIs" dxfId="827" priority="33" stopIfTrue="1" operator="equal">
      <formula>"E7A"</formula>
    </cfRule>
  </conditionalFormatting>
  <conditionalFormatting sqref="B15:B19">
    <cfRule type="expression" dxfId="826" priority="31">
      <formula>$B15="A"</formula>
    </cfRule>
  </conditionalFormatting>
  <conditionalFormatting sqref="F15">
    <cfRule type="cellIs" dxfId="825" priority="29" stopIfTrue="1" operator="equal">
      <formula>"E7"</formula>
    </cfRule>
    <cfRule type="cellIs" dxfId="824" priority="30" stopIfTrue="1" operator="equal">
      <formula>"E7A"</formula>
    </cfRule>
  </conditionalFormatting>
  <conditionalFormatting sqref="F16">
    <cfRule type="cellIs" dxfId="823" priority="27" stopIfTrue="1" operator="equal">
      <formula>"E7"</formula>
    </cfRule>
    <cfRule type="cellIs" dxfId="822" priority="28" stopIfTrue="1" operator="equal">
      <formula>"E7A"</formula>
    </cfRule>
  </conditionalFormatting>
  <conditionalFormatting sqref="F17">
    <cfRule type="cellIs" dxfId="821" priority="25" stopIfTrue="1" operator="equal">
      <formula>"E7"</formula>
    </cfRule>
    <cfRule type="cellIs" dxfId="820" priority="26" stopIfTrue="1" operator="equal">
      <formula>"E7A"</formula>
    </cfRule>
  </conditionalFormatting>
  <conditionalFormatting sqref="FF6:FG6">
    <cfRule type="expression" dxfId="819" priority="24">
      <formula>FF272=0</formula>
    </cfRule>
  </conditionalFormatting>
  <conditionalFormatting sqref="FF1:FG1">
    <cfRule type="duplicateValues" dxfId="818" priority="23"/>
  </conditionalFormatting>
  <conditionalFormatting sqref="FF4:FG4">
    <cfRule type="duplicateValues" dxfId="817" priority="22"/>
  </conditionalFormatting>
  <conditionalFormatting sqref="H6">
    <cfRule type="expression" dxfId="816" priority="252">
      <formula>H$273&gt;0</formula>
    </cfRule>
    <cfRule type="duplicateValues" dxfId="815" priority="253"/>
  </conditionalFormatting>
  <conditionalFormatting sqref="I6:L6 AT6:BW6 FH6:FK6 BY6:CC6 CE6:FE6">
    <cfRule type="expression" dxfId="814" priority="254">
      <formula>I$273&gt;0</formula>
    </cfRule>
    <cfRule type="duplicateValues" dxfId="813" priority="255"/>
  </conditionalFormatting>
  <conditionalFormatting sqref="AI6:AS6">
    <cfRule type="expression" dxfId="812" priority="256">
      <formula>AI$273&gt;0</formula>
    </cfRule>
    <cfRule type="duplicateValues" dxfId="811" priority="257"/>
  </conditionalFormatting>
  <conditionalFormatting sqref="X6:AH6">
    <cfRule type="expression" dxfId="810" priority="258">
      <formula>X$273&gt;0</formula>
    </cfRule>
    <cfRule type="duplicateValues" dxfId="809" priority="259"/>
  </conditionalFormatting>
  <conditionalFormatting sqref="M6:W6">
    <cfRule type="expression" dxfId="808" priority="260">
      <formula>M$273&gt;0</formula>
    </cfRule>
    <cfRule type="duplicateValues" dxfId="807" priority="261"/>
  </conditionalFormatting>
  <conditionalFormatting sqref="FF6:FG6">
    <cfRule type="expression" dxfId="806" priority="262">
      <formula>FF$273&gt;0</formula>
    </cfRule>
    <cfRule type="duplicateValues" dxfId="805" priority="263"/>
  </conditionalFormatting>
  <conditionalFormatting sqref="BX6">
    <cfRule type="expression" dxfId="804" priority="19">
      <formula>BX272=0</formula>
    </cfRule>
  </conditionalFormatting>
  <conditionalFormatting sqref="BX1">
    <cfRule type="duplicateValues" dxfId="803" priority="18"/>
  </conditionalFormatting>
  <conditionalFormatting sqref="BX4">
    <cfRule type="duplicateValues" dxfId="802" priority="17"/>
  </conditionalFormatting>
  <conditionalFormatting sqref="BX6">
    <cfRule type="expression" dxfId="801" priority="20">
      <formula>BX$273&gt;0</formula>
    </cfRule>
    <cfRule type="duplicateValues" dxfId="800" priority="21"/>
  </conditionalFormatting>
  <conditionalFormatting sqref="CD6">
    <cfRule type="expression" dxfId="799" priority="14">
      <formula>CD272=0</formula>
    </cfRule>
  </conditionalFormatting>
  <conditionalFormatting sqref="CD1">
    <cfRule type="duplicateValues" dxfId="798" priority="13"/>
  </conditionalFormatting>
  <conditionalFormatting sqref="CD4">
    <cfRule type="duplicateValues" dxfId="797" priority="12"/>
  </conditionalFormatting>
  <conditionalFormatting sqref="CD6">
    <cfRule type="expression" dxfId="796" priority="15">
      <formula>CD$273&gt;0</formula>
    </cfRule>
    <cfRule type="duplicateValues" dxfId="795" priority="16"/>
  </conditionalFormatting>
  <conditionalFormatting sqref="F50">
    <cfRule type="cellIs" dxfId="794" priority="10" stopIfTrue="1" operator="equal">
      <formula>"E7"</formula>
    </cfRule>
    <cfRule type="cellIs" dxfId="793" priority="11" stopIfTrue="1" operator="equal">
      <formula>"E7A"</formula>
    </cfRule>
  </conditionalFormatting>
  <conditionalFormatting sqref="B50">
    <cfRule type="expression" dxfId="792" priority="9">
      <formula>$B50="A"</formula>
    </cfRule>
  </conditionalFormatting>
  <conditionalFormatting sqref="F99">
    <cfRule type="cellIs" dxfId="791" priority="7" stopIfTrue="1" operator="equal">
      <formula>"E7"</formula>
    </cfRule>
    <cfRule type="cellIs" dxfId="790" priority="8" stopIfTrue="1" operator="equal">
      <formula>"E7A"</formula>
    </cfRule>
  </conditionalFormatting>
  <conditionalFormatting sqref="B99">
    <cfRule type="expression" dxfId="789" priority="6">
      <formula>$B99="A"</formula>
    </cfRule>
  </conditionalFormatting>
  <conditionalFormatting sqref="F101">
    <cfRule type="cellIs" dxfId="788" priority="4" stopIfTrue="1" operator="equal">
      <formula>"E7"</formula>
    </cfRule>
    <cfRule type="cellIs" dxfId="787" priority="5" stopIfTrue="1" operator="equal">
      <formula>"E7A"</formula>
    </cfRule>
  </conditionalFormatting>
  <conditionalFormatting sqref="F98">
    <cfRule type="cellIs" dxfId="786" priority="2" stopIfTrue="1" operator="equal">
      <formula>"E7"</formula>
    </cfRule>
    <cfRule type="cellIs" dxfId="785" priority="3" stopIfTrue="1" operator="equal">
      <formula>"E7A"</formula>
    </cfRule>
  </conditionalFormatting>
  <conditionalFormatting sqref="B98">
    <cfRule type="expression" dxfId="784" priority="1">
      <formula>$B98="A"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FW96"/>
  <sheetViews>
    <sheetView workbookViewId="0">
      <pane xSplit="6" ySplit="6" topLeftCell="BU79" activePane="bottomRight" state="frozen"/>
      <selection pane="topRight" activeCell="G1" sqref="G1"/>
      <selection pane="bottomLeft" activeCell="A7" sqref="A7"/>
      <selection pane="bottomRight" activeCell="BY96" sqref="BY96"/>
    </sheetView>
  </sheetViews>
  <sheetFormatPr defaultRowHeight="10.199999999999999"/>
  <cols>
    <col min="1" max="1" width="7.88671875" style="273" bestFit="1" customWidth="1"/>
    <col min="2" max="2" width="5.21875" style="273" bestFit="1" customWidth="1"/>
    <col min="3" max="3" width="4.6640625" style="273" bestFit="1" customWidth="1"/>
    <col min="4" max="4" width="13.44140625" style="273" bestFit="1" customWidth="1"/>
    <col min="5" max="5" width="9.21875" style="273" bestFit="1" customWidth="1"/>
    <col min="6" max="7" width="9.44140625" style="273" bestFit="1" customWidth="1"/>
    <col min="8" max="8" width="10" style="273" bestFit="1" customWidth="1"/>
    <col min="9" max="9" width="9.77734375" style="273" bestFit="1" customWidth="1"/>
    <col min="10" max="10" width="9.6640625" style="273" bestFit="1" customWidth="1"/>
    <col min="11" max="11" width="10" style="273" bestFit="1" customWidth="1"/>
    <col min="12" max="12" width="9" style="273" bestFit="1" customWidth="1"/>
    <col min="13" max="13" width="10.21875" style="273" bestFit="1" customWidth="1"/>
    <col min="14" max="14" width="10.33203125" style="273" bestFit="1" customWidth="1"/>
    <col min="15" max="15" width="10.109375" style="273" bestFit="1" customWidth="1"/>
    <col min="16" max="16" width="10" style="273" bestFit="1" customWidth="1"/>
    <col min="17" max="17" width="10.44140625" style="273" bestFit="1" customWidth="1"/>
    <col min="18" max="18" width="9.6640625" style="273" bestFit="1" customWidth="1"/>
    <col min="19" max="20" width="9.33203125" style="273" bestFit="1" customWidth="1"/>
    <col min="21" max="21" width="10.109375" style="273" bestFit="1" customWidth="1"/>
    <col min="22" max="22" width="10.44140625" style="273" bestFit="1" customWidth="1"/>
    <col min="23" max="23" width="9.21875" style="273" bestFit="1" customWidth="1"/>
    <col min="24" max="24" width="10" style="273" bestFit="1" customWidth="1"/>
    <col min="25" max="25" width="10.33203125" style="273" bestFit="1" customWidth="1"/>
    <col min="26" max="26" width="9.33203125" style="273" bestFit="1" customWidth="1"/>
    <col min="27" max="27" width="10.109375" style="273" bestFit="1" customWidth="1"/>
    <col min="28" max="28" width="10.44140625" style="273" bestFit="1" customWidth="1"/>
    <col min="29" max="29" width="10.88671875" style="273" bestFit="1" customWidth="1"/>
    <col min="30" max="30" width="9.44140625" style="273" bestFit="1" customWidth="1"/>
    <col min="31" max="31" width="9.5546875" style="273" bestFit="1" customWidth="1"/>
    <col min="32" max="32" width="11.109375" style="273" bestFit="1" customWidth="1"/>
    <col min="33" max="33" width="9.21875" style="273" bestFit="1" customWidth="1"/>
    <col min="34" max="34" width="9.33203125" style="273" bestFit="1" customWidth="1"/>
    <col min="35" max="35" width="10.44140625" style="273" bestFit="1" customWidth="1"/>
    <col min="36" max="36" width="9.6640625" style="273" bestFit="1" customWidth="1"/>
    <col min="37" max="37" width="9.33203125" style="273" bestFit="1" customWidth="1"/>
    <col min="38" max="38" width="8.88671875" style="273"/>
    <col min="39" max="39" width="9.44140625" style="273" bestFit="1" customWidth="1"/>
    <col min="40" max="40" width="11" style="273" bestFit="1" customWidth="1"/>
    <col min="41" max="41" width="9.5546875" style="273" bestFit="1" customWidth="1"/>
    <col min="42" max="42" width="10.77734375" style="273" bestFit="1" customWidth="1"/>
    <col min="43" max="43" width="9.88671875" style="273" bestFit="1" customWidth="1"/>
    <col min="44" max="44" width="9.5546875" style="273" bestFit="1" customWidth="1"/>
    <col min="45" max="45" width="9.6640625" style="273" bestFit="1" customWidth="1"/>
    <col min="46" max="46" width="10.44140625" style="273" bestFit="1" customWidth="1"/>
    <col min="47" max="47" width="9.6640625" style="273" bestFit="1" customWidth="1"/>
    <col min="48" max="49" width="9.33203125" style="273" bestFit="1" customWidth="1"/>
    <col min="50" max="50" width="10.44140625" style="273" bestFit="1" customWidth="1"/>
    <col min="51" max="51" width="9.21875" style="273" bestFit="1" customWidth="1"/>
    <col min="52" max="52" width="9.5546875" style="273" bestFit="1" customWidth="1"/>
    <col min="53" max="53" width="9.6640625" style="273" bestFit="1" customWidth="1"/>
    <col min="54" max="54" width="9.33203125" style="273" bestFit="1" customWidth="1"/>
    <col min="55" max="55" width="9.6640625" style="273" bestFit="1" customWidth="1"/>
    <col min="56" max="56" width="10.44140625" style="273" bestFit="1" customWidth="1"/>
    <col min="57" max="57" width="10.88671875" style="273" bestFit="1" customWidth="1"/>
    <col min="58" max="58" width="11.33203125" style="273" bestFit="1" customWidth="1"/>
    <col min="59" max="59" width="9.109375" style="273" bestFit="1" customWidth="1"/>
    <col min="60" max="60" width="10.21875" style="273" bestFit="1" customWidth="1"/>
    <col min="61" max="61" width="8.6640625" style="273" bestFit="1" customWidth="1"/>
    <col min="62" max="62" width="10.21875" style="273" bestFit="1" customWidth="1"/>
    <col min="63" max="63" width="9.44140625" style="273" bestFit="1" customWidth="1"/>
    <col min="64" max="64" width="8.6640625" style="273" bestFit="1" customWidth="1"/>
    <col min="65" max="65" width="9.5546875" style="273" bestFit="1" customWidth="1"/>
    <col min="66" max="66" width="9.6640625" style="273" bestFit="1" customWidth="1"/>
    <col min="67" max="67" width="9.5546875" style="273" bestFit="1" customWidth="1"/>
    <col min="68" max="68" width="9.44140625" style="273" bestFit="1" customWidth="1"/>
    <col min="69" max="69" width="9.6640625" style="273" bestFit="1" customWidth="1"/>
    <col min="70" max="70" width="8.6640625" style="273" bestFit="1" customWidth="1"/>
    <col min="71" max="71" width="9.5546875" style="273" bestFit="1" customWidth="1"/>
    <col min="72" max="72" width="8.77734375" style="273" bestFit="1" customWidth="1"/>
    <col min="73" max="73" width="9.6640625" style="273" bestFit="1" customWidth="1"/>
    <col min="74" max="74" width="10.77734375" style="273" bestFit="1" customWidth="1"/>
    <col min="75" max="76" width="9.5546875" style="273" bestFit="1" customWidth="1"/>
    <col min="77" max="77" width="9.6640625" style="273" bestFit="1" customWidth="1"/>
    <col min="78" max="78" width="8.6640625" style="273" bestFit="1" customWidth="1"/>
    <col min="79" max="79" width="9.5546875" style="273" bestFit="1" customWidth="1"/>
    <col min="80" max="80" width="9.6640625" style="273" bestFit="1" customWidth="1"/>
    <col min="81" max="81" width="9.5546875" style="273" bestFit="1" customWidth="1"/>
    <col min="82" max="82" width="9.6640625" style="273" bestFit="1" customWidth="1"/>
    <col min="83" max="83" width="9.88671875" style="273" bestFit="1" customWidth="1"/>
    <col min="84" max="84" width="11" style="273" bestFit="1" customWidth="1"/>
    <col min="85" max="85" width="9.21875" style="273" bestFit="1" customWidth="1"/>
    <col min="86" max="86" width="8.6640625" style="273" bestFit="1" customWidth="1"/>
    <col min="87" max="87" width="9.5546875" style="273" bestFit="1" customWidth="1"/>
    <col min="88" max="88" width="9.6640625" style="273" bestFit="1" customWidth="1"/>
    <col min="89" max="89" width="11.109375" style="273" bestFit="1" customWidth="1"/>
    <col min="90" max="90" width="8.77734375" style="273" bestFit="1" customWidth="1"/>
    <col min="91" max="92" width="9.21875" style="273" bestFit="1" customWidth="1"/>
    <col min="93" max="93" width="8.88671875" style="273"/>
    <col min="94" max="94" width="9.21875" style="273" bestFit="1" customWidth="1"/>
    <col min="95" max="95" width="9.44140625" style="273" bestFit="1" customWidth="1"/>
    <col min="96" max="96" width="9.21875" style="273" bestFit="1" customWidth="1"/>
    <col min="97" max="97" width="8.44140625" style="273" bestFit="1" customWidth="1"/>
    <col min="98" max="98" width="9.5546875" style="273" bestFit="1" customWidth="1"/>
    <col min="99" max="99" width="9.21875" style="273" bestFit="1" customWidth="1"/>
    <col min="100" max="101" width="9.6640625" style="273" bestFit="1" customWidth="1"/>
    <col min="102" max="102" width="9.88671875" style="273" bestFit="1" customWidth="1"/>
    <col min="103" max="103" width="11" style="273" bestFit="1" customWidth="1"/>
    <col min="104" max="104" width="9.21875" style="273" bestFit="1" customWidth="1"/>
    <col min="105" max="105" width="8.6640625" style="273" bestFit="1" customWidth="1"/>
    <col min="106" max="106" width="9.5546875" style="273" bestFit="1" customWidth="1"/>
    <col min="107" max="107" width="9.6640625" style="273" bestFit="1" customWidth="1"/>
    <col min="108" max="108" width="8.77734375" style="273" bestFit="1" customWidth="1"/>
    <col min="109" max="111" width="9.21875" style="273" bestFit="1" customWidth="1"/>
    <col min="112" max="112" width="9.44140625" style="273" bestFit="1" customWidth="1"/>
    <col min="113" max="113" width="9.21875" style="273" bestFit="1" customWidth="1"/>
    <col min="114" max="114" width="8.44140625" style="273" bestFit="1" customWidth="1"/>
    <col min="115" max="115" width="8.6640625" style="273" bestFit="1" customWidth="1"/>
    <col min="116" max="116" width="9.5546875" style="273" bestFit="1" customWidth="1"/>
    <col min="117" max="117" width="8.109375" style="273" bestFit="1" customWidth="1"/>
    <col min="118" max="118" width="8.88671875" style="273"/>
    <col min="119" max="119" width="9.109375" style="273" bestFit="1" customWidth="1"/>
    <col min="120" max="120" width="10.109375" style="273" bestFit="1" customWidth="1"/>
    <col min="121" max="121" width="8.6640625" style="273" bestFit="1" customWidth="1"/>
    <col min="122" max="122" width="8.5546875" style="273" bestFit="1" customWidth="1"/>
    <col min="123" max="123" width="8.77734375" style="273" bestFit="1" customWidth="1"/>
    <col min="124" max="124" width="8.88671875" style="273"/>
    <col min="125" max="125" width="8.21875" style="273" bestFit="1" customWidth="1"/>
    <col min="126" max="126" width="8.77734375" style="273" bestFit="1" customWidth="1"/>
    <col min="127" max="127" width="9.33203125" style="273" bestFit="1" customWidth="1"/>
    <col min="128" max="130" width="10" style="273" bestFit="1" customWidth="1"/>
    <col min="131" max="131" width="10.33203125" style="273" bestFit="1" customWidth="1"/>
    <col min="132" max="132" width="9.5546875" style="273" bestFit="1" customWidth="1"/>
    <col min="133" max="133" width="10" style="273" bestFit="1" customWidth="1"/>
    <col min="134" max="134" width="9.21875" style="273" bestFit="1" customWidth="1"/>
    <col min="135" max="135" width="10" style="273" bestFit="1" customWidth="1"/>
    <col min="136" max="136" width="9.6640625" style="273" bestFit="1" customWidth="1"/>
    <col min="137" max="137" width="10.44140625" style="273" bestFit="1" customWidth="1"/>
    <col min="138" max="138" width="9.5546875" style="273" bestFit="1" customWidth="1"/>
    <col min="139" max="139" width="10.33203125" style="273" bestFit="1" customWidth="1"/>
    <col min="140" max="140" width="9.6640625" style="273" bestFit="1" customWidth="1"/>
    <col min="141" max="141" width="9.77734375" style="273" bestFit="1" customWidth="1"/>
    <col min="142" max="142" width="10" style="273" bestFit="1" customWidth="1"/>
    <col min="143" max="144" width="8.5546875" style="273" bestFit="1" customWidth="1"/>
    <col min="145" max="145" width="8.6640625" style="273" bestFit="1" customWidth="1"/>
    <col min="146" max="146" width="8.77734375" style="273" bestFit="1" customWidth="1"/>
    <col min="147" max="147" width="9.6640625" style="273" bestFit="1" customWidth="1"/>
    <col min="148" max="148" width="9.44140625" style="273" bestFit="1" customWidth="1"/>
    <col min="149" max="150" width="8.6640625" style="273" bestFit="1" customWidth="1"/>
    <col min="151" max="151" width="9.6640625" style="273" bestFit="1" customWidth="1"/>
    <col min="152" max="152" width="8.33203125" style="273" bestFit="1" customWidth="1"/>
    <col min="153" max="153" width="7.109375" style="273" bestFit="1" customWidth="1"/>
    <col min="154" max="154" width="8.5546875" style="273" bestFit="1" customWidth="1"/>
    <col min="155" max="155" width="9.6640625" style="273" bestFit="1" customWidth="1"/>
    <col min="156" max="156" width="10.77734375" style="273" bestFit="1" customWidth="1"/>
    <col min="157" max="157" width="8.6640625" style="273" bestFit="1" customWidth="1"/>
    <col min="158" max="159" width="9.6640625" style="273" bestFit="1" customWidth="1"/>
    <col min="160" max="160" width="11" style="273" bestFit="1" customWidth="1"/>
    <col min="161" max="161" width="8.6640625" style="273" bestFit="1" customWidth="1"/>
    <col min="162" max="162" width="9.6640625" style="273" bestFit="1" customWidth="1"/>
    <col min="163" max="163" width="9.21875" style="273" bestFit="1" customWidth="1"/>
    <col min="164" max="166" width="9.33203125" style="273" bestFit="1" customWidth="1"/>
    <col min="167" max="167" width="9.77734375" style="273" bestFit="1" customWidth="1"/>
    <col min="168" max="168" width="10.88671875" style="273" bestFit="1" customWidth="1"/>
    <col min="169" max="169" width="6.77734375" style="273" bestFit="1" customWidth="1"/>
    <col min="170" max="170" width="8.44140625" style="273" bestFit="1" customWidth="1"/>
    <col min="171" max="171" width="4.6640625" style="273" bestFit="1" customWidth="1"/>
    <col min="172" max="172" width="14.88671875" style="273" bestFit="1" customWidth="1"/>
    <col min="173" max="173" width="12.109375" style="273" bestFit="1" customWidth="1"/>
    <col min="174" max="174" width="4.88671875" style="273" bestFit="1" customWidth="1"/>
    <col min="175" max="175" width="12" style="273" bestFit="1" customWidth="1"/>
    <col min="176" max="16384" width="8.88671875" style="273"/>
  </cols>
  <sheetData>
    <row r="1" spans="1:176" ht="11.4">
      <c r="A1" s="221"/>
      <c r="B1" s="221"/>
      <c r="C1" s="222"/>
      <c r="D1" s="223"/>
      <c r="E1" s="223"/>
      <c r="F1" s="229" t="s">
        <v>875</v>
      </c>
      <c r="G1" s="223"/>
      <c r="H1" s="223"/>
      <c r="I1" s="223"/>
      <c r="J1" s="223"/>
      <c r="K1" s="223"/>
      <c r="L1" s="223"/>
      <c r="M1" s="223"/>
      <c r="N1" s="223"/>
      <c r="O1" s="223"/>
      <c r="P1" s="223"/>
      <c r="Q1" s="223"/>
      <c r="R1" s="223"/>
      <c r="S1" s="223"/>
      <c r="T1" s="223"/>
      <c r="U1" s="223"/>
      <c r="V1" s="223"/>
      <c r="W1" s="223"/>
      <c r="X1" s="223"/>
      <c r="Y1" s="223"/>
      <c r="Z1" s="223"/>
      <c r="AA1" s="223"/>
      <c r="AB1" s="223"/>
      <c r="AC1" s="223"/>
      <c r="AD1" s="223"/>
      <c r="AE1" s="223"/>
      <c r="AF1" s="223"/>
      <c r="AG1" s="223"/>
      <c r="AH1" s="223"/>
      <c r="AI1" s="223"/>
      <c r="AJ1" s="223"/>
      <c r="AK1" s="223"/>
      <c r="AL1" s="223"/>
      <c r="AM1" s="223"/>
      <c r="AN1" s="223"/>
      <c r="AO1" s="223"/>
      <c r="AP1" s="223"/>
      <c r="AQ1" s="223"/>
      <c r="AR1" s="223"/>
      <c r="AS1" s="223"/>
      <c r="AT1" s="223"/>
      <c r="AU1" s="223"/>
      <c r="AV1" s="223"/>
      <c r="AW1" s="223"/>
      <c r="AX1" s="223"/>
      <c r="AY1" s="223"/>
      <c r="AZ1" s="223"/>
      <c r="BA1" s="223"/>
      <c r="BB1" s="223"/>
      <c r="BC1" s="223"/>
      <c r="BD1" s="223"/>
      <c r="BE1" s="223"/>
      <c r="BF1" s="223"/>
      <c r="BG1" s="223"/>
      <c r="BH1" s="223"/>
      <c r="BI1" s="223"/>
      <c r="BJ1" s="223"/>
      <c r="BK1" s="223"/>
      <c r="BL1" s="223"/>
      <c r="BM1" s="223"/>
      <c r="BN1" s="223"/>
      <c r="BO1" s="223"/>
      <c r="BP1" s="223"/>
      <c r="BQ1" s="223"/>
      <c r="BR1" s="223"/>
      <c r="BS1" s="223"/>
      <c r="BT1" s="223"/>
      <c r="BU1" s="223"/>
      <c r="BV1" s="223"/>
      <c r="BW1" s="223"/>
      <c r="BX1" s="223"/>
      <c r="BY1" s="223"/>
      <c r="BZ1" s="223"/>
      <c r="CA1" s="223"/>
      <c r="CB1" s="223"/>
      <c r="CC1" s="223"/>
      <c r="CD1" s="223"/>
      <c r="CE1" s="223"/>
      <c r="CF1" s="223"/>
      <c r="CG1" s="223"/>
      <c r="CH1" s="223"/>
      <c r="CI1" s="223"/>
      <c r="CJ1" s="223"/>
      <c r="CK1" s="223"/>
      <c r="CL1" s="223"/>
      <c r="CM1" s="223"/>
      <c r="CN1" s="223"/>
      <c r="CO1" s="223"/>
      <c r="CP1" s="223"/>
      <c r="CQ1" s="223"/>
      <c r="CR1" s="223"/>
      <c r="CS1" s="223"/>
      <c r="CT1" s="223"/>
      <c r="CU1" s="223"/>
      <c r="CV1" s="223"/>
      <c r="CW1" s="223"/>
      <c r="CX1" s="223"/>
      <c r="CY1" s="223"/>
      <c r="CZ1" s="223"/>
      <c r="DA1" s="223"/>
      <c r="DB1" s="223"/>
      <c r="DC1" s="223"/>
      <c r="DD1" s="223"/>
      <c r="DE1" s="223"/>
      <c r="DF1" s="223"/>
      <c r="DG1" s="223"/>
      <c r="DH1" s="223"/>
      <c r="DI1" s="223"/>
      <c r="DJ1" s="223"/>
      <c r="DK1" s="223"/>
      <c r="DL1" s="223"/>
      <c r="DM1" s="223"/>
      <c r="DN1" s="223"/>
      <c r="DO1" s="223"/>
      <c r="DP1" s="223"/>
      <c r="DQ1" s="223"/>
      <c r="DR1" s="223"/>
      <c r="DS1" s="223"/>
      <c r="DT1" s="223"/>
      <c r="DU1" s="223"/>
      <c r="DV1" s="223"/>
      <c r="DW1" s="223"/>
      <c r="DX1" s="223"/>
      <c r="DY1" s="223"/>
      <c r="DZ1" s="223"/>
      <c r="EA1" s="223"/>
      <c r="EB1" s="223"/>
      <c r="EC1" s="223"/>
      <c r="ED1" s="223"/>
      <c r="EE1" s="223"/>
      <c r="EF1" s="223"/>
      <c r="EG1" s="223"/>
      <c r="EH1" s="223"/>
      <c r="EI1" s="223"/>
      <c r="EJ1" s="223"/>
      <c r="EK1" s="223"/>
      <c r="EL1" s="223"/>
      <c r="EM1" s="223"/>
      <c r="EN1" s="223"/>
      <c r="EO1" s="223"/>
      <c r="EP1" s="223"/>
      <c r="EQ1" s="223"/>
      <c r="ER1" s="223"/>
      <c r="ES1" s="223"/>
      <c r="ET1" s="223"/>
      <c r="EU1" s="223"/>
      <c r="EV1" s="223"/>
      <c r="EW1" s="223"/>
      <c r="EX1" s="223"/>
      <c r="EY1" s="223"/>
      <c r="EZ1" s="223"/>
      <c r="FA1" s="223"/>
      <c r="FB1" s="223"/>
      <c r="FC1" s="223"/>
      <c r="FD1" s="223"/>
      <c r="FE1" s="223"/>
      <c r="FF1" s="223"/>
      <c r="FG1" s="223"/>
      <c r="FH1" s="223"/>
      <c r="FI1" s="223"/>
      <c r="FJ1" s="223"/>
      <c r="FK1" s="223"/>
      <c r="FL1" s="223"/>
      <c r="FM1" s="224"/>
      <c r="FN1" s="225"/>
      <c r="FO1" s="226"/>
      <c r="FP1" s="221"/>
      <c r="FQ1" s="221"/>
      <c r="FR1" s="221"/>
      <c r="FS1" s="221"/>
      <c r="FT1" s="221"/>
    </row>
    <row r="2" spans="1:176" ht="11.4">
      <c r="A2" s="228"/>
      <c r="B2" s="228"/>
      <c r="C2" s="228"/>
      <c r="D2" s="229"/>
      <c r="E2" s="229"/>
      <c r="F2" s="229" t="s">
        <v>876</v>
      </c>
      <c r="G2" s="230" t="s">
        <v>1</v>
      </c>
      <c r="H2" s="230" t="s">
        <v>291</v>
      </c>
      <c r="I2" s="230" t="s">
        <v>293</v>
      </c>
      <c r="J2" s="230" t="s">
        <v>291</v>
      </c>
      <c r="K2" s="231" t="s">
        <v>775</v>
      </c>
      <c r="L2" s="230" t="s">
        <v>1</v>
      </c>
      <c r="M2" s="230" t="s">
        <v>291</v>
      </c>
      <c r="N2" s="231" t="s">
        <v>773</v>
      </c>
      <c r="O2" s="230" t="s">
        <v>1</v>
      </c>
      <c r="P2" s="231" t="s">
        <v>777</v>
      </c>
      <c r="Q2" s="230" t="s">
        <v>291</v>
      </c>
      <c r="R2" s="231" t="s">
        <v>773</v>
      </c>
      <c r="S2" s="230" t="s">
        <v>291</v>
      </c>
      <c r="T2" s="230" t="s">
        <v>1</v>
      </c>
      <c r="U2" s="230" t="s">
        <v>1</v>
      </c>
      <c r="V2" s="230" t="s">
        <v>1</v>
      </c>
      <c r="W2" s="231" t="s">
        <v>773</v>
      </c>
      <c r="X2" s="230" t="s">
        <v>1</v>
      </c>
      <c r="Y2" s="230" t="s">
        <v>1</v>
      </c>
      <c r="Z2" s="230" t="s">
        <v>1</v>
      </c>
      <c r="AA2" s="230" t="s">
        <v>1</v>
      </c>
      <c r="AB2" s="231" t="s">
        <v>773</v>
      </c>
      <c r="AC2" s="230" t="s">
        <v>291</v>
      </c>
      <c r="AD2" s="231" t="s">
        <v>773</v>
      </c>
      <c r="AE2" s="230" t="s">
        <v>291</v>
      </c>
      <c r="AF2" s="230" t="s">
        <v>291</v>
      </c>
      <c r="AG2" s="231" t="s">
        <v>773</v>
      </c>
      <c r="AH2" s="230" t="s">
        <v>1</v>
      </c>
      <c r="AI2" s="230" t="s">
        <v>1</v>
      </c>
      <c r="AJ2" s="230" t="s">
        <v>1</v>
      </c>
      <c r="AK2" s="231" t="s">
        <v>775</v>
      </c>
      <c r="AL2" s="230" t="s">
        <v>1</v>
      </c>
      <c r="AM2" s="231" t="s">
        <v>772</v>
      </c>
      <c r="AN2" s="230" t="s">
        <v>291</v>
      </c>
      <c r="AO2" s="230" t="s">
        <v>291</v>
      </c>
      <c r="AP2" s="231" t="s">
        <v>772</v>
      </c>
      <c r="AQ2" s="230" t="s">
        <v>1</v>
      </c>
      <c r="AR2" s="231" t="s">
        <v>773</v>
      </c>
      <c r="AS2" s="231" t="s">
        <v>774</v>
      </c>
      <c r="AT2" s="230" t="s">
        <v>1</v>
      </c>
      <c r="AU2" s="231" t="s">
        <v>775</v>
      </c>
      <c r="AV2" s="230" t="s">
        <v>1</v>
      </c>
      <c r="AW2" s="230" t="s">
        <v>291</v>
      </c>
      <c r="AX2" s="230" t="s">
        <v>291</v>
      </c>
      <c r="AY2" s="231" t="s">
        <v>775</v>
      </c>
      <c r="AZ2" s="230" t="s">
        <v>1</v>
      </c>
      <c r="BA2" s="230" t="s">
        <v>1</v>
      </c>
      <c r="BB2" s="231" t="s">
        <v>773</v>
      </c>
      <c r="BC2" s="231" t="s">
        <v>774</v>
      </c>
      <c r="BD2" s="230" t="s">
        <v>1</v>
      </c>
      <c r="BE2" s="231" t="s">
        <v>775</v>
      </c>
      <c r="BF2" s="230" t="s">
        <v>1</v>
      </c>
      <c r="BG2" s="230" t="s">
        <v>1</v>
      </c>
      <c r="BH2" s="230" t="s">
        <v>1</v>
      </c>
      <c r="BI2" s="230" t="s">
        <v>1</v>
      </c>
      <c r="BJ2" s="230" t="s">
        <v>1</v>
      </c>
      <c r="BK2" s="231" t="s">
        <v>776</v>
      </c>
      <c r="BL2" s="230" t="s">
        <v>1</v>
      </c>
      <c r="BM2" s="231" t="s">
        <v>776</v>
      </c>
      <c r="BN2" s="231" t="s">
        <v>776</v>
      </c>
      <c r="BO2" s="231" t="s">
        <v>777</v>
      </c>
      <c r="BP2" s="230" t="s">
        <v>1</v>
      </c>
      <c r="BQ2" s="230" t="s">
        <v>1</v>
      </c>
      <c r="BR2" s="230" t="s">
        <v>1</v>
      </c>
      <c r="BS2" s="230" t="s">
        <v>1</v>
      </c>
      <c r="BT2" s="230" t="s">
        <v>1</v>
      </c>
      <c r="BU2" s="230" t="s">
        <v>1</v>
      </c>
      <c r="BV2" s="230" t="s">
        <v>1</v>
      </c>
      <c r="BW2" s="230" t="s">
        <v>1</v>
      </c>
      <c r="BX2" s="230" t="s">
        <v>1</v>
      </c>
      <c r="BY2" s="231" t="s">
        <v>776</v>
      </c>
      <c r="BZ2" s="230" t="s">
        <v>1</v>
      </c>
      <c r="CA2" s="230" t="s">
        <v>1</v>
      </c>
      <c r="CB2" s="231" t="s">
        <v>776</v>
      </c>
      <c r="CC2" s="230" t="s">
        <v>1</v>
      </c>
      <c r="CD2" s="231" t="s">
        <v>776</v>
      </c>
      <c r="CE2" s="231" t="s">
        <v>777</v>
      </c>
      <c r="CF2" s="231" t="s">
        <v>777</v>
      </c>
      <c r="CG2" s="230" t="s">
        <v>1</v>
      </c>
      <c r="CH2" s="230" t="s">
        <v>1</v>
      </c>
      <c r="CI2" s="230" t="s">
        <v>1</v>
      </c>
      <c r="CJ2" s="230" t="s">
        <v>1</v>
      </c>
      <c r="CK2" s="230" t="s">
        <v>1</v>
      </c>
      <c r="CL2" s="231" t="s">
        <v>777</v>
      </c>
      <c r="CM2" s="231" t="s">
        <v>777</v>
      </c>
      <c r="CN2" s="231" t="s">
        <v>777</v>
      </c>
      <c r="CO2" s="231" t="s">
        <v>777</v>
      </c>
      <c r="CP2" s="231" t="s">
        <v>777</v>
      </c>
      <c r="CQ2" s="231" t="s">
        <v>777</v>
      </c>
      <c r="CR2" s="231" t="s">
        <v>777</v>
      </c>
      <c r="CS2" s="230" t="s">
        <v>1</v>
      </c>
      <c r="CT2" s="230" t="s">
        <v>1</v>
      </c>
      <c r="CU2" s="230" t="s">
        <v>1</v>
      </c>
      <c r="CV2" s="230" t="s">
        <v>1</v>
      </c>
      <c r="CW2" s="231" t="s">
        <v>776</v>
      </c>
      <c r="CX2" s="231" t="s">
        <v>776</v>
      </c>
      <c r="CY2" s="231" t="s">
        <v>776</v>
      </c>
      <c r="CZ2" s="230" t="s">
        <v>1</v>
      </c>
      <c r="DA2" s="230" t="s">
        <v>1</v>
      </c>
      <c r="DB2" s="230" t="s">
        <v>1</v>
      </c>
      <c r="DC2" s="230" t="s">
        <v>1</v>
      </c>
      <c r="DD2" s="231" t="s">
        <v>777</v>
      </c>
      <c r="DE2" s="231" t="s">
        <v>777</v>
      </c>
      <c r="DF2" s="231" t="s">
        <v>777</v>
      </c>
      <c r="DG2" s="231" t="s">
        <v>777</v>
      </c>
      <c r="DH2" s="231" t="s">
        <v>777</v>
      </c>
      <c r="DI2" s="231" t="s">
        <v>777</v>
      </c>
      <c r="DJ2" s="230" t="s">
        <v>1</v>
      </c>
      <c r="DK2" s="230" t="s">
        <v>1</v>
      </c>
      <c r="DL2" s="230" t="s">
        <v>1</v>
      </c>
      <c r="DM2" s="230" t="s">
        <v>291</v>
      </c>
      <c r="DN2" s="230" t="s">
        <v>1</v>
      </c>
      <c r="DO2" s="230" t="s">
        <v>1</v>
      </c>
      <c r="DP2" s="230" t="s">
        <v>1</v>
      </c>
      <c r="DQ2" s="230" t="s">
        <v>1</v>
      </c>
      <c r="DR2" s="230" t="s">
        <v>1</v>
      </c>
      <c r="DS2" s="230" t="s">
        <v>1</v>
      </c>
      <c r="DT2" s="230" t="s">
        <v>1</v>
      </c>
      <c r="DU2" s="230" t="s">
        <v>1</v>
      </c>
      <c r="DV2" s="230" t="s">
        <v>1</v>
      </c>
      <c r="DW2" s="231" t="s">
        <v>775</v>
      </c>
      <c r="DX2" s="231" t="s">
        <v>775</v>
      </c>
      <c r="DY2" s="231" t="s">
        <v>775</v>
      </c>
      <c r="DZ2" s="230" t="s">
        <v>1</v>
      </c>
      <c r="EA2" s="230" t="s">
        <v>291</v>
      </c>
      <c r="EB2" s="230" t="s">
        <v>291</v>
      </c>
      <c r="EC2" s="230" t="s">
        <v>291</v>
      </c>
      <c r="ED2" s="230" t="s">
        <v>1</v>
      </c>
      <c r="EE2" s="230" t="s">
        <v>1</v>
      </c>
      <c r="EF2" s="230" t="s">
        <v>1</v>
      </c>
      <c r="EG2" s="230" t="s">
        <v>1</v>
      </c>
      <c r="EH2" s="230" t="s">
        <v>1</v>
      </c>
      <c r="EI2" s="230" t="s">
        <v>1</v>
      </c>
      <c r="EJ2" s="230" t="s">
        <v>1</v>
      </c>
      <c r="EK2" s="230" t="s">
        <v>1</v>
      </c>
      <c r="EL2" s="230" t="s">
        <v>1</v>
      </c>
      <c r="EM2" s="230" t="s">
        <v>1</v>
      </c>
      <c r="EN2" s="230" t="s">
        <v>1</v>
      </c>
      <c r="EO2" s="230" t="s">
        <v>1</v>
      </c>
      <c r="EP2" s="230" t="s">
        <v>1</v>
      </c>
      <c r="EQ2" s="230" t="s">
        <v>1</v>
      </c>
      <c r="ER2" s="230" t="s">
        <v>1</v>
      </c>
      <c r="ES2" s="230" t="s">
        <v>293</v>
      </c>
      <c r="ET2" s="230" t="s">
        <v>1</v>
      </c>
      <c r="EU2" s="230" t="s">
        <v>1</v>
      </c>
      <c r="EV2" s="230" t="s">
        <v>1</v>
      </c>
      <c r="EW2" s="230" t="s">
        <v>293</v>
      </c>
      <c r="EX2" s="230" t="s">
        <v>1</v>
      </c>
      <c r="EY2" s="230" t="s">
        <v>1</v>
      </c>
      <c r="EZ2" s="230" t="s">
        <v>1</v>
      </c>
      <c r="FA2" s="230" t="s">
        <v>293</v>
      </c>
      <c r="FB2" s="230" t="s">
        <v>1</v>
      </c>
      <c r="FC2" s="230" t="s">
        <v>1</v>
      </c>
      <c r="FD2" s="230" t="s">
        <v>1</v>
      </c>
      <c r="FE2" s="230" t="s">
        <v>293</v>
      </c>
      <c r="FF2" s="230" t="s">
        <v>1</v>
      </c>
      <c r="FG2" s="230" t="s">
        <v>291</v>
      </c>
      <c r="FH2" s="230" t="s">
        <v>1</v>
      </c>
      <c r="FI2" s="230" t="s">
        <v>1</v>
      </c>
      <c r="FJ2" s="230" t="s">
        <v>1</v>
      </c>
      <c r="FK2" s="230" t="s">
        <v>1</v>
      </c>
      <c r="FL2" s="230" t="s">
        <v>1</v>
      </c>
      <c r="FM2" s="224"/>
      <c r="FN2" s="232"/>
      <c r="FO2" s="233"/>
      <c r="FP2" s="228"/>
      <c r="FQ2" s="228"/>
      <c r="FR2" s="228"/>
      <c r="FS2" s="228"/>
      <c r="FT2" s="228"/>
    </row>
    <row r="3" spans="1:176">
      <c r="A3" s="228"/>
      <c r="B3" s="228"/>
      <c r="C3" s="228"/>
      <c r="D3" s="229"/>
      <c r="E3" s="229"/>
      <c r="F3" s="229" t="s">
        <v>296</v>
      </c>
      <c r="G3" s="230">
        <v>20</v>
      </c>
      <c r="H3" s="230">
        <v>20</v>
      </c>
      <c r="I3" s="230">
        <v>20</v>
      </c>
      <c r="J3" s="230">
        <v>20</v>
      </c>
      <c r="K3" s="230">
        <v>20</v>
      </c>
      <c r="L3" s="230">
        <v>20</v>
      </c>
      <c r="M3" s="230">
        <v>20</v>
      </c>
      <c r="N3" s="230">
        <v>20</v>
      </c>
      <c r="O3" s="230">
        <v>20</v>
      </c>
      <c r="P3" s="230">
        <v>20</v>
      </c>
      <c r="Q3" s="230">
        <v>10</v>
      </c>
      <c r="R3" s="230">
        <v>20</v>
      </c>
      <c r="S3" s="230">
        <v>20</v>
      </c>
      <c r="T3" s="230">
        <v>20</v>
      </c>
      <c r="U3" s="230">
        <v>20</v>
      </c>
      <c r="V3" s="230">
        <v>10</v>
      </c>
      <c r="W3" s="230">
        <v>20</v>
      </c>
      <c r="X3" s="230">
        <v>20</v>
      </c>
      <c r="Y3" s="230">
        <v>10</v>
      </c>
      <c r="Z3" s="230">
        <v>20</v>
      </c>
      <c r="AA3" s="230">
        <v>20</v>
      </c>
      <c r="AB3" s="230">
        <v>20</v>
      </c>
      <c r="AC3" s="230">
        <v>20</v>
      </c>
      <c r="AD3" s="230">
        <v>20</v>
      </c>
      <c r="AE3" s="230">
        <v>20</v>
      </c>
      <c r="AF3" s="230">
        <v>10</v>
      </c>
      <c r="AG3" s="230">
        <v>10</v>
      </c>
      <c r="AH3" s="230">
        <v>10</v>
      </c>
      <c r="AI3" s="230">
        <v>10</v>
      </c>
      <c r="AJ3" s="230">
        <v>20</v>
      </c>
      <c r="AK3" s="230">
        <v>10</v>
      </c>
      <c r="AL3" s="230">
        <v>10</v>
      </c>
      <c r="AM3" s="230">
        <v>10</v>
      </c>
      <c r="AN3" s="230">
        <v>5</v>
      </c>
      <c r="AO3" s="230">
        <v>10</v>
      </c>
      <c r="AP3" s="230">
        <v>10</v>
      </c>
      <c r="AQ3" s="230">
        <v>20</v>
      </c>
      <c r="AR3" s="230">
        <v>20</v>
      </c>
      <c r="AS3" s="230">
        <v>10</v>
      </c>
      <c r="AT3" s="230">
        <v>10</v>
      </c>
      <c r="AU3" s="230">
        <v>20</v>
      </c>
      <c r="AV3" s="230">
        <v>20</v>
      </c>
      <c r="AW3" s="230">
        <v>10</v>
      </c>
      <c r="AX3" s="230">
        <v>10</v>
      </c>
      <c r="AY3" s="230">
        <v>10</v>
      </c>
      <c r="AZ3" s="230">
        <v>10</v>
      </c>
      <c r="BA3" s="230">
        <v>20</v>
      </c>
      <c r="BB3" s="230">
        <v>20</v>
      </c>
      <c r="BC3" s="230">
        <v>10</v>
      </c>
      <c r="BD3" s="230">
        <v>10</v>
      </c>
      <c r="BE3" s="230">
        <v>10</v>
      </c>
      <c r="BF3" s="230">
        <v>10</v>
      </c>
      <c r="BG3" s="230">
        <v>10</v>
      </c>
      <c r="BH3" s="230">
        <v>10</v>
      </c>
      <c r="BI3" s="230">
        <v>5</v>
      </c>
      <c r="BJ3" s="230">
        <v>10</v>
      </c>
      <c r="BK3" s="230">
        <v>10</v>
      </c>
      <c r="BL3" s="230">
        <v>10</v>
      </c>
      <c r="BM3" s="230">
        <v>10</v>
      </c>
      <c r="BN3" s="230">
        <v>10</v>
      </c>
      <c r="BO3" s="230">
        <v>10</v>
      </c>
      <c r="BP3" s="230">
        <v>10</v>
      </c>
      <c r="BQ3" s="230">
        <v>5</v>
      </c>
      <c r="BR3" s="230">
        <v>10</v>
      </c>
      <c r="BS3" s="230">
        <v>10</v>
      </c>
      <c r="BT3" s="230" t="s">
        <v>206</v>
      </c>
      <c r="BU3" s="230">
        <v>10</v>
      </c>
      <c r="BV3" s="230">
        <v>10</v>
      </c>
      <c r="BW3" s="230">
        <v>10</v>
      </c>
      <c r="BX3" s="230">
        <v>10</v>
      </c>
      <c r="BY3" s="230">
        <v>5</v>
      </c>
      <c r="BZ3" s="230">
        <v>10</v>
      </c>
      <c r="CA3" s="230">
        <v>10</v>
      </c>
      <c r="CB3" s="230">
        <v>10</v>
      </c>
      <c r="CC3" s="230">
        <v>10</v>
      </c>
      <c r="CD3" s="230">
        <v>5</v>
      </c>
      <c r="CE3" s="230">
        <v>4</v>
      </c>
      <c r="CF3" s="230">
        <v>5</v>
      </c>
      <c r="CG3" s="230">
        <v>5</v>
      </c>
      <c r="CH3" s="230">
        <v>10</v>
      </c>
      <c r="CI3" s="230">
        <v>10</v>
      </c>
      <c r="CJ3" s="230">
        <v>10</v>
      </c>
      <c r="CK3" s="230">
        <v>10</v>
      </c>
      <c r="CL3" s="230">
        <v>1</v>
      </c>
      <c r="CM3" s="230">
        <v>1</v>
      </c>
      <c r="CN3" s="230">
        <v>1</v>
      </c>
      <c r="CO3" s="230">
        <v>1</v>
      </c>
      <c r="CP3" s="230">
        <v>1</v>
      </c>
      <c r="CQ3" s="230">
        <v>1</v>
      </c>
      <c r="CR3" s="230">
        <v>1</v>
      </c>
      <c r="CS3" s="230">
        <v>10</v>
      </c>
      <c r="CT3" s="230">
        <v>10</v>
      </c>
      <c r="CU3" s="230">
        <v>5</v>
      </c>
      <c r="CV3" s="230">
        <v>10</v>
      </c>
      <c r="CW3" s="230">
        <v>5</v>
      </c>
      <c r="CX3" s="230">
        <v>4</v>
      </c>
      <c r="CY3" s="230">
        <v>5</v>
      </c>
      <c r="CZ3" s="230">
        <v>5</v>
      </c>
      <c r="DA3" s="230">
        <v>10</v>
      </c>
      <c r="DB3" s="230">
        <v>10</v>
      </c>
      <c r="DC3" s="230">
        <v>10</v>
      </c>
      <c r="DD3" s="230">
        <v>1</v>
      </c>
      <c r="DE3" s="230">
        <v>1</v>
      </c>
      <c r="DF3" s="230">
        <v>1</v>
      </c>
      <c r="DG3" s="230">
        <v>1</v>
      </c>
      <c r="DH3" s="230">
        <v>1</v>
      </c>
      <c r="DI3" s="230">
        <v>1</v>
      </c>
      <c r="DJ3" s="230">
        <v>10</v>
      </c>
      <c r="DK3" s="230">
        <v>5</v>
      </c>
      <c r="DL3" s="230">
        <v>10</v>
      </c>
      <c r="DM3" s="230">
        <v>5</v>
      </c>
      <c r="DN3" s="230">
        <v>5</v>
      </c>
      <c r="DO3" s="230">
        <v>4</v>
      </c>
      <c r="DP3" s="230">
        <v>5</v>
      </c>
      <c r="DQ3" s="230">
        <v>5</v>
      </c>
      <c r="DR3" s="230">
        <v>10</v>
      </c>
      <c r="DS3" s="230">
        <v>10</v>
      </c>
      <c r="DT3" s="230">
        <v>10</v>
      </c>
      <c r="DU3" s="230">
        <v>10</v>
      </c>
      <c r="DV3" s="230">
        <v>10</v>
      </c>
      <c r="DW3" s="230">
        <v>30</v>
      </c>
      <c r="DX3" s="230">
        <v>20</v>
      </c>
      <c r="DY3" s="230">
        <v>30</v>
      </c>
      <c r="DZ3" s="230">
        <v>30</v>
      </c>
      <c r="EA3" s="230">
        <v>30</v>
      </c>
      <c r="EB3" s="230">
        <v>20</v>
      </c>
      <c r="EC3" s="230">
        <v>30</v>
      </c>
      <c r="ED3" s="230">
        <v>10</v>
      </c>
      <c r="EE3" s="230">
        <v>10</v>
      </c>
      <c r="EF3" s="230">
        <v>10</v>
      </c>
      <c r="EG3" s="230">
        <v>10</v>
      </c>
      <c r="EH3" s="230">
        <v>10</v>
      </c>
      <c r="EI3" s="230">
        <v>10</v>
      </c>
      <c r="EJ3" s="230">
        <v>10</v>
      </c>
      <c r="EK3" s="230">
        <v>10</v>
      </c>
      <c r="EL3" s="230">
        <v>10</v>
      </c>
      <c r="EM3" s="230">
        <v>10</v>
      </c>
      <c r="EN3" s="230">
        <v>10</v>
      </c>
      <c r="EO3" s="230">
        <v>5</v>
      </c>
      <c r="EP3" s="230">
        <v>10</v>
      </c>
      <c r="EQ3" s="230">
        <v>10</v>
      </c>
      <c r="ER3" s="230">
        <v>10</v>
      </c>
      <c r="ES3" s="230">
        <v>10</v>
      </c>
      <c r="ET3" s="230">
        <v>10</v>
      </c>
      <c r="EU3" s="230">
        <v>10</v>
      </c>
      <c r="EV3" s="230">
        <v>5</v>
      </c>
      <c r="EW3" s="230">
        <v>10</v>
      </c>
      <c r="EX3" s="230">
        <v>10</v>
      </c>
      <c r="EY3" s="230">
        <v>5</v>
      </c>
      <c r="EZ3" s="230">
        <v>5</v>
      </c>
      <c r="FA3" s="230">
        <v>10</v>
      </c>
      <c r="FB3" s="230">
        <v>10</v>
      </c>
      <c r="FC3" s="230">
        <v>5</v>
      </c>
      <c r="FD3" s="230" t="s">
        <v>206</v>
      </c>
      <c r="FE3" s="230">
        <v>10</v>
      </c>
      <c r="FF3" s="230">
        <v>10</v>
      </c>
      <c r="FG3" s="230">
        <v>20</v>
      </c>
      <c r="FH3" s="230">
        <v>10</v>
      </c>
      <c r="FI3" s="230">
        <v>10</v>
      </c>
      <c r="FJ3" s="230">
        <v>10</v>
      </c>
      <c r="FK3" s="230">
        <v>10</v>
      </c>
      <c r="FL3" s="230">
        <v>10</v>
      </c>
      <c r="FM3" s="224"/>
      <c r="FN3" s="227"/>
      <c r="FO3" s="228"/>
      <c r="FP3" s="232"/>
      <c r="FQ3" s="233"/>
      <c r="FR3" s="228"/>
      <c r="FS3" s="228"/>
      <c r="FT3" s="228"/>
    </row>
    <row r="4" spans="1:176" ht="40.799999999999997">
      <c r="A4" s="235"/>
      <c r="B4" s="235"/>
      <c r="C4" s="235"/>
      <c r="D4" s="234"/>
      <c r="E4" s="234"/>
      <c r="F4" s="234" t="s">
        <v>778</v>
      </c>
      <c r="G4" s="236" t="s">
        <v>453</v>
      </c>
      <c r="H4" s="236" t="s">
        <v>454</v>
      </c>
      <c r="I4" s="236" t="s">
        <v>455</v>
      </c>
      <c r="J4" s="236" t="s">
        <v>456</v>
      </c>
      <c r="K4" s="236" t="s">
        <v>297</v>
      </c>
      <c r="L4" s="236" t="s">
        <v>457</v>
      </c>
      <c r="M4" s="236" t="s">
        <v>298</v>
      </c>
      <c r="N4" s="236" t="s">
        <v>458</v>
      </c>
      <c r="O4" s="236" t="s">
        <v>459</v>
      </c>
      <c r="P4" s="236" t="s">
        <v>460</v>
      </c>
      <c r="Q4" s="236" t="s">
        <v>461</v>
      </c>
      <c r="R4" s="236" t="s">
        <v>462</v>
      </c>
      <c r="S4" s="236" t="s">
        <v>463</v>
      </c>
      <c r="T4" s="236" t="s">
        <v>464</v>
      </c>
      <c r="U4" s="236" t="s">
        <v>465</v>
      </c>
      <c r="V4" s="236" t="s">
        <v>466</v>
      </c>
      <c r="W4" s="236" t="s">
        <v>468</v>
      </c>
      <c r="X4" s="236" t="s">
        <v>469</v>
      </c>
      <c r="Y4" s="236" t="s">
        <v>470</v>
      </c>
      <c r="Z4" s="236" t="s">
        <v>299</v>
      </c>
      <c r="AA4" s="236" t="s">
        <v>471</v>
      </c>
      <c r="AB4" s="236" t="s">
        <v>300</v>
      </c>
      <c r="AC4" s="236" t="s">
        <v>472</v>
      </c>
      <c r="AD4" s="236" t="s">
        <v>473</v>
      </c>
      <c r="AE4" s="236" t="s">
        <v>474</v>
      </c>
      <c r="AF4" s="236" t="s">
        <v>301</v>
      </c>
      <c r="AG4" s="236" t="s">
        <v>475</v>
      </c>
      <c r="AH4" s="236" t="s">
        <v>476</v>
      </c>
      <c r="AI4" s="236" t="s">
        <v>477</v>
      </c>
      <c r="AJ4" s="236" t="s">
        <v>478</v>
      </c>
      <c r="AK4" s="236" t="s">
        <v>479</v>
      </c>
      <c r="AL4" s="236" t="s">
        <v>480</v>
      </c>
      <c r="AM4" s="236" t="s">
        <v>302</v>
      </c>
      <c r="AN4" s="236" t="s">
        <v>481</v>
      </c>
      <c r="AO4" s="236" t="s">
        <v>482</v>
      </c>
      <c r="AP4" s="236" t="s">
        <v>1249</v>
      </c>
      <c r="AQ4" s="236" t="s">
        <v>484</v>
      </c>
      <c r="AR4" s="236" t="s">
        <v>303</v>
      </c>
      <c r="AS4" s="236" t="s">
        <v>304</v>
      </c>
      <c r="AT4" s="236" t="s">
        <v>486</v>
      </c>
      <c r="AU4" s="236" t="s">
        <v>487</v>
      </c>
      <c r="AV4" s="236" t="s">
        <v>488</v>
      </c>
      <c r="AW4" s="236" t="s">
        <v>489</v>
      </c>
      <c r="AX4" s="236" t="s">
        <v>490</v>
      </c>
      <c r="AY4" s="236" t="s">
        <v>305</v>
      </c>
      <c r="AZ4" s="236" t="s">
        <v>491</v>
      </c>
      <c r="BA4" s="236" t="s">
        <v>492</v>
      </c>
      <c r="BB4" s="236" t="s">
        <v>493</v>
      </c>
      <c r="BC4" s="236" t="s">
        <v>306</v>
      </c>
      <c r="BD4" s="236" t="s">
        <v>494</v>
      </c>
      <c r="BE4" s="236" t="s">
        <v>495</v>
      </c>
      <c r="BF4" s="236" t="s">
        <v>783</v>
      </c>
      <c r="BG4" s="236" t="s">
        <v>307</v>
      </c>
      <c r="BH4" s="236" t="s">
        <v>784</v>
      </c>
      <c r="BI4" s="236" t="s">
        <v>1202</v>
      </c>
      <c r="BJ4" s="236" t="s">
        <v>1203</v>
      </c>
      <c r="BK4" s="236" t="s">
        <v>285</v>
      </c>
      <c r="BL4" s="236" t="s">
        <v>272</v>
      </c>
      <c r="BM4" s="236" t="s">
        <v>257</v>
      </c>
      <c r="BN4" s="236" t="s">
        <v>258</v>
      </c>
      <c r="BO4" s="236" t="s">
        <v>273</v>
      </c>
      <c r="BP4" s="236" t="s">
        <v>500</v>
      </c>
      <c r="BQ4" s="236" t="s">
        <v>20</v>
      </c>
      <c r="BR4" s="236" t="s">
        <v>11</v>
      </c>
      <c r="BS4" s="236" t="s">
        <v>12</v>
      </c>
      <c r="BT4" s="236" t="s">
        <v>1026</v>
      </c>
      <c r="BU4" s="236" t="s">
        <v>13</v>
      </c>
      <c r="BV4" s="236" t="s">
        <v>70</v>
      </c>
      <c r="BW4" s="236" t="s">
        <v>501</v>
      </c>
      <c r="BX4" s="236" t="s">
        <v>231</v>
      </c>
      <c r="BY4" s="236" t="s">
        <v>17</v>
      </c>
      <c r="BZ4" s="236" t="s">
        <v>14</v>
      </c>
      <c r="CA4" s="236" t="s">
        <v>6</v>
      </c>
      <c r="CB4" s="236" t="s">
        <v>7</v>
      </c>
      <c r="CC4" s="236" t="s">
        <v>18</v>
      </c>
      <c r="CD4" s="236" t="s">
        <v>8</v>
      </c>
      <c r="CE4" s="236" t="s">
        <v>87</v>
      </c>
      <c r="CF4" s="236" t="s">
        <v>71</v>
      </c>
      <c r="CG4" s="236" t="s">
        <v>16</v>
      </c>
      <c r="CH4" s="236" t="s">
        <v>72</v>
      </c>
      <c r="CI4" s="236" t="s">
        <v>2</v>
      </c>
      <c r="CJ4" s="236" t="s">
        <v>3</v>
      </c>
      <c r="CK4" s="236" t="s">
        <v>502</v>
      </c>
      <c r="CL4" s="236" t="s">
        <v>115</v>
      </c>
      <c r="CM4" s="236" t="s">
        <v>115</v>
      </c>
      <c r="CN4" s="236" t="s">
        <v>115</v>
      </c>
      <c r="CO4" s="236" t="s">
        <v>115</v>
      </c>
      <c r="CP4" s="236" t="s">
        <v>115</v>
      </c>
      <c r="CQ4" s="236" t="s">
        <v>115</v>
      </c>
      <c r="CR4" s="236" t="s">
        <v>115</v>
      </c>
      <c r="CS4" s="236" t="s">
        <v>308</v>
      </c>
      <c r="CT4" s="236" t="s">
        <v>9</v>
      </c>
      <c r="CU4" s="236" t="s">
        <v>506</v>
      </c>
      <c r="CV4" s="236" t="s">
        <v>509</v>
      </c>
      <c r="CW4" s="236" t="s">
        <v>15</v>
      </c>
      <c r="CX4" s="236" t="s">
        <v>167</v>
      </c>
      <c r="CY4" s="236" t="s">
        <v>240</v>
      </c>
      <c r="CZ4" s="236" t="s">
        <v>101</v>
      </c>
      <c r="DA4" s="236" t="s">
        <v>207</v>
      </c>
      <c r="DB4" s="236" t="s">
        <v>4</v>
      </c>
      <c r="DC4" s="236" t="s">
        <v>5</v>
      </c>
      <c r="DD4" s="236" t="s">
        <v>227</v>
      </c>
      <c r="DE4" s="236" t="s">
        <v>227</v>
      </c>
      <c r="DF4" s="236" t="s">
        <v>227</v>
      </c>
      <c r="DG4" s="236" t="s">
        <v>227</v>
      </c>
      <c r="DH4" s="236" t="s">
        <v>227</v>
      </c>
      <c r="DI4" s="236" t="s">
        <v>227</v>
      </c>
      <c r="DJ4" s="236" t="s">
        <v>10</v>
      </c>
      <c r="DK4" s="236" t="s">
        <v>10</v>
      </c>
      <c r="DL4" s="236" t="s">
        <v>19</v>
      </c>
      <c r="DM4" s="236" t="s">
        <v>1027</v>
      </c>
      <c r="DN4" s="236" t="s">
        <v>986</v>
      </c>
      <c r="DO4" s="236" t="s">
        <v>1028</v>
      </c>
      <c r="DP4" s="236" t="s">
        <v>1029</v>
      </c>
      <c r="DQ4" s="236" t="s">
        <v>987</v>
      </c>
      <c r="DR4" s="236" t="s">
        <v>1030</v>
      </c>
      <c r="DS4" s="236" t="s">
        <v>1031</v>
      </c>
      <c r="DT4" s="236" t="s">
        <v>1032</v>
      </c>
      <c r="DU4" s="236" t="s">
        <v>1033</v>
      </c>
      <c r="DV4" s="236" t="s">
        <v>1034</v>
      </c>
      <c r="DW4" s="236" t="s">
        <v>512</v>
      </c>
      <c r="DX4" s="236" t="s">
        <v>513</v>
      </c>
      <c r="DY4" s="236" t="s">
        <v>309</v>
      </c>
      <c r="DZ4" s="236" t="s">
        <v>514</v>
      </c>
      <c r="EA4" s="236" t="s">
        <v>310</v>
      </c>
      <c r="EB4" s="236" t="s">
        <v>515</v>
      </c>
      <c r="EC4" s="236" t="s">
        <v>516</v>
      </c>
      <c r="ED4" s="236" t="s">
        <v>517</v>
      </c>
      <c r="EE4" s="236" t="s">
        <v>311</v>
      </c>
      <c r="EF4" s="236" t="s">
        <v>518</v>
      </c>
      <c r="EG4" s="236" t="s">
        <v>519</v>
      </c>
      <c r="EH4" s="236" t="s">
        <v>312</v>
      </c>
      <c r="EI4" s="236" t="s">
        <v>520</v>
      </c>
      <c r="EJ4" s="236" t="s">
        <v>521</v>
      </c>
      <c r="EK4" s="236" t="s">
        <v>522</v>
      </c>
      <c r="EL4" s="236" t="s">
        <v>523</v>
      </c>
      <c r="EM4" s="236" t="s">
        <v>524</v>
      </c>
      <c r="EN4" s="236" t="s">
        <v>313</v>
      </c>
      <c r="EO4" s="236" t="s">
        <v>525</v>
      </c>
      <c r="EP4" s="236" t="s">
        <v>526</v>
      </c>
      <c r="EQ4" s="236" t="s">
        <v>527</v>
      </c>
      <c r="ER4" s="236" t="s">
        <v>530</v>
      </c>
      <c r="ES4" s="236" t="s">
        <v>531</v>
      </c>
      <c r="ET4" s="236" t="s">
        <v>287</v>
      </c>
      <c r="EU4" s="236" t="s">
        <v>314</v>
      </c>
      <c r="EV4" s="236" t="s">
        <v>261</v>
      </c>
      <c r="EW4" s="236" t="s">
        <v>532</v>
      </c>
      <c r="EX4" s="350" t="s">
        <v>208</v>
      </c>
      <c r="EY4" s="236" t="s">
        <v>228</v>
      </c>
      <c r="EZ4" s="236" t="s">
        <v>209</v>
      </c>
      <c r="FA4" s="236" t="s">
        <v>533</v>
      </c>
      <c r="FB4" s="236" t="s">
        <v>229</v>
      </c>
      <c r="FC4" s="236" t="s">
        <v>279</v>
      </c>
      <c r="FD4" s="236" t="s">
        <v>534</v>
      </c>
      <c r="FE4" s="236" t="s">
        <v>535</v>
      </c>
      <c r="FF4" s="236" t="s">
        <v>230</v>
      </c>
      <c r="FG4" s="236" t="s">
        <v>883</v>
      </c>
      <c r="FH4" s="236" t="s">
        <v>1140</v>
      </c>
      <c r="FI4" s="236" t="s">
        <v>536</v>
      </c>
      <c r="FJ4" s="236" t="s">
        <v>315</v>
      </c>
      <c r="FK4" s="236" t="s">
        <v>538</v>
      </c>
      <c r="FL4" s="236" t="s">
        <v>539</v>
      </c>
      <c r="FM4" s="239"/>
      <c r="FN4" s="234"/>
      <c r="FO4" s="235"/>
      <c r="FP4" s="240"/>
      <c r="FQ4" s="235"/>
      <c r="FR4" s="235"/>
      <c r="FS4" s="235"/>
      <c r="FT4" s="235"/>
    </row>
    <row r="5" spans="1:176" ht="20.399999999999999">
      <c r="A5" s="221"/>
      <c r="B5" s="221"/>
      <c r="C5" s="222"/>
      <c r="D5" s="223" t="s">
        <v>316</v>
      </c>
      <c r="E5" s="242" t="s">
        <v>870</v>
      </c>
      <c r="F5" s="223" t="s">
        <v>317</v>
      </c>
      <c r="G5" s="243" t="s">
        <v>540</v>
      </c>
      <c r="H5" s="243" t="s">
        <v>541</v>
      </c>
      <c r="I5" s="243" t="s">
        <v>542</v>
      </c>
      <c r="J5" s="243" t="s">
        <v>543</v>
      </c>
      <c r="K5" s="243" t="s">
        <v>318</v>
      </c>
      <c r="L5" s="243" t="s">
        <v>544</v>
      </c>
      <c r="M5" s="243" t="s">
        <v>884</v>
      </c>
      <c r="N5" s="243" t="s">
        <v>789</v>
      </c>
      <c r="O5" s="243" t="s">
        <v>546</v>
      </c>
      <c r="P5" s="243" t="s">
        <v>547</v>
      </c>
      <c r="Q5" s="243" t="s">
        <v>548</v>
      </c>
      <c r="R5" s="243" t="s">
        <v>549</v>
      </c>
      <c r="S5" s="243" t="s">
        <v>550</v>
      </c>
      <c r="T5" s="243" t="s">
        <v>551</v>
      </c>
      <c r="U5" s="243" t="s">
        <v>552</v>
      </c>
      <c r="V5" s="243" t="s">
        <v>553</v>
      </c>
      <c r="W5" s="243" t="s">
        <v>555</v>
      </c>
      <c r="X5" s="243" t="s">
        <v>556</v>
      </c>
      <c r="Y5" s="243" t="s">
        <v>557</v>
      </c>
      <c r="Z5" s="243" t="s">
        <v>320</v>
      </c>
      <c r="AA5" s="243" t="s">
        <v>558</v>
      </c>
      <c r="AB5" s="243" t="s">
        <v>321</v>
      </c>
      <c r="AC5" s="243" t="s">
        <v>559</v>
      </c>
      <c r="AD5" s="243" t="s">
        <v>560</v>
      </c>
      <c r="AE5" s="243" t="s">
        <v>561</v>
      </c>
      <c r="AF5" s="243" t="s">
        <v>322</v>
      </c>
      <c r="AG5" s="243" t="s">
        <v>562</v>
      </c>
      <c r="AH5" s="243" t="s">
        <v>563</v>
      </c>
      <c r="AI5" s="243" t="s">
        <v>564</v>
      </c>
      <c r="AJ5" s="243" t="s">
        <v>565</v>
      </c>
      <c r="AK5" s="243" t="s">
        <v>566</v>
      </c>
      <c r="AL5" s="243" t="s">
        <v>567</v>
      </c>
      <c r="AM5" s="243" t="s">
        <v>323</v>
      </c>
      <c r="AN5" s="243" t="s">
        <v>568</v>
      </c>
      <c r="AO5" s="243" t="s">
        <v>569</v>
      </c>
      <c r="AP5" s="243" t="s">
        <v>570</v>
      </c>
      <c r="AQ5" s="243" t="s">
        <v>571</v>
      </c>
      <c r="AR5" s="243" t="s">
        <v>324</v>
      </c>
      <c r="AS5" s="243" t="s">
        <v>325</v>
      </c>
      <c r="AT5" s="243" t="s">
        <v>574</v>
      </c>
      <c r="AU5" s="243" t="s">
        <v>575</v>
      </c>
      <c r="AV5" s="243" t="s">
        <v>576</v>
      </c>
      <c r="AW5" s="243" t="s">
        <v>577</v>
      </c>
      <c r="AX5" s="243" t="s">
        <v>578</v>
      </c>
      <c r="AY5" s="243" t="s">
        <v>326</v>
      </c>
      <c r="AZ5" s="243" t="s">
        <v>579</v>
      </c>
      <c r="BA5" s="243" t="s">
        <v>580</v>
      </c>
      <c r="BB5" s="243" t="s">
        <v>581</v>
      </c>
      <c r="BC5" s="243" t="s">
        <v>327</v>
      </c>
      <c r="BD5" s="243" t="s">
        <v>582</v>
      </c>
      <c r="BE5" s="243" t="s">
        <v>583</v>
      </c>
      <c r="BF5" s="243" t="s">
        <v>1204</v>
      </c>
      <c r="BG5" s="243" t="s">
        <v>328</v>
      </c>
      <c r="BH5" s="243" t="s">
        <v>798</v>
      </c>
      <c r="BI5" s="243" t="s">
        <v>1205</v>
      </c>
      <c r="BJ5" s="243" t="s">
        <v>1206</v>
      </c>
      <c r="BK5" s="243" t="s">
        <v>286</v>
      </c>
      <c r="BL5" s="243" t="s">
        <v>274</v>
      </c>
      <c r="BM5" s="243" t="s">
        <v>259</v>
      </c>
      <c r="BN5" s="243" t="s">
        <v>260</v>
      </c>
      <c r="BO5" s="243" t="s">
        <v>275</v>
      </c>
      <c r="BP5" s="243" t="s">
        <v>588</v>
      </c>
      <c r="BQ5" s="243" t="s">
        <v>40</v>
      </c>
      <c r="BR5" s="243" t="s">
        <v>30</v>
      </c>
      <c r="BS5" s="243" t="s">
        <v>31</v>
      </c>
      <c r="BT5" s="243" t="s">
        <v>1041</v>
      </c>
      <c r="BU5" s="243" t="s">
        <v>32</v>
      </c>
      <c r="BV5" s="243" t="s">
        <v>249</v>
      </c>
      <c r="BW5" s="243" t="s">
        <v>1207</v>
      </c>
      <c r="BX5" s="243" t="s">
        <v>232</v>
      </c>
      <c r="BY5" s="243" t="s">
        <v>37</v>
      </c>
      <c r="BZ5" s="243" t="s">
        <v>33</v>
      </c>
      <c r="CA5" s="243" t="s">
        <v>25</v>
      </c>
      <c r="CB5" s="243" t="s">
        <v>26</v>
      </c>
      <c r="CC5" s="243" t="s">
        <v>38</v>
      </c>
      <c r="CD5" s="243" t="s">
        <v>233</v>
      </c>
      <c r="CE5" s="243" t="s">
        <v>88</v>
      </c>
      <c r="CF5" s="243" t="s">
        <v>74</v>
      </c>
      <c r="CG5" s="243" t="s">
        <v>35</v>
      </c>
      <c r="CH5" s="243" t="s">
        <v>75</v>
      </c>
      <c r="CI5" s="243" t="s">
        <v>21</v>
      </c>
      <c r="CJ5" s="243" t="s">
        <v>22</v>
      </c>
      <c r="CK5" s="243" t="s">
        <v>590</v>
      </c>
      <c r="CL5" s="243" t="s">
        <v>188</v>
      </c>
      <c r="CM5" s="243" t="s">
        <v>591</v>
      </c>
      <c r="CN5" s="243" t="s">
        <v>592</v>
      </c>
      <c r="CO5" s="243" t="s">
        <v>593</v>
      </c>
      <c r="CP5" s="243" t="s">
        <v>594</v>
      </c>
      <c r="CQ5" s="243" t="s">
        <v>595</v>
      </c>
      <c r="CR5" s="243" t="s">
        <v>596</v>
      </c>
      <c r="CS5" s="243" t="s">
        <v>329</v>
      </c>
      <c r="CT5" s="243" t="s">
        <v>28</v>
      </c>
      <c r="CU5" s="243" t="s">
        <v>600</v>
      </c>
      <c r="CV5" s="243" t="s">
        <v>603</v>
      </c>
      <c r="CW5" s="243" t="s">
        <v>34</v>
      </c>
      <c r="CX5" s="243" t="s">
        <v>168</v>
      </c>
      <c r="CY5" s="243" t="s">
        <v>169</v>
      </c>
      <c r="CZ5" s="243" t="s">
        <v>102</v>
      </c>
      <c r="DA5" s="243" t="s">
        <v>189</v>
      </c>
      <c r="DB5" s="243" t="s">
        <v>23</v>
      </c>
      <c r="DC5" s="243" t="s">
        <v>24</v>
      </c>
      <c r="DD5" s="243" t="s">
        <v>170</v>
      </c>
      <c r="DE5" s="243" t="s">
        <v>803</v>
      </c>
      <c r="DF5" s="243" t="s">
        <v>606</v>
      </c>
      <c r="DG5" s="243" t="s">
        <v>608</v>
      </c>
      <c r="DH5" s="243" t="s">
        <v>1208</v>
      </c>
      <c r="DI5" s="243" t="s">
        <v>609</v>
      </c>
      <c r="DJ5" s="243" t="s">
        <v>29</v>
      </c>
      <c r="DK5" s="243" t="s">
        <v>610</v>
      </c>
      <c r="DL5" s="243" t="s">
        <v>39</v>
      </c>
      <c r="DM5" s="243" t="s">
        <v>1042</v>
      </c>
      <c r="DN5" s="243" t="s">
        <v>989</v>
      </c>
      <c r="DO5" s="243" t="s">
        <v>1043</v>
      </c>
      <c r="DP5" s="243" t="s">
        <v>1044</v>
      </c>
      <c r="DQ5" s="243" t="s">
        <v>990</v>
      </c>
      <c r="DR5" s="243" t="s">
        <v>1045</v>
      </c>
      <c r="DS5" s="243" t="s">
        <v>1046</v>
      </c>
      <c r="DT5" s="243" t="s">
        <v>1047</v>
      </c>
      <c r="DU5" s="243" t="s">
        <v>1048</v>
      </c>
      <c r="DV5" s="243" t="s">
        <v>1049</v>
      </c>
      <c r="DW5" s="243" t="s">
        <v>611</v>
      </c>
      <c r="DX5" s="243" t="s">
        <v>612</v>
      </c>
      <c r="DY5" s="243" t="s">
        <v>330</v>
      </c>
      <c r="DZ5" s="243" t="s">
        <v>613</v>
      </c>
      <c r="EA5" s="243" t="s">
        <v>331</v>
      </c>
      <c r="EB5" s="243" t="s">
        <v>614</v>
      </c>
      <c r="EC5" s="243" t="s">
        <v>615</v>
      </c>
      <c r="ED5" s="243" t="s">
        <v>616</v>
      </c>
      <c r="EE5" s="243" t="s">
        <v>332</v>
      </c>
      <c r="EF5" s="243" t="s">
        <v>617</v>
      </c>
      <c r="EG5" s="243" t="s">
        <v>618</v>
      </c>
      <c r="EH5" s="243" t="s">
        <v>333</v>
      </c>
      <c r="EI5" s="243" t="s">
        <v>619</v>
      </c>
      <c r="EJ5" s="243" t="s">
        <v>620</v>
      </c>
      <c r="EK5" s="243" t="s">
        <v>621</v>
      </c>
      <c r="EL5" s="243" t="s">
        <v>622</v>
      </c>
      <c r="EM5" s="243" t="s">
        <v>623</v>
      </c>
      <c r="EN5" s="243" t="s">
        <v>335</v>
      </c>
      <c r="EO5" s="243" t="s">
        <v>624</v>
      </c>
      <c r="EP5" s="243" t="s">
        <v>625</v>
      </c>
      <c r="EQ5" s="243" t="s">
        <v>626</v>
      </c>
      <c r="ER5" s="243" t="s">
        <v>629</v>
      </c>
      <c r="ES5" s="243" t="s">
        <v>630</v>
      </c>
      <c r="ET5" s="243" t="s">
        <v>288</v>
      </c>
      <c r="EU5" s="243" t="s">
        <v>280</v>
      </c>
      <c r="EV5" s="243" t="s">
        <v>210</v>
      </c>
      <c r="EW5" s="243" t="s">
        <v>631</v>
      </c>
      <c r="EX5" s="243" t="s">
        <v>197</v>
      </c>
      <c r="EY5" s="243" t="s">
        <v>211</v>
      </c>
      <c r="EZ5" s="243" t="s">
        <v>212</v>
      </c>
      <c r="FA5" s="243" t="s">
        <v>632</v>
      </c>
      <c r="FB5" s="243" t="s">
        <v>213</v>
      </c>
      <c r="FC5" s="243" t="s">
        <v>281</v>
      </c>
      <c r="FD5" s="243" t="s">
        <v>633</v>
      </c>
      <c r="FE5" s="243" t="s">
        <v>198</v>
      </c>
      <c r="FF5" s="243" t="s">
        <v>214</v>
      </c>
      <c r="FG5" s="243" t="s">
        <v>889</v>
      </c>
      <c r="FH5" s="243" t="s">
        <v>1141</v>
      </c>
      <c r="FI5" s="243" t="s">
        <v>634</v>
      </c>
      <c r="FJ5" s="243" t="s">
        <v>336</v>
      </c>
      <c r="FK5" s="243" t="s">
        <v>636</v>
      </c>
      <c r="FL5" s="243" t="s">
        <v>637</v>
      </c>
      <c r="FM5" s="244"/>
      <c r="FN5" s="225"/>
      <c r="FO5" s="226"/>
      <c r="FP5" s="221"/>
      <c r="FQ5" s="221"/>
      <c r="FR5" s="221"/>
      <c r="FS5" s="221"/>
      <c r="FT5" s="221"/>
    </row>
    <row r="6" spans="1:176" ht="11.4">
      <c r="A6" s="222" t="s">
        <v>878</v>
      </c>
      <c r="B6" s="222" t="s">
        <v>879</v>
      </c>
      <c r="C6" s="222" t="s">
        <v>880</v>
      </c>
      <c r="D6" s="246" t="s">
        <v>804</v>
      </c>
      <c r="E6" s="246"/>
      <c r="F6" s="247" t="s">
        <v>805</v>
      </c>
      <c r="G6" s="248" t="s">
        <v>638</v>
      </c>
      <c r="H6" s="248" t="s">
        <v>639</v>
      </c>
      <c r="I6" s="248" t="s">
        <v>640</v>
      </c>
      <c r="J6" s="248" t="s">
        <v>641</v>
      </c>
      <c r="K6" s="248" t="s">
        <v>1209</v>
      </c>
      <c r="L6" s="248" t="s">
        <v>642</v>
      </c>
      <c r="M6" s="248" t="s">
        <v>1142</v>
      </c>
      <c r="N6" s="248" t="s">
        <v>1210</v>
      </c>
      <c r="O6" s="248" t="s">
        <v>1211</v>
      </c>
      <c r="P6" s="248" t="s">
        <v>645</v>
      </c>
      <c r="Q6" s="248" t="s">
        <v>646</v>
      </c>
      <c r="R6" s="248" t="s">
        <v>647</v>
      </c>
      <c r="S6" s="248" t="s">
        <v>648</v>
      </c>
      <c r="T6" s="248" t="s">
        <v>649</v>
      </c>
      <c r="U6" s="248" t="s">
        <v>650</v>
      </c>
      <c r="V6" s="248" t="s">
        <v>651</v>
      </c>
      <c r="W6" s="248" t="s">
        <v>653</v>
      </c>
      <c r="X6" s="248" t="s">
        <v>654</v>
      </c>
      <c r="Y6" s="248" t="s">
        <v>655</v>
      </c>
      <c r="Z6" s="248" t="s">
        <v>341</v>
      </c>
      <c r="AA6" s="248" t="s">
        <v>656</v>
      </c>
      <c r="AB6" s="248" t="s">
        <v>342</v>
      </c>
      <c r="AC6" s="248" t="s">
        <v>657</v>
      </c>
      <c r="AD6" s="248" t="s">
        <v>658</v>
      </c>
      <c r="AE6" s="248" t="s">
        <v>659</v>
      </c>
      <c r="AF6" s="248" t="s">
        <v>343</v>
      </c>
      <c r="AG6" s="248" t="s">
        <v>660</v>
      </c>
      <c r="AH6" s="248" t="s">
        <v>661</v>
      </c>
      <c r="AI6" s="248" t="s">
        <v>662</v>
      </c>
      <c r="AJ6" s="248" t="s">
        <v>663</v>
      </c>
      <c r="AK6" s="248" t="s">
        <v>664</v>
      </c>
      <c r="AL6" s="248" t="s">
        <v>665</v>
      </c>
      <c r="AM6" s="248" t="s">
        <v>344</v>
      </c>
      <c r="AN6" s="248" t="s">
        <v>666</v>
      </c>
      <c r="AO6" s="248" t="s">
        <v>667</v>
      </c>
      <c r="AP6" s="248" t="s">
        <v>668</v>
      </c>
      <c r="AQ6" s="248" t="s">
        <v>669</v>
      </c>
      <c r="AR6" s="248" t="s">
        <v>345</v>
      </c>
      <c r="AS6" s="248" t="s">
        <v>346</v>
      </c>
      <c r="AT6" s="248" t="s">
        <v>672</v>
      </c>
      <c r="AU6" s="248" t="s">
        <v>673</v>
      </c>
      <c r="AV6" s="248" t="s">
        <v>674</v>
      </c>
      <c r="AW6" s="248" t="s">
        <v>675</v>
      </c>
      <c r="AX6" s="248" t="s">
        <v>676</v>
      </c>
      <c r="AY6" s="248" t="s">
        <v>347</v>
      </c>
      <c r="AZ6" s="248" t="s">
        <v>677</v>
      </c>
      <c r="BA6" s="248" t="s">
        <v>678</v>
      </c>
      <c r="BB6" s="248" t="s">
        <v>679</v>
      </c>
      <c r="BC6" s="248" t="s">
        <v>348</v>
      </c>
      <c r="BD6" s="248" t="s">
        <v>680</v>
      </c>
      <c r="BE6" s="248" t="s">
        <v>681</v>
      </c>
      <c r="BF6" s="248" t="s">
        <v>810</v>
      </c>
      <c r="BG6" s="248" t="s">
        <v>349</v>
      </c>
      <c r="BH6" s="248" t="s">
        <v>811</v>
      </c>
      <c r="BI6" s="248" t="s">
        <v>1212</v>
      </c>
      <c r="BJ6" s="248" t="s">
        <v>1213</v>
      </c>
      <c r="BK6" s="248" t="s">
        <v>350</v>
      </c>
      <c r="BL6" s="248" t="s">
        <v>686</v>
      </c>
      <c r="BM6" s="248" t="s">
        <v>351</v>
      </c>
      <c r="BN6" s="248" t="s">
        <v>352</v>
      </c>
      <c r="BO6" s="248" t="s">
        <v>687</v>
      </c>
      <c r="BP6" s="248" t="s">
        <v>688</v>
      </c>
      <c r="BQ6" s="248" t="s">
        <v>353</v>
      </c>
      <c r="BR6" s="248" t="s">
        <v>354</v>
      </c>
      <c r="BS6" s="248" t="s">
        <v>355</v>
      </c>
      <c r="BT6" s="248" t="s">
        <v>1052</v>
      </c>
      <c r="BU6" s="248" t="s">
        <v>689</v>
      </c>
      <c r="BV6" s="248" t="s">
        <v>356</v>
      </c>
      <c r="BW6" s="248" t="s">
        <v>690</v>
      </c>
      <c r="BX6" s="248" t="s">
        <v>691</v>
      </c>
      <c r="BY6" s="248" t="s">
        <v>357</v>
      </c>
      <c r="BZ6" s="248" t="s">
        <v>358</v>
      </c>
      <c r="CA6" s="248" t="s">
        <v>692</v>
      </c>
      <c r="CB6" s="248" t="s">
        <v>359</v>
      </c>
      <c r="CC6" s="248" t="s">
        <v>360</v>
      </c>
      <c r="CD6" s="248" t="s">
        <v>693</v>
      </c>
      <c r="CE6" s="248" t="s">
        <v>694</v>
      </c>
      <c r="CF6" s="248" t="s">
        <v>695</v>
      </c>
      <c r="CG6" s="248" t="s">
        <v>696</v>
      </c>
      <c r="CH6" s="248" t="s">
        <v>361</v>
      </c>
      <c r="CI6" s="248" t="s">
        <v>362</v>
      </c>
      <c r="CJ6" s="248" t="s">
        <v>363</v>
      </c>
      <c r="CK6" s="248" t="s">
        <v>697</v>
      </c>
      <c r="CL6" s="248" t="s">
        <v>698</v>
      </c>
      <c r="CM6" s="248" t="s">
        <v>699</v>
      </c>
      <c r="CN6" s="248" t="s">
        <v>700</v>
      </c>
      <c r="CO6" s="248" t="s">
        <v>701</v>
      </c>
      <c r="CP6" s="248" t="s">
        <v>702</v>
      </c>
      <c r="CQ6" s="248" t="s">
        <v>703</v>
      </c>
      <c r="CR6" s="248" t="s">
        <v>704</v>
      </c>
      <c r="CS6" s="248" t="s">
        <v>364</v>
      </c>
      <c r="CT6" s="248" t="s">
        <v>365</v>
      </c>
      <c r="CU6" s="248" t="s">
        <v>708</v>
      </c>
      <c r="CV6" s="248" t="s">
        <v>711</v>
      </c>
      <c r="CW6" s="248" t="s">
        <v>366</v>
      </c>
      <c r="CX6" s="248" t="s">
        <v>714</v>
      </c>
      <c r="CY6" s="248" t="s">
        <v>715</v>
      </c>
      <c r="CZ6" s="248" t="s">
        <v>716</v>
      </c>
      <c r="DA6" s="248" t="s">
        <v>367</v>
      </c>
      <c r="DB6" s="248" t="s">
        <v>717</v>
      </c>
      <c r="DC6" s="248" t="s">
        <v>368</v>
      </c>
      <c r="DD6" s="248" t="s">
        <v>369</v>
      </c>
      <c r="DE6" s="248" t="s">
        <v>816</v>
      </c>
      <c r="DF6" s="248" t="s">
        <v>718</v>
      </c>
      <c r="DG6" s="248" t="s">
        <v>720</v>
      </c>
      <c r="DH6" s="248" t="s">
        <v>1214</v>
      </c>
      <c r="DI6" s="248" t="s">
        <v>721</v>
      </c>
      <c r="DJ6" s="248" t="s">
        <v>722</v>
      </c>
      <c r="DK6" s="248" t="s">
        <v>723</v>
      </c>
      <c r="DL6" s="248" t="s">
        <v>370</v>
      </c>
      <c r="DM6" s="248" t="s">
        <v>1053</v>
      </c>
      <c r="DN6" s="248" t="s">
        <v>991</v>
      </c>
      <c r="DO6" s="248" t="s">
        <v>1054</v>
      </c>
      <c r="DP6" s="248" t="s">
        <v>1055</v>
      </c>
      <c r="DQ6" s="248" t="s">
        <v>992</v>
      </c>
      <c r="DR6" s="248" t="s">
        <v>1056</v>
      </c>
      <c r="DS6" s="248" t="s">
        <v>1057</v>
      </c>
      <c r="DT6" s="248" t="s">
        <v>1058</v>
      </c>
      <c r="DU6" s="248" t="s">
        <v>1059</v>
      </c>
      <c r="DV6" s="248" t="s">
        <v>1060</v>
      </c>
      <c r="DW6" s="248" t="s">
        <v>724</v>
      </c>
      <c r="DX6" s="248" t="s">
        <v>725</v>
      </c>
      <c r="DY6" s="248" t="s">
        <v>1143</v>
      </c>
      <c r="DZ6" s="248" t="s">
        <v>726</v>
      </c>
      <c r="EA6" s="248" t="s">
        <v>372</v>
      </c>
      <c r="EB6" s="248" t="s">
        <v>727</v>
      </c>
      <c r="EC6" s="248" t="s">
        <v>728</v>
      </c>
      <c r="ED6" s="248" t="s">
        <v>729</v>
      </c>
      <c r="EE6" s="248" t="s">
        <v>373</v>
      </c>
      <c r="EF6" s="248" t="s">
        <v>730</v>
      </c>
      <c r="EG6" s="248" t="s">
        <v>731</v>
      </c>
      <c r="EH6" s="248" t="s">
        <v>374</v>
      </c>
      <c r="EI6" s="248" t="s">
        <v>732</v>
      </c>
      <c r="EJ6" s="248" t="s">
        <v>733</v>
      </c>
      <c r="EK6" s="248" t="s">
        <v>734</v>
      </c>
      <c r="EL6" s="248" t="s">
        <v>735</v>
      </c>
      <c r="EM6" s="248" t="s">
        <v>736</v>
      </c>
      <c r="EN6" s="248" t="s">
        <v>375</v>
      </c>
      <c r="EO6" s="248" t="s">
        <v>1215</v>
      </c>
      <c r="EP6" s="248" t="s">
        <v>738</v>
      </c>
      <c r="EQ6" s="248" t="s">
        <v>739</v>
      </c>
      <c r="ER6" s="248" t="s">
        <v>742</v>
      </c>
      <c r="ES6" s="248" t="s">
        <v>743</v>
      </c>
      <c r="ET6" s="248" t="s">
        <v>376</v>
      </c>
      <c r="EU6" s="248" t="s">
        <v>377</v>
      </c>
      <c r="EV6" s="248" t="s">
        <v>744</v>
      </c>
      <c r="EW6" s="248" t="s">
        <v>745</v>
      </c>
      <c r="EX6" s="248" t="s">
        <v>378</v>
      </c>
      <c r="EY6" s="248" t="s">
        <v>746</v>
      </c>
      <c r="EZ6" s="248" t="s">
        <v>747</v>
      </c>
      <c r="FA6" s="248" t="s">
        <v>748</v>
      </c>
      <c r="FB6" s="248" t="s">
        <v>379</v>
      </c>
      <c r="FC6" s="248" t="s">
        <v>749</v>
      </c>
      <c r="FD6" s="248" t="s">
        <v>750</v>
      </c>
      <c r="FE6" s="248" t="s">
        <v>751</v>
      </c>
      <c r="FF6" s="248" t="s">
        <v>380</v>
      </c>
      <c r="FG6" s="248" t="s">
        <v>891</v>
      </c>
      <c r="FH6" s="248" t="s">
        <v>1144</v>
      </c>
      <c r="FI6" s="248" t="s">
        <v>752</v>
      </c>
      <c r="FJ6" s="248" t="s">
        <v>381</v>
      </c>
      <c r="FK6" s="248" t="s">
        <v>754</v>
      </c>
      <c r="FL6" s="248" t="s">
        <v>755</v>
      </c>
      <c r="FM6" s="249" t="s">
        <v>872</v>
      </c>
      <c r="FN6" s="250" t="s">
        <v>382</v>
      </c>
      <c r="FO6" s="250" t="s">
        <v>383</v>
      </c>
      <c r="FP6" s="250" t="s">
        <v>873</v>
      </c>
      <c r="FQ6" s="250" t="s">
        <v>874</v>
      </c>
      <c r="FR6" s="228"/>
      <c r="FS6" s="227" t="s">
        <v>881</v>
      </c>
      <c r="FT6" s="227"/>
    </row>
    <row r="7" spans="1:176">
      <c r="A7" s="251" t="s">
        <v>385</v>
      </c>
      <c r="B7" s="251" t="s">
        <v>386</v>
      </c>
      <c r="C7" s="251" t="s">
        <v>291</v>
      </c>
      <c r="D7" s="252" t="s">
        <v>387</v>
      </c>
      <c r="E7" s="251" t="s">
        <v>388</v>
      </c>
      <c r="F7" s="251"/>
      <c r="G7" s="253"/>
      <c r="H7" s="253"/>
      <c r="I7" s="253"/>
      <c r="J7" s="253"/>
      <c r="K7" s="253"/>
      <c r="L7" s="253"/>
      <c r="M7" s="253"/>
      <c r="N7" s="253"/>
      <c r="O7" s="253"/>
      <c r="P7" s="253"/>
      <c r="Q7" s="253"/>
      <c r="R7" s="253"/>
      <c r="S7" s="253"/>
      <c r="T7" s="253"/>
      <c r="U7" s="253"/>
      <c r="V7" s="253"/>
      <c r="W7" s="253"/>
      <c r="X7" s="253"/>
      <c r="Y7" s="253"/>
      <c r="Z7" s="253"/>
      <c r="AA7" s="253"/>
      <c r="AB7" s="254">
        <f>500-500+40-40</f>
        <v>0</v>
      </c>
      <c r="AC7" s="255">
        <f>2000-2000</f>
        <v>0</v>
      </c>
      <c r="AD7" s="253"/>
      <c r="AE7" s="255">
        <f>2000-2000</f>
        <v>0</v>
      </c>
      <c r="AF7" s="255">
        <f>3000-3000</f>
        <v>0</v>
      </c>
      <c r="AG7" s="253"/>
      <c r="AH7" s="253"/>
      <c r="AI7" s="253"/>
      <c r="AJ7" s="253"/>
      <c r="AK7" s="254">
        <f>3000-3000+140-100</f>
        <v>40</v>
      </c>
      <c r="AL7" s="253"/>
      <c r="AM7" s="253"/>
      <c r="AN7" s="253"/>
      <c r="AO7" s="255">
        <f>300-300</f>
        <v>0</v>
      </c>
      <c r="AP7" s="253"/>
      <c r="AQ7" s="253"/>
      <c r="AR7" s="253"/>
      <c r="AS7" s="253"/>
      <c r="AT7" s="253"/>
      <c r="AU7" s="253"/>
      <c r="AV7" s="253"/>
      <c r="AW7" s="255">
        <f>500-500</f>
        <v>0</v>
      </c>
      <c r="AX7" s="255">
        <f>100-100</f>
        <v>0</v>
      </c>
      <c r="AY7" s="253"/>
      <c r="AZ7" s="253"/>
      <c r="BA7" s="253"/>
      <c r="BB7" s="253"/>
      <c r="BC7" s="255">
        <f>10000-10000+1200</f>
        <v>1200</v>
      </c>
      <c r="BD7" s="253"/>
      <c r="BE7" s="253"/>
      <c r="BF7" s="253"/>
      <c r="BG7" s="253"/>
      <c r="BH7" s="253"/>
      <c r="BI7" s="253"/>
      <c r="BJ7" s="253"/>
      <c r="BK7" s="253"/>
      <c r="BL7" s="253"/>
      <c r="BM7" s="253"/>
      <c r="BN7" s="253"/>
      <c r="BO7" s="253"/>
      <c r="BP7" s="253"/>
      <c r="BQ7" s="253"/>
      <c r="BR7" s="253"/>
      <c r="BS7" s="253"/>
      <c r="BT7" s="253"/>
      <c r="BU7" s="253"/>
      <c r="BV7" s="253"/>
      <c r="BW7" s="253"/>
      <c r="BX7" s="253"/>
      <c r="BY7" s="253"/>
      <c r="BZ7" s="253"/>
      <c r="CA7" s="253"/>
      <c r="CB7" s="253"/>
      <c r="CC7" s="253"/>
      <c r="CD7" s="253"/>
      <c r="CE7" s="253"/>
      <c r="CF7" s="253"/>
      <c r="CG7" s="253"/>
      <c r="CH7" s="253"/>
      <c r="CI7" s="253"/>
      <c r="CJ7" s="253"/>
      <c r="CK7" s="253"/>
      <c r="CL7" s="253"/>
      <c r="CM7" s="253"/>
      <c r="CN7" s="253"/>
      <c r="CO7" s="253"/>
      <c r="CP7" s="253"/>
      <c r="CQ7" s="253"/>
      <c r="CR7" s="253"/>
      <c r="CS7" s="253"/>
      <c r="CT7" s="253"/>
      <c r="CU7" s="253"/>
      <c r="CV7" s="253"/>
      <c r="CW7" s="253"/>
      <c r="CX7" s="253"/>
      <c r="CY7" s="253"/>
      <c r="CZ7" s="253"/>
      <c r="DA7" s="253"/>
      <c r="DB7" s="253"/>
      <c r="DC7" s="253"/>
      <c r="DD7" s="253"/>
      <c r="DE7" s="253"/>
      <c r="DF7" s="253"/>
      <c r="DG7" s="253"/>
      <c r="DH7" s="253"/>
      <c r="DI7" s="253"/>
      <c r="DJ7" s="253"/>
      <c r="DK7" s="253"/>
      <c r="DL7" s="253"/>
      <c r="DM7" s="255">
        <f>3000-3000</f>
        <v>0</v>
      </c>
      <c r="DN7" s="253"/>
      <c r="DO7" s="253"/>
      <c r="DP7" s="253"/>
      <c r="DQ7" s="253"/>
      <c r="DR7" s="253"/>
      <c r="DS7" s="253"/>
      <c r="DT7" s="253"/>
      <c r="DU7" s="253"/>
      <c r="DV7" s="253"/>
      <c r="DW7" s="253"/>
      <c r="DX7" s="253"/>
      <c r="DY7" s="253"/>
      <c r="DZ7" s="253"/>
      <c r="EA7" s="253"/>
      <c r="EB7" s="253"/>
      <c r="EC7" s="253"/>
      <c r="ED7" s="253"/>
      <c r="EE7" s="253"/>
      <c r="EF7" s="253"/>
      <c r="EG7" s="253"/>
      <c r="EH7" s="253"/>
      <c r="EI7" s="253"/>
      <c r="EJ7" s="253"/>
      <c r="EK7" s="253"/>
      <c r="EL7" s="253"/>
      <c r="EM7" s="253"/>
      <c r="EN7" s="253"/>
      <c r="EO7" s="253"/>
      <c r="EP7" s="253"/>
      <c r="EQ7" s="253"/>
      <c r="ER7" s="253"/>
      <c r="ES7" s="253"/>
      <c r="ET7" s="253"/>
      <c r="EU7" s="253"/>
      <c r="EV7" s="253"/>
      <c r="EW7" s="253"/>
      <c r="EX7" s="253"/>
      <c r="EY7" s="253"/>
      <c r="EZ7" s="253"/>
      <c r="FA7" s="253"/>
      <c r="FB7" s="253"/>
      <c r="FC7" s="253"/>
      <c r="FD7" s="253"/>
      <c r="FE7" s="253"/>
      <c r="FF7" s="253"/>
      <c r="FG7" s="253"/>
      <c r="FH7" s="253"/>
      <c r="FI7" s="253"/>
      <c r="FJ7" s="253"/>
      <c r="FK7" s="253"/>
      <c r="FL7" s="253"/>
      <c r="FM7" s="262"/>
      <c r="FN7" s="257" t="s">
        <v>1216</v>
      </c>
      <c r="FO7" s="258" t="s">
        <v>389</v>
      </c>
      <c r="FP7" s="258"/>
      <c r="FQ7" s="258" t="s">
        <v>390</v>
      </c>
      <c r="FR7" s="259">
        <f t="shared" ref="FR7:FR70" si="0">SUM(G7:FL7)</f>
        <v>1240</v>
      </c>
      <c r="FS7" s="260" t="s">
        <v>410</v>
      </c>
      <c r="FT7" s="260"/>
    </row>
    <row r="8" spans="1:176">
      <c r="A8" s="251" t="s">
        <v>385</v>
      </c>
      <c r="B8" s="251" t="s">
        <v>386</v>
      </c>
      <c r="C8" s="251" t="s">
        <v>1</v>
      </c>
      <c r="D8" s="252" t="s">
        <v>387</v>
      </c>
      <c r="E8" s="251" t="s">
        <v>388</v>
      </c>
      <c r="F8" s="251"/>
      <c r="G8" s="253">
        <v>100</v>
      </c>
      <c r="H8" s="253"/>
      <c r="I8" s="253"/>
      <c r="J8" s="253"/>
      <c r="K8" s="253"/>
      <c r="L8" s="253"/>
      <c r="M8" s="253"/>
      <c r="N8" s="253"/>
      <c r="O8" s="253"/>
      <c r="P8" s="253"/>
      <c r="Q8" s="253"/>
      <c r="R8" s="255">
        <f>500-500</f>
        <v>0</v>
      </c>
      <c r="S8" s="253"/>
      <c r="T8" s="254">
        <f>1000-1000+660-200</f>
        <v>460</v>
      </c>
      <c r="U8" s="254">
        <f>200-200+520-140</f>
        <v>380</v>
      </c>
      <c r="V8" s="253"/>
      <c r="W8" s="253"/>
      <c r="X8" s="255">
        <f>300-300</f>
        <v>0</v>
      </c>
      <c r="Y8" s="255">
        <f>1000-1000</f>
        <v>0</v>
      </c>
      <c r="Z8" s="255">
        <f>4000-4000</f>
        <v>0</v>
      </c>
      <c r="AA8" s="255">
        <f>1000-1000</f>
        <v>0</v>
      </c>
      <c r="AB8" s="253"/>
      <c r="AC8" s="253"/>
      <c r="AD8" s="253"/>
      <c r="AE8" s="253"/>
      <c r="AF8" s="253"/>
      <c r="AG8" s="255">
        <f>500-500</f>
        <v>0</v>
      </c>
      <c r="AH8" s="255">
        <f>300-300</f>
        <v>0</v>
      </c>
      <c r="AI8" s="255">
        <f>500-500</f>
        <v>0</v>
      </c>
      <c r="AJ8" s="255">
        <f>300-300</f>
        <v>0</v>
      </c>
      <c r="AK8" s="253"/>
      <c r="AL8" s="255">
        <f>200-200</f>
        <v>0</v>
      </c>
      <c r="AM8" s="254">
        <f>3000-3000+100-100</f>
        <v>0</v>
      </c>
      <c r="AN8" s="253"/>
      <c r="AO8" s="253"/>
      <c r="AP8" s="254">
        <f>5000-5000+110-110</f>
        <v>0</v>
      </c>
      <c r="AQ8" s="255">
        <f>500-500</f>
        <v>0</v>
      </c>
      <c r="AR8" s="255">
        <f>300-300</f>
        <v>0</v>
      </c>
      <c r="AS8" s="254">
        <f>13000-13000+3090-800</f>
        <v>2290</v>
      </c>
      <c r="AT8" s="253"/>
      <c r="AU8" s="253"/>
      <c r="AV8" s="253"/>
      <c r="AW8" s="253"/>
      <c r="AX8" s="253"/>
      <c r="AY8" s="254">
        <f>3000-3000+220-220</f>
        <v>0</v>
      </c>
      <c r="AZ8" s="255">
        <f>500-500</f>
        <v>0</v>
      </c>
      <c r="BA8" s="255">
        <f>200-200</f>
        <v>0</v>
      </c>
      <c r="BB8" s="255">
        <f>100-100</f>
        <v>0</v>
      </c>
      <c r="BC8" s="254">
        <f>850-360</f>
        <v>490</v>
      </c>
      <c r="BD8" s="254">
        <f>200-200+20-20</f>
        <v>0</v>
      </c>
      <c r="BE8" s="255">
        <f>1000-1000</f>
        <v>0</v>
      </c>
      <c r="BF8" s="253"/>
      <c r="BG8" s="255">
        <f>100-100</f>
        <v>0</v>
      </c>
      <c r="BH8" s="255">
        <f>30-30</f>
        <v>0</v>
      </c>
      <c r="BI8" s="253"/>
      <c r="BJ8" s="253"/>
      <c r="BK8" s="254">
        <f>2000-2000+380-70</f>
        <v>310</v>
      </c>
      <c r="BL8" s="255">
        <f>800-800+7</f>
        <v>7</v>
      </c>
      <c r="BM8" s="254">
        <f>3000-3000+250-90</f>
        <v>160</v>
      </c>
      <c r="BN8" s="254">
        <f>8000-8000+500-130</f>
        <v>370</v>
      </c>
      <c r="BO8" s="253"/>
      <c r="BP8" s="254">
        <f>1000-1000+1-1</f>
        <v>0</v>
      </c>
      <c r="BQ8" s="254">
        <f>2000-2000+2-2</f>
        <v>0</v>
      </c>
      <c r="BR8" s="254">
        <f>500-500+7-7</f>
        <v>0</v>
      </c>
      <c r="BS8" s="255">
        <f>5000-5000+40</f>
        <v>40</v>
      </c>
      <c r="BT8" s="255">
        <v>40</v>
      </c>
      <c r="BU8" s="254">
        <f>4000-4000+3-3</f>
        <v>0</v>
      </c>
      <c r="BV8" s="255">
        <f>4000-4000</f>
        <v>0</v>
      </c>
      <c r="BW8" s="255">
        <f>500-500</f>
        <v>0</v>
      </c>
      <c r="BX8" s="255">
        <f>2000-2000</f>
        <v>0</v>
      </c>
      <c r="BY8" s="254">
        <f>2000-2000+1155-205</f>
        <v>950</v>
      </c>
      <c r="BZ8" s="254">
        <f>1000-1000+4-4</f>
        <v>0</v>
      </c>
      <c r="CA8" s="255">
        <f>3000-3000</f>
        <v>0</v>
      </c>
      <c r="CB8" s="254">
        <f>6000-6000+1260-330</f>
        <v>930</v>
      </c>
      <c r="CC8" s="254">
        <f>4000-4000+390-100</f>
        <v>290</v>
      </c>
      <c r="CD8" s="254">
        <f>1500-1500+495-120</f>
        <v>375</v>
      </c>
      <c r="CE8" s="253"/>
      <c r="CF8" s="253"/>
      <c r="CG8" s="255">
        <f>500-500</f>
        <v>0</v>
      </c>
      <c r="CH8" s="254">
        <f>1000-1000+1-1</f>
        <v>0</v>
      </c>
      <c r="CI8" s="255">
        <f>4000-4000</f>
        <v>0</v>
      </c>
      <c r="CJ8" s="255">
        <f>4000-4000</f>
        <v>0</v>
      </c>
      <c r="CK8" s="255">
        <f>1000-1000</f>
        <v>0</v>
      </c>
      <c r="CL8" s="253"/>
      <c r="CM8" s="253"/>
      <c r="CN8" s="253"/>
      <c r="CO8" s="253"/>
      <c r="CP8" s="253"/>
      <c r="CQ8" s="253"/>
      <c r="CR8" s="253"/>
      <c r="CS8" s="254">
        <f>2000-2000+380-90</f>
        <v>290</v>
      </c>
      <c r="CT8" s="255">
        <f>1500-1500</f>
        <v>0</v>
      </c>
      <c r="CU8" s="253"/>
      <c r="CV8" s="253"/>
      <c r="CW8" s="254">
        <f>500-500+40-20</f>
        <v>20</v>
      </c>
      <c r="CX8" s="254">
        <f>200-200+20-20</f>
        <v>0</v>
      </c>
      <c r="CY8" s="254">
        <f>200-200+90-20</f>
        <v>70</v>
      </c>
      <c r="CZ8" s="255">
        <f>300-300</f>
        <v>0</v>
      </c>
      <c r="DA8" s="255">
        <f>500-500</f>
        <v>0</v>
      </c>
      <c r="DB8" s="255">
        <f>1000-1000</f>
        <v>0</v>
      </c>
      <c r="DC8" s="254">
        <f>1000-1000+230-50</f>
        <v>180</v>
      </c>
      <c r="DD8" s="253"/>
      <c r="DE8" s="253"/>
      <c r="DF8" s="253"/>
      <c r="DG8" s="253"/>
      <c r="DH8" s="253"/>
      <c r="DI8" s="253"/>
      <c r="DJ8" s="254">
        <f>1000-1000+5-5</f>
        <v>0</v>
      </c>
      <c r="DK8" s="253"/>
      <c r="DL8" s="255">
        <f>500-500</f>
        <v>0</v>
      </c>
      <c r="DM8" s="253"/>
      <c r="DN8" s="253"/>
      <c r="DO8" s="253"/>
      <c r="DP8" s="253"/>
      <c r="DQ8" s="253"/>
      <c r="DR8" s="253"/>
      <c r="DS8" s="253"/>
      <c r="DT8" s="255">
        <f>1000-1000</f>
        <v>0</v>
      </c>
      <c r="DU8" s="253"/>
      <c r="DV8" s="253"/>
      <c r="DW8" s="253"/>
      <c r="DX8" s="253"/>
      <c r="DY8" s="253"/>
      <c r="DZ8" s="253"/>
      <c r="EA8" s="253"/>
      <c r="EB8" s="253"/>
      <c r="EC8" s="253"/>
      <c r="ED8" s="255">
        <f>100-100</f>
        <v>0</v>
      </c>
      <c r="EE8" s="255">
        <f>100-100</f>
        <v>0</v>
      </c>
      <c r="EF8" s="253"/>
      <c r="EG8" s="253"/>
      <c r="EH8" s="255">
        <f>500-500</f>
        <v>0</v>
      </c>
      <c r="EI8" s="255">
        <f>300-300</f>
        <v>0</v>
      </c>
      <c r="EJ8" s="253"/>
      <c r="EK8" s="253"/>
      <c r="EL8" s="255">
        <f>500-500</f>
        <v>0</v>
      </c>
      <c r="EM8" s="255">
        <f>200-200</f>
        <v>0</v>
      </c>
      <c r="EN8" s="255">
        <f>1000-1000</f>
        <v>0</v>
      </c>
      <c r="EO8" s="254">
        <f>500-500+770-150</f>
        <v>620</v>
      </c>
      <c r="EP8" s="255">
        <f>500-500</f>
        <v>0</v>
      </c>
      <c r="EQ8" s="254">
        <f>3000-3000+430-140</f>
        <v>290</v>
      </c>
      <c r="ER8" s="255">
        <f>2000-2000</f>
        <v>0</v>
      </c>
      <c r="ES8" s="253"/>
      <c r="ET8" s="254">
        <f>3000-3000+25-25</f>
        <v>0</v>
      </c>
      <c r="EU8" s="255">
        <f>3000-3000</f>
        <v>0</v>
      </c>
      <c r="EV8" s="255">
        <f>800-800</f>
        <v>0</v>
      </c>
      <c r="EW8" s="253"/>
      <c r="EX8" s="254">
        <f>1000-1000+2-2</f>
        <v>0</v>
      </c>
      <c r="EY8" s="255">
        <f>1500-1500</f>
        <v>0</v>
      </c>
      <c r="EZ8" s="255">
        <f>500-500</f>
        <v>0</v>
      </c>
      <c r="FA8" s="253"/>
      <c r="FB8" s="255">
        <f>2000-2000</f>
        <v>0</v>
      </c>
      <c r="FC8" s="255">
        <f>500-500</f>
        <v>0</v>
      </c>
      <c r="FD8" s="255">
        <f>300-300</f>
        <v>0</v>
      </c>
      <c r="FE8" s="253"/>
      <c r="FF8" s="254">
        <f>800-800+15-15</f>
        <v>0</v>
      </c>
      <c r="FG8" s="253"/>
      <c r="FH8" s="253"/>
      <c r="FI8" s="255">
        <f>1000-1000</f>
        <v>0</v>
      </c>
      <c r="FJ8" s="255">
        <f>1000-1000</f>
        <v>0</v>
      </c>
      <c r="FK8" s="253"/>
      <c r="FL8" s="253"/>
      <c r="FM8" s="262"/>
      <c r="FN8" s="257" t="s">
        <v>1216</v>
      </c>
      <c r="FO8" s="258" t="s">
        <v>389</v>
      </c>
      <c r="FP8" s="258"/>
      <c r="FQ8" s="258" t="s">
        <v>390</v>
      </c>
      <c r="FR8" s="259">
        <f t="shared" si="0"/>
        <v>8662</v>
      </c>
      <c r="FS8" s="260" t="s">
        <v>410</v>
      </c>
      <c r="FT8" s="260"/>
    </row>
    <row r="9" spans="1:176">
      <c r="A9" s="251" t="s">
        <v>385</v>
      </c>
      <c r="B9" s="251" t="s">
        <v>386</v>
      </c>
      <c r="C9" s="251" t="s">
        <v>293</v>
      </c>
      <c r="D9" s="252" t="s">
        <v>387</v>
      </c>
      <c r="E9" s="251" t="s">
        <v>388</v>
      </c>
      <c r="F9" s="251"/>
      <c r="G9" s="253"/>
      <c r="H9" s="253"/>
      <c r="I9" s="253"/>
      <c r="J9" s="253"/>
      <c r="K9" s="253"/>
      <c r="L9" s="253"/>
      <c r="M9" s="253"/>
      <c r="N9" s="253"/>
      <c r="O9" s="253"/>
      <c r="P9" s="253"/>
      <c r="Q9" s="253"/>
      <c r="R9" s="253"/>
      <c r="S9" s="253"/>
      <c r="T9" s="253"/>
      <c r="U9" s="253"/>
      <c r="V9" s="253"/>
      <c r="W9" s="253"/>
      <c r="X9" s="253"/>
      <c r="Y9" s="253"/>
      <c r="Z9" s="253"/>
      <c r="AA9" s="253"/>
      <c r="AB9" s="253"/>
      <c r="AC9" s="253"/>
      <c r="AD9" s="253"/>
      <c r="AE9" s="253"/>
      <c r="AF9" s="253"/>
      <c r="AG9" s="253"/>
      <c r="AH9" s="253"/>
      <c r="AI9" s="253"/>
      <c r="AJ9" s="253"/>
      <c r="AK9" s="253"/>
      <c r="AL9" s="253"/>
      <c r="AM9" s="253"/>
      <c r="AN9" s="253"/>
      <c r="AO9" s="253"/>
      <c r="AP9" s="253"/>
      <c r="AQ9" s="253"/>
      <c r="AR9" s="253"/>
      <c r="AS9" s="253"/>
      <c r="AT9" s="253"/>
      <c r="AU9" s="253"/>
      <c r="AV9" s="253"/>
      <c r="AW9" s="253"/>
      <c r="AX9" s="253"/>
      <c r="AY9" s="253"/>
      <c r="AZ9" s="253"/>
      <c r="BA9" s="253"/>
      <c r="BB9" s="253"/>
      <c r="BC9" s="253"/>
      <c r="BD9" s="253"/>
      <c r="BE9" s="253"/>
      <c r="BF9" s="253"/>
      <c r="BG9" s="253"/>
      <c r="BH9" s="253"/>
      <c r="BI9" s="253"/>
      <c r="BJ9" s="253"/>
      <c r="BK9" s="253"/>
      <c r="BL9" s="253"/>
      <c r="BM9" s="253"/>
      <c r="BN9" s="253"/>
      <c r="BO9" s="254">
        <f>4000-4000+10-10</f>
        <v>0</v>
      </c>
      <c r="BP9" s="253"/>
      <c r="BQ9" s="253"/>
      <c r="BR9" s="253"/>
      <c r="BS9" s="253"/>
      <c r="BT9" s="253"/>
      <c r="BU9" s="253"/>
      <c r="BV9" s="253"/>
      <c r="BW9" s="253"/>
      <c r="BX9" s="253"/>
      <c r="BY9" s="253"/>
      <c r="BZ9" s="253"/>
      <c r="CA9" s="253"/>
      <c r="CB9" s="253"/>
      <c r="CC9" s="253"/>
      <c r="CD9" s="253"/>
      <c r="CE9" s="254">
        <f>400-400+72-20</f>
        <v>52</v>
      </c>
      <c r="CF9" s="254">
        <f>400-400+75-20</f>
        <v>55</v>
      </c>
      <c r="CG9" s="253"/>
      <c r="CH9" s="253"/>
      <c r="CI9" s="253"/>
      <c r="CJ9" s="253"/>
      <c r="CK9" s="253"/>
      <c r="CL9" s="254">
        <f>100-100+120-20</f>
        <v>100</v>
      </c>
      <c r="CM9" s="253"/>
      <c r="CN9" s="253"/>
      <c r="CO9" s="253"/>
      <c r="CP9" s="253"/>
      <c r="CQ9" s="253"/>
      <c r="CR9" s="253"/>
      <c r="CS9" s="253"/>
      <c r="CT9" s="253"/>
      <c r="CU9" s="253"/>
      <c r="CV9" s="253"/>
      <c r="CW9" s="253"/>
      <c r="CX9" s="255">
        <v>60</v>
      </c>
      <c r="CY9" s="253"/>
      <c r="CZ9" s="253"/>
      <c r="DA9" s="253"/>
      <c r="DB9" s="253"/>
      <c r="DC9" s="253"/>
      <c r="DD9" s="254">
        <f>80-80+60-10</f>
        <v>50</v>
      </c>
      <c r="DE9" s="253"/>
      <c r="DF9" s="253"/>
      <c r="DG9" s="253"/>
      <c r="DH9" s="253"/>
      <c r="DI9" s="253"/>
      <c r="DJ9" s="253"/>
      <c r="DK9" s="253"/>
      <c r="DL9" s="253"/>
      <c r="DM9" s="253"/>
      <c r="DN9" s="253"/>
      <c r="DO9" s="253"/>
      <c r="DP9" s="253"/>
      <c r="DQ9" s="253"/>
      <c r="DR9" s="253"/>
      <c r="DS9" s="253"/>
      <c r="DT9" s="253"/>
      <c r="DU9" s="253"/>
      <c r="DV9" s="253"/>
      <c r="DW9" s="253"/>
      <c r="DX9" s="253"/>
      <c r="DY9" s="253"/>
      <c r="DZ9" s="253"/>
      <c r="EA9" s="253"/>
      <c r="EB9" s="253"/>
      <c r="EC9" s="253"/>
      <c r="ED9" s="253"/>
      <c r="EE9" s="253"/>
      <c r="EF9" s="253"/>
      <c r="EG9" s="253"/>
      <c r="EH9" s="253"/>
      <c r="EI9" s="253"/>
      <c r="EJ9" s="253"/>
      <c r="EK9" s="253"/>
      <c r="EL9" s="253"/>
      <c r="EM9" s="253"/>
      <c r="EN9" s="253"/>
      <c r="EO9" s="253"/>
      <c r="EP9" s="253"/>
      <c r="EQ9" s="253"/>
      <c r="ER9" s="253"/>
      <c r="ES9" s="255">
        <f>1000-1000</f>
        <v>0</v>
      </c>
      <c r="ET9" s="253"/>
      <c r="EU9" s="253"/>
      <c r="EV9" s="253"/>
      <c r="EW9" s="255">
        <f>100-100</f>
        <v>0</v>
      </c>
      <c r="EX9" s="253"/>
      <c r="EY9" s="253"/>
      <c r="EZ9" s="253"/>
      <c r="FA9" s="255">
        <f>100-100</f>
        <v>0</v>
      </c>
      <c r="FB9" s="253"/>
      <c r="FC9" s="253"/>
      <c r="FD9" s="253"/>
      <c r="FE9" s="255">
        <f>100-100</f>
        <v>0</v>
      </c>
      <c r="FF9" s="253"/>
      <c r="FG9" s="253"/>
      <c r="FH9" s="253"/>
      <c r="FI9" s="253"/>
      <c r="FJ9" s="253"/>
      <c r="FK9" s="253"/>
      <c r="FL9" s="253"/>
      <c r="FM9" s="262"/>
      <c r="FN9" s="257" t="s">
        <v>1216</v>
      </c>
      <c r="FO9" s="258" t="s">
        <v>389</v>
      </c>
      <c r="FP9" s="258"/>
      <c r="FQ9" s="258" t="s">
        <v>390</v>
      </c>
      <c r="FR9" s="259">
        <f t="shared" si="0"/>
        <v>317</v>
      </c>
      <c r="FS9" s="260" t="s">
        <v>410</v>
      </c>
      <c r="FT9" s="260"/>
    </row>
    <row r="10" spans="1:176">
      <c r="A10" s="251" t="s">
        <v>392</v>
      </c>
      <c r="B10" s="251" t="s">
        <v>386</v>
      </c>
      <c r="C10" s="251" t="s">
        <v>291</v>
      </c>
      <c r="D10" s="252" t="s">
        <v>387</v>
      </c>
      <c r="E10" s="251" t="s">
        <v>388</v>
      </c>
      <c r="F10" s="251"/>
      <c r="G10" s="253"/>
      <c r="H10" s="255">
        <f>4000-4000</f>
        <v>0</v>
      </c>
      <c r="I10" s="253"/>
      <c r="J10" s="255">
        <f>4000-4000</f>
        <v>0</v>
      </c>
      <c r="K10" s="253"/>
      <c r="L10" s="253"/>
      <c r="M10" s="254">
        <f>8000-8000+300-190</f>
        <v>110</v>
      </c>
      <c r="N10" s="254">
        <f>8000-8000+300-110</f>
        <v>190</v>
      </c>
      <c r="O10" s="253"/>
      <c r="P10" s="253"/>
      <c r="Q10" s="253"/>
      <c r="R10" s="253"/>
      <c r="S10" s="253"/>
      <c r="T10" s="253"/>
      <c r="U10" s="253"/>
      <c r="V10" s="253"/>
      <c r="W10" s="253"/>
      <c r="X10" s="253"/>
      <c r="Y10" s="253"/>
      <c r="Z10" s="253"/>
      <c r="AA10" s="253"/>
      <c r="AB10" s="253"/>
      <c r="AC10" s="253"/>
      <c r="AD10" s="253"/>
      <c r="AE10" s="253"/>
      <c r="AF10" s="253"/>
      <c r="AG10" s="253"/>
      <c r="AH10" s="253"/>
      <c r="AI10" s="253"/>
      <c r="AJ10" s="253"/>
      <c r="AK10" s="253"/>
      <c r="AL10" s="253"/>
      <c r="AM10" s="253"/>
      <c r="AN10" s="253"/>
      <c r="AO10" s="253"/>
      <c r="AP10" s="253"/>
      <c r="AQ10" s="253"/>
      <c r="AR10" s="253"/>
      <c r="AS10" s="253"/>
      <c r="AT10" s="253"/>
      <c r="AU10" s="253"/>
      <c r="AV10" s="253"/>
      <c r="AW10" s="253"/>
      <c r="AX10" s="253"/>
      <c r="AY10" s="253"/>
      <c r="AZ10" s="253"/>
      <c r="BA10" s="253"/>
      <c r="BB10" s="253"/>
      <c r="BC10" s="253"/>
      <c r="BD10" s="253"/>
      <c r="BE10" s="253"/>
      <c r="BF10" s="253"/>
      <c r="BG10" s="253"/>
      <c r="BH10" s="253"/>
      <c r="BI10" s="253"/>
      <c r="BJ10" s="253"/>
      <c r="BK10" s="253"/>
      <c r="BL10" s="253"/>
      <c r="BM10" s="253"/>
      <c r="BN10" s="253"/>
      <c r="BO10" s="253"/>
      <c r="BP10" s="253"/>
      <c r="BQ10" s="253"/>
      <c r="BR10" s="253"/>
      <c r="BS10" s="253"/>
      <c r="BT10" s="253"/>
      <c r="BU10" s="253"/>
      <c r="BV10" s="253"/>
      <c r="BW10" s="253"/>
      <c r="BX10" s="253"/>
      <c r="BY10" s="253"/>
      <c r="BZ10" s="253"/>
      <c r="CA10" s="253"/>
      <c r="CB10" s="253"/>
      <c r="CC10" s="253"/>
      <c r="CD10" s="253"/>
      <c r="CE10" s="253"/>
      <c r="CF10" s="253"/>
      <c r="CG10" s="253"/>
      <c r="CH10" s="253"/>
      <c r="CI10" s="253"/>
      <c r="CJ10" s="253"/>
      <c r="CK10" s="253"/>
      <c r="CL10" s="253"/>
      <c r="CM10" s="253"/>
      <c r="CN10" s="253"/>
      <c r="CO10" s="253"/>
      <c r="CP10" s="253"/>
      <c r="CQ10" s="253"/>
      <c r="CR10" s="253"/>
      <c r="CS10" s="253"/>
      <c r="CT10" s="253"/>
      <c r="CU10" s="253"/>
      <c r="CV10" s="253"/>
      <c r="CW10" s="253"/>
      <c r="CX10" s="253"/>
      <c r="CY10" s="253"/>
      <c r="CZ10" s="253"/>
      <c r="DA10" s="253"/>
      <c r="DB10" s="253"/>
      <c r="DC10" s="253"/>
      <c r="DD10" s="253"/>
      <c r="DE10" s="253"/>
      <c r="DF10" s="253"/>
      <c r="DG10" s="253"/>
      <c r="DH10" s="253"/>
      <c r="DI10" s="253"/>
      <c r="DJ10" s="253"/>
      <c r="DK10" s="253"/>
      <c r="DL10" s="253"/>
      <c r="DM10" s="253"/>
      <c r="DN10" s="253"/>
      <c r="DO10" s="253"/>
      <c r="DP10" s="253"/>
      <c r="DQ10" s="253"/>
      <c r="DR10" s="253"/>
      <c r="DS10" s="253"/>
      <c r="DT10" s="253"/>
      <c r="DU10" s="253"/>
      <c r="DV10" s="253"/>
      <c r="DW10" s="255">
        <f>2000-2000</f>
        <v>0</v>
      </c>
      <c r="DX10" s="254">
        <f>3000-3000+21-21</f>
        <v>0</v>
      </c>
      <c r="DY10" s="254">
        <f>8000-8000+4290-240</f>
        <v>4050</v>
      </c>
      <c r="DZ10" s="253"/>
      <c r="EA10" s="255">
        <f>5000-5000</f>
        <v>0</v>
      </c>
      <c r="EB10" s="255">
        <f>1500-1500</f>
        <v>0</v>
      </c>
      <c r="EC10" s="255">
        <f>1500-1500</f>
        <v>0</v>
      </c>
      <c r="ED10" s="253"/>
      <c r="EE10" s="253"/>
      <c r="EF10" s="253"/>
      <c r="EG10" s="253"/>
      <c r="EH10" s="253"/>
      <c r="EI10" s="253"/>
      <c r="EJ10" s="253"/>
      <c r="EK10" s="253"/>
      <c r="EL10" s="253"/>
      <c r="EM10" s="253"/>
      <c r="EN10" s="253"/>
      <c r="EO10" s="253"/>
      <c r="EP10" s="253"/>
      <c r="EQ10" s="253"/>
      <c r="ER10" s="253"/>
      <c r="ES10" s="253"/>
      <c r="ET10" s="253"/>
      <c r="EU10" s="253"/>
      <c r="EV10" s="253"/>
      <c r="EW10" s="253"/>
      <c r="EX10" s="253"/>
      <c r="EY10" s="253"/>
      <c r="EZ10" s="253"/>
      <c r="FA10" s="253"/>
      <c r="FB10" s="253"/>
      <c r="FC10" s="253"/>
      <c r="FD10" s="253"/>
      <c r="FE10" s="253"/>
      <c r="FF10" s="253"/>
      <c r="FG10" s="253"/>
      <c r="FH10" s="253"/>
      <c r="FI10" s="253"/>
      <c r="FJ10" s="253"/>
      <c r="FK10" s="253"/>
      <c r="FL10" s="253"/>
      <c r="FM10" s="262"/>
      <c r="FN10" s="257" t="s">
        <v>1216</v>
      </c>
      <c r="FO10" s="258" t="s">
        <v>389</v>
      </c>
      <c r="FP10" s="258"/>
      <c r="FQ10" s="258" t="s">
        <v>390</v>
      </c>
      <c r="FR10" s="259">
        <f t="shared" si="0"/>
        <v>4350</v>
      </c>
      <c r="FS10" s="260" t="s">
        <v>410</v>
      </c>
      <c r="FT10" s="260"/>
    </row>
    <row r="11" spans="1:176">
      <c r="A11" s="251" t="s">
        <v>392</v>
      </c>
      <c r="B11" s="251" t="s">
        <v>386</v>
      </c>
      <c r="C11" s="251" t="s">
        <v>1</v>
      </c>
      <c r="D11" s="252" t="s">
        <v>387</v>
      </c>
      <c r="E11" s="251" t="s">
        <v>388</v>
      </c>
      <c r="F11" s="251"/>
      <c r="G11" s="253"/>
      <c r="H11" s="253"/>
      <c r="I11" s="253"/>
      <c r="J11" s="253"/>
      <c r="K11" s="254">
        <f>8000-8000+2830-940</f>
        <v>1890</v>
      </c>
      <c r="L11" s="253"/>
      <c r="M11" s="253"/>
      <c r="N11" s="253"/>
      <c r="O11" s="254">
        <f>8000-8000+300-140</f>
        <v>160</v>
      </c>
      <c r="P11" s="253"/>
      <c r="Q11" s="253"/>
      <c r="R11" s="253"/>
      <c r="S11" s="253"/>
      <c r="T11" s="253"/>
      <c r="U11" s="253"/>
      <c r="V11" s="253"/>
      <c r="W11" s="253"/>
      <c r="X11" s="253"/>
      <c r="Y11" s="253"/>
      <c r="Z11" s="253"/>
      <c r="AA11" s="253"/>
      <c r="AB11" s="253"/>
      <c r="AC11" s="253"/>
      <c r="AD11" s="253"/>
      <c r="AE11" s="253"/>
      <c r="AF11" s="253"/>
      <c r="AG11" s="253"/>
      <c r="AH11" s="253"/>
      <c r="AI11" s="253"/>
      <c r="AJ11" s="253"/>
      <c r="AK11" s="253"/>
      <c r="AL11" s="253"/>
      <c r="AM11" s="253"/>
      <c r="AN11" s="253"/>
      <c r="AO11" s="253"/>
      <c r="AP11" s="253"/>
      <c r="AQ11" s="253"/>
      <c r="AR11" s="253"/>
      <c r="AS11" s="253"/>
      <c r="AT11" s="253"/>
      <c r="AU11" s="253"/>
      <c r="AV11" s="253"/>
      <c r="AW11" s="253"/>
      <c r="AX11" s="253"/>
      <c r="AY11" s="253"/>
      <c r="AZ11" s="253"/>
      <c r="BA11" s="253"/>
      <c r="BB11" s="253"/>
      <c r="BC11" s="253"/>
      <c r="BD11" s="253"/>
      <c r="BE11" s="253"/>
      <c r="BF11" s="253"/>
      <c r="BG11" s="253"/>
      <c r="BH11" s="253"/>
      <c r="BI11" s="253"/>
      <c r="BJ11" s="253"/>
      <c r="BK11" s="253"/>
      <c r="BL11" s="253"/>
      <c r="BM11" s="253"/>
      <c r="BN11" s="253"/>
      <c r="BO11" s="253"/>
      <c r="BP11" s="253"/>
      <c r="BQ11" s="253"/>
      <c r="BR11" s="253"/>
      <c r="BS11" s="253"/>
      <c r="BT11" s="253"/>
      <c r="BU11" s="253"/>
      <c r="BV11" s="253"/>
      <c r="BW11" s="253"/>
      <c r="BX11" s="253"/>
      <c r="BY11" s="253"/>
      <c r="BZ11" s="253"/>
      <c r="CA11" s="253"/>
      <c r="CB11" s="253"/>
      <c r="CC11" s="253"/>
      <c r="CD11" s="253"/>
      <c r="CE11" s="253"/>
      <c r="CF11" s="253"/>
      <c r="CG11" s="253"/>
      <c r="CH11" s="253"/>
      <c r="CI11" s="253"/>
      <c r="CJ11" s="253"/>
      <c r="CK11" s="253"/>
      <c r="CL11" s="253"/>
      <c r="CM11" s="253"/>
      <c r="CN11" s="253"/>
      <c r="CO11" s="253"/>
      <c r="CP11" s="253"/>
      <c r="CQ11" s="253"/>
      <c r="CR11" s="253"/>
      <c r="CS11" s="253"/>
      <c r="CT11" s="253"/>
      <c r="CU11" s="253"/>
      <c r="CV11" s="253"/>
      <c r="CW11" s="253"/>
      <c r="CX11" s="253"/>
      <c r="CY11" s="253"/>
      <c r="CZ11" s="253"/>
      <c r="DA11" s="253"/>
      <c r="DB11" s="253"/>
      <c r="DC11" s="253"/>
      <c r="DD11" s="253"/>
      <c r="DE11" s="253"/>
      <c r="DF11" s="253"/>
      <c r="DG11" s="253"/>
      <c r="DH11" s="253"/>
      <c r="DI11" s="253"/>
      <c r="DJ11" s="253"/>
      <c r="DK11" s="253"/>
      <c r="DL11" s="253"/>
      <c r="DM11" s="253"/>
      <c r="DN11" s="253"/>
      <c r="DO11" s="253"/>
      <c r="DP11" s="253"/>
      <c r="DQ11" s="253"/>
      <c r="DR11" s="253"/>
      <c r="DS11" s="253"/>
      <c r="DT11" s="253"/>
      <c r="DU11" s="253"/>
      <c r="DV11" s="253"/>
      <c r="DW11" s="253"/>
      <c r="DX11" s="254">
        <f>9-9</f>
        <v>0</v>
      </c>
      <c r="DY11" s="253"/>
      <c r="DZ11" s="255">
        <f>5000-5000</f>
        <v>0</v>
      </c>
      <c r="EA11" s="253"/>
      <c r="EB11" s="253"/>
      <c r="EC11" s="253"/>
      <c r="ED11" s="253"/>
      <c r="EE11" s="253"/>
      <c r="EF11" s="253"/>
      <c r="EG11" s="253"/>
      <c r="EH11" s="253"/>
      <c r="EI11" s="253"/>
      <c r="EJ11" s="253"/>
      <c r="EK11" s="253"/>
      <c r="EL11" s="253"/>
      <c r="EM11" s="253"/>
      <c r="EN11" s="253"/>
      <c r="EO11" s="253"/>
      <c r="EP11" s="253"/>
      <c r="EQ11" s="253"/>
      <c r="ER11" s="253"/>
      <c r="ES11" s="253"/>
      <c r="ET11" s="253"/>
      <c r="EU11" s="253"/>
      <c r="EV11" s="253"/>
      <c r="EW11" s="253"/>
      <c r="EX11" s="253"/>
      <c r="EY11" s="253"/>
      <c r="EZ11" s="253"/>
      <c r="FA11" s="253"/>
      <c r="FB11" s="253"/>
      <c r="FC11" s="253"/>
      <c r="FD11" s="253"/>
      <c r="FE11" s="253"/>
      <c r="FF11" s="253"/>
      <c r="FG11" s="253"/>
      <c r="FH11" s="253"/>
      <c r="FI11" s="255">
        <f>2000-2000</f>
        <v>0</v>
      </c>
      <c r="FJ11" s="255">
        <f>2000-2000</f>
        <v>0</v>
      </c>
      <c r="FK11" s="253"/>
      <c r="FL11" s="253"/>
      <c r="FM11" s="262"/>
      <c r="FN11" s="257" t="s">
        <v>1216</v>
      </c>
      <c r="FO11" s="258" t="s">
        <v>389</v>
      </c>
      <c r="FP11" s="258"/>
      <c r="FQ11" s="258" t="s">
        <v>390</v>
      </c>
      <c r="FR11" s="259">
        <f t="shared" si="0"/>
        <v>2050</v>
      </c>
      <c r="FS11" s="260" t="s">
        <v>410</v>
      </c>
      <c r="FT11" s="260"/>
    </row>
    <row r="12" spans="1:176">
      <c r="A12" s="251" t="s">
        <v>392</v>
      </c>
      <c r="B12" s="251" t="s">
        <v>386</v>
      </c>
      <c r="C12" s="251" t="s">
        <v>293</v>
      </c>
      <c r="D12" s="252" t="s">
        <v>387</v>
      </c>
      <c r="E12" s="251" t="s">
        <v>388</v>
      </c>
      <c r="F12" s="251"/>
      <c r="G12" s="253"/>
      <c r="H12" s="253"/>
      <c r="I12" s="255">
        <f>4000-4000</f>
        <v>0</v>
      </c>
      <c r="J12" s="253"/>
      <c r="K12" s="253"/>
      <c r="L12" s="253"/>
      <c r="M12" s="253"/>
      <c r="N12" s="253"/>
      <c r="O12" s="253"/>
      <c r="P12" s="253"/>
      <c r="Q12" s="253"/>
      <c r="R12" s="253"/>
      <c r="S12" s="253"/>
      <c r="T12" s="253"/>
      <c r="U12" s="253"/>
      <c r="V12" s="253"/>
      <c r="W12" s="253"/>
      <c r="X12" s="253"/>
      <c r="Y12" s="253"/>
      <c r="Z12" s="253"/>
      <c r="AA12" s="253"/>
      <c r="AB12" s="253"/>
      <c r="AC12" s="253"/>
      <c r="AD12" s="253"/>
      <c r="AE12" s="253"/>
      <c r="AF12" s="253"/>
      <c r="AG12" s="253"/>
      <c r="AH12" s="253"/>
      <c r="AI12" s="253"/>
      <c r="AJ12" s="253"/>
      <c r="AK12" s="253"/>
      <c r="AL12" s="253"/>
      <c r="AM12" s="253"/>
      <c r="AN12" s="253"/>
      <c r="AO12" s="253"/>
      <c r="AP12" s="253"/>
      <c r="AQ12" s="253"/>
      <c r="AR12" s="253"/>
      <c r="AS12" s="253"/>
      <c r="AT12" s="253"/>
      <c r="AU12" s="253"/>
      <c r="AV12" s="253"/>
      <c r="AW12" s="253"/>
      <c r="AX12" s="253"/>
      <c r="AY12" s="253"/>
      <c r="AZ12" s="253"/>
      <c r="BA12" s="253"/>
      <c r="BB12" s="253"/>
      <c r="BC12" s="253"/>
      <c r="BD12" s="253"/>
      <c r="BE12" s="253"/>
      <c r="BF12" s="253"/>
      <c r="BG12" s="253"/>
      <c r="BH12" s="253"/>
      <c r="BI12" s="253"/>
      <c r="BJ12" s="253"/>
      <c r="BK12" s="253"/>
      <c r="BL12" s="253"/>
      <c r="BM12" s="253"/>
      <c r="BN12" s="253"/>
      <c r="BO12" s="253"/>
      <c r="BP12" s="253"/>
      <c r="BQ12" s="253"/>
      <c r="BR12" s="253"/>
      <c r="BS12" s="253"/>
      <c r="BT12" s="253"/>
      <c r="BU12" s="253"/>
      <c r="BV12" s="253"/>
      <c r="BW12" s="253"/>
      <c r="BX12" s="253"/>
      <c r="BY12" s="253"/>
      <c r="BZ12" s="253"/>
      <c r="CA12" s="253"/>
      <c r="CB12" s="253"/>
      <c r="CC12" s="253"/>
      <c r="CD12" s="253"/>
      <c r="CE12" s="253"/>
      <c r="CF12" s="253"/>
      <c r="CG12" s="253"/>
      <c r="CH12" s="253"/>
      <c r="CI12" s="253"/>
      <c r="CJ12" s="253"/>
      <c r="CK12" s="253"/>
      <c r="CL12" s="253"/>
      <c r="CM12" s="253"/>
      <c r="CN12" s="253"/>
      <c r="CO12" s="253"/>
      <c r="CP12" s="253"/>
      <c r="CQ12" s="253"/>
      <c r="CR12" s="253"/>
      <c r="CS12" s="253"/>
      <c r="CT12" s="253"/>
      <c r="CU12" s="253"/>
      <c r="CV12" s="253"/>
      <c r="CW12" s="253"/>
      <c r="CX12" s="253"/>
      <c r="CY12" s="253"/>
      <c r="CZ12" s="253"/>
      <c r="DA12" s="253"/>
      <c r="DB12" s="253"/>
      <c r="DC12" s="253"/>
      <c r="DD12" s="253"/>
      <c r="DE12" s="253"/>
      <c r="DF12" s="253"/>
      <c r="DG12" s="253"/>
      <c r="DH12" s="253"/>
      <c r="DI12" s="253"/>
      <c r="DJ12" s="253"/>
      <c r="DK12" s="253"/>
      <c r="DL12" s="253"/>
      <c r="DM12" s="253"/>
      <c r="DN12" s="253"/>
      <c r="DO12" s="253"/>
      <c r="DP12" s="253"/>
      <c r="DQ12" s="253"/>
      <c r="DR12" s="253"/>
      <c r="DS12" s="253"/>
      <c r="DT12" s="253"/>
      <c r="DU12" s="253"/>
      <c r="DV12" s="253"/>
      <c r="DW12" s="253"/>
      <c r="DX12" s="253"/>
      <c r="DY12" s="253"/>
      <c r="DZ12" s="253"/>
      <c r="EA12" s="253"/>
      <c r="EB12" s="253"/>
      <c r="EC12" s="253"/>
      <c r="ED12" s="253"/>
      <c r="EE12" s="253"/>
      <c r="EF12" s="253"/>
      <c r="EG12" s="253"/>
      <c r="EH12" s="253"/>
      <c r="EI12" s="253"/>
      <c r="EJ12" s="253"/>
      <c r="EK12" s="253"/>
      <c r="EL12" s="253"/>
      <c r="EM12" s="253"/>
      <c r="EN12" s="253"/>
      <c r="EO12" s="253"/>
      <c r="EP12" s="253"/>
      <c r="EQ12" s="253"/>
      <c r="ER12" s="253"/>
      <c r="ES12" s="253"/>
      <c r="ET12" s="253"/>
      <c r="EU12" s="253"/>
      <c r="EV12" s="253"/>
      <c r="EW12" s="253"/>
      <c r="EX12" s="253"/>
      <c r="EY12" s="253"/>
      <c r="EZ12" s="253"/>
      <c r="FA12" s="253"/>
      <c r="FB12" s="253"/>
      <c r="FC12" s="253"/>
      <c r="FD12" s="253"/>
      <c r="FE12" s="253"/>
      <c r="FF12" s="253"/>
      <c r="FG12" s="253"/>
      <c r="FH12" s="253"/>
      <c r="FI12" s="253"/>
      <c r="FJ12" s="253"/>
      <c r="FK12" s="253"/>
      <c r="FL12" s="253"/>
      <c r="FM12" s="262"/>
      <c r="FN12" s="257" t="s">
        <v>1216</v>
      </c>
      <c r="FO12" s="258" t="s">
        <v>389</v>
      </c>
      <c r="FP12" s="258"/>
      <c r="FQ12" s="258" t="s">
        <v>390</v>
      </c>
      <c r="FR12" s="259">
        <f t="shared" si="0"/>
        <v>0</v>
      </c>
      <c r="FS12" s="260" t="s">
        <v>410</v>
      </c>
      <c r="FT12" s="260"/>
    </row>
    <row r="13" spans="1:176" hidden="1">
      <c r="A13" s="251" t="s">
        <v>385</v>
      </c>
      <c r="B13" s="251" t="s">
        <v>394</v>
      </c>
      <c r="C13" s="251" t="s">
        <v>291</v>
      </c>
      <c r="D13" s="252" t="s">
        <v>395</v>
      </c>
      <c r="E13" s="251" t="s">
        <v>388</v>
      </c>
      <c r="F13" s="251" t="s">
        <v>1217</v>
      </c>
      <c r="G13" s="253"/>
      <c r="H13" s="253"/>
      <c r="I13" s="253"/>
      <c r="J13" s="253"/>
      <c r="K13" s="253"/>
      <c r="L13" s="253"/>
      <c r="M13" s="253"/>
      <c r="N13" s="254">
        <f>500-500+20</f>
        <v>20</v>
      </c>
      <c r="O13" s="253"/>
      <c r="P13" s="253"/>
      <c r="Q13" s="253"/>
      <c r="R13" s="253"/>
      <c r="S13" s="253"/>
      <c r="T13" s="253"/>
      <c r="U13" s="253"/>
      <c r="V13" s="253"/>
      <c r="W13" s="253"/>
      <c r="X13" s="253"/>
      <c r="Y13" s="253"/>
      <c r="Z13" s="253"/>
      <c r="AA13" s="253"/>
      <c r="AB13" s="253"/>
      <c r="AC13" s="253"/>
      <c r="AD13" s="253"/>
      <c r="AE13" s="255">
        <f>500-500</f>
        <v>0</v>
      </c>
      <c r="AF13" s="253"/>
      <c r="AG13" s="253"/>
      <c r="AH13" s="253"/>
      <c r="AI13" s="253"/>
      <c r="AJ13" s="253"/>
      <c r="AK13" s="253"/>
      <c r="AL13" s="253"/>
      <c r="AM13" s="253"/>
      <c r="AN13" s="253"/>
      <c r="AO13" s="253"/>
      <c r="AP13" s="253"/>
      <c r="AQ13" s="253"/>
      <c r="AR13" s="253"/>
      <c r="AS13" s="253"/>
      <c r="AT13" s="253"/>
      <c r="AU13" s="253"/>
      <c r="AV13" s="253"/>
      <c r="AW13" s="253"/>
      <c r="AX13" s="253"/>
      <c r="AY13" s="253"/>
      <c r="AZ13" s="253"/>
      <c r="BA13" s="253"/>
      <c r="BB13" s="253"/>
      <c r="BC13" s="253"/>
      <c r="BD13" s="253"/>
      <c r="BE13" s="253"/>
      <c r="BF13" s="253"/>
      <c r="BG13" s="253"/>
      <c r="BH13" s="253"/>
      <c r="BI13" s="253"/>
      <c r="BJ13" s="253"/>
      <c r="BK13" s="253"/>
      <c r="BL13" s="253"/>
      <c r="BM13" s="253"/>
      <c r="BN13" s="253"/>
      <c r="BO13" s="253"/>
      <c r="BP13" s="253"/>
      <c r="BQ13" s="253"/>
      <c r="BR13" s="253"/>
      <c r="BS13" s="253"/>
      <c r="BT13" s="253"/>
      <c r="BU13" s="253"/>
      <c r="BV13" s="253"/>
      <c r="BW13" s="253"/>
      <c r="BX13" s="253"/>
      <c r="BY13" s="253"/>
      <c r="BZ13" s="253"/>
      <c r="CA13" s="253"/>
      <c r="CB13" s="253"/>
      <c r="CC13" s="253"/>
      <c r="CD13" s="253"/>
      <c r="CE13" s="253"/>
      <c r="CF13" s="253"/>
      <c r="CG13" s="253"/>
      <c r="CH13" s="253"/>
      <c r="CI13" s="253"/>
      <c r="CJ13" s="253"/>
      <c r="CK13" s="253"/>
      <c r="CL13" s="253"/>
      <c r="CM13" s="253"/>
      <c r="CN13" s="253"/>
      <c r="CO13" s="253"/>
      <c r="CP13" s="253"/>
      <c r="CQ13" s="253"/>
      <c r="CR13" s="253"/>
      <c r="CS13" s="253"/>
      <c r="CT13" s="253"/>
      <c r="CU13" s="253"/>
      <c r="CV13" s="253"/>
      <c r="CW13" s="253"/>
      <c r="CX13" s="253"/>
      <c r="CY13" s="253"/>
      <c r="CZ13" s="253"/>
      <c r="DA13" s="253"/>
      <c r="DB13" s="253"/>
      <c r="DC13" s="253"/>
      <c r="DD13" s="253"/>
      <c r="DE13" s="253"/>
      <c r="DF13" s="253"/>
      <c r="DG13" s="253"/>
      <c r="DH13" s="253"/>
      <c r="DI13" s="253"/>
      <c r="DJ13" s="253"/>
      <c r="DK13" s="253"/>
      <c r="DL13" s="253"/>
      <c r="DM13" s="253"/>
      <c r="DN13" s="253"/>
      <c r="DO13" s="253"/>
      <c r="DP13" s="253"/>
      <c r="DQ13" s="253"/>
      <c r="DR13" s="253"/>
      <c r="DS13" s="253"/>
      <c r="DT13" s="253"/>
      <c r="DU13" s="253"/>
      <c r="DV13" s="253"/>
      <c r="DW13" s="253"/>
      <c r="DX13" s="253"/>
      <c r="DY13" s="253"/>
      <c r="DZ13" s="253"/>
      <c r="EA13" s="253"/>
      <c r="EB13" s="253"/>
      <c r="EC13" s="253"/>
      <c r="ED13" s="253"/>
      <c r="EE13" s="253"/>
      <c r="EF13" s="253"/>
      <c r="EG13" s="253"/>
      <c r="EH13" s="253"/>
      <c r="EI13" s="253"/>
      <c r="EJ13" s="253"/>
      <c r="EK13" s="253"/>
      <c r="EL13" s="253"/>
      <c r="EM13" s="253"/>
      <c r="EN13" s="253"/>
      <c r="EO13" s="253"/>
      <c r="EP13" s="253"/>
      <c r="EQ13" s="253"/>
      <c r="ER13" s="253"/>
      <c r="ES13" s="253"/>
      <c r="ET13" s="253"/>
      <c r="EU13" s="253"/>
      <c r="EV13" s="253"/>
      <c r="EW13" s="253"/>
      <c r="EX13" s="253"/>
      <c r="EY13" s="253"/>
      <c r="EZ13" s="253"/>
      <c r="FA13" s="253"/>
      <c r="FB13" s="253"/>
      <c r="FC13" s="253"/>
      <c r="FD13" s="253"/>
      <c r="FE13" s="253"/>
      <c r="FF13" s="253"/>
      <c r="FG13" s="253"/>
      <c r="FH13" s="253"/>
      <c r="FI13" s="253"/>
      <c r="FJ13" s="253"/>
      <c r="FK13" s="253"/>
      <c r="FL13" s="253"/>
      <c r="FM13" s="262"/>
      <c r="FN13" s="257" t="s">
        <v>1216</v>
      </c>
      <c r="FO13" s="258" t="s">
        <v>389</v>
      </c>
      <c r="FP13" s="258" t="s">
        <v>396</v>
      </c>
      <c r="FQ13" s="258" t="s">
        <v>397</v>
      </c>
      <c r="FR13" s="259">
        <f t="shared" si="0"/>
        <v>20</v>
      </c>
      <c r="FS13" s="260" t="s">
        <v>398</v>
      </c>
      <c r="FT13" s="260"/>
    </row>
    <row r="14" spans="1:176" hidden="1">
      <c r="A14" s="251" t="s">
        <v>385</v>
      </c>
      <c r="B14" s="251" t="s">
        <v>394</v>
      </c>
      <c r="C14" s="251" t="s">
        <v>1</v>
      </c>
      <c r="D14" s="252" t="s">
        <v>395</v>
      </c>
      <c r="E14" s="251" t="s">
        <v>388</v>
      </c>
      <c r="F14" s="251" t="s">
        <v>1217</v>
      </c>
      <c r="G14" s="253"/>
      <c r="H14" s="253"/>
      <c r="I14" s="253"/>
      <c r="J14" s="253"/>
      <c r="K14" s="253"/>
      <c r="L14" s="253"/>
      <c r="M14" s="253"/>
      <c r="N14" s="253"/>
      <c r="O14" s="253"/>
      <c r="P14" s="253"/>
      <c r="Q14" s="253"/>
      <c r="R14" s="253"/>
      <c r="S14" s="253"/>
      <c r="T14" s="378"/>
      <c r="U14" s="253"/>
      <c r="V14" s="253"/>
      <c r="W14" s="253"/>
      <c r="X14" s="253"/>
      <c r="Y14" s="253"/>
      <c r="Z14" s="253"/>
      <c r="AA14" s="253"/>
      <c r="AB14" s="253"/>
      <c r="AC14" s="253"/>
      <c r="AD14" s="253"/>
      <c r="AE14" s="253"/>
      <c r="AF14" s="253"/>
      <c r="AG14" s="253"/>
      <c r="AH14" s="253"/>
      <c r="AI14" s="253"/>
      <c r="AJ14" s="253"/>
      <c r="AK14" s="253"/>
      <c r="AL14" s="253"/>
      <c r="AM14" s="253"/>
      <c r="AN14" s="253"/>
      <c r="AO14" s="253"/>
      <c r="AP14" s="253"/>
      <c r="AQ14" s="253"/>
      <c r="AR14" s="253"/>
      <c r="AS14" s="254">
        <f>500-500+30</f>
        <v>30</v>
      </c>
      <c r="AT14" s="253"/>
      <c r="AU14" s="253"/>
      <c r="AV14" s="253"/>
      <c r="AW14" s="253"/>
      <c r="AX14" s="253"/>
      <c r="AY14" s="253"/>
      <c r="AZ14" s="253"/>
      <c r="BA14" s="253"/>
      <c r="BB14" s="253"/>
      <c r="BC14" s="253"/>
      <c r="BD14" s="253"/>
      <c r="BE14" s="253"/>
      <c r="BF14" s="253"/>
      <c r="BG14" s="253"/>
      <c r="BH14" s="253"/>
      <c r="BI14" s="253"/>
      <c r="BJ14" s="253"/>
      <c r="BK14" s="253"/>
      <c r="BL14" s="253"/>
      <c r="BM14" s="253"/>
      <c r="BN14" s="253"/>
      <c r="BO14" s="253"/>
      <c r="BP14" s="253"/>
      <c r="BQ14" s="253"/>
      <c r="BR14" s="253"/>
      <c r="BS14" s="253"/>
      <c r="BT14" s="253"/>
      <c r="BU14" s="253"/>
      <c r="BV14" s="253"/>
      <c r="BW14" s="253"/>
      <c r="BX14" s="253"/>
      <c r="BY14" s="253"/>
      <c r="BZ14" s="253"/>
      <c r="CA14" s="253"/>
      <c r="CB14" s="253"/>
      <c r="CC14" s="253"/>
      <c r="CD14" s="253"/>
      <c r="CE14" s="253"/>
      <c r="CF14" s="253"/>
      <c r="CG14" s="253"/>
      <c r="CH14" s="253"/>
      <c r="CI14" s="253"/>
      <c r="CJ14" s="253"/>
      <c r="CK14" s="253"/>
      <c r="CL14" s="253"/>
      <c r="CM14" s="253"/>
      <c r="CN14" s="253"/>
      <c r="CO14" s="253"/>
      <c r="CP14" s="253"/>
      <c r="CQ14" s="253"/>
      <c r="CR14" s="253"/>
      <c r="CS14" s="253"/>
      <c r="CT14" s="253"/>
      <c r="CU14" s="253"/>
      <c r="CV14" s="253"/>
      <c r="CW14" s="253"/>
      <c r="CX14" s="253"/>
      <c r="CY14" s="253"/>
      <c r="CZ14" s="253"/>
      <c r="DA14" s="253"/>
      <c r="DB14" s="253"/>
      <c r="DC14" s="253"/>
      <c r="DD14" s="253"/>
      <c r="DE14" s="253"/>
      <c r="DF14" s="253"/>
      <c r="DG14" s="253"/>
      <c r="DH14" s="253"/>
      <c r="DI14" s="253"/>
      <c r="DJ14" s="253"/>
      <c r="DK14" s="253"/>
      <c r="DL14" s="253"/>
      <c r="DM14" s="253"/>
      <c r="DN14" s="253"/>
      <c r="DO14" s="253"/>
      <c r="DP14" s="253"/>
      <c r="DQ14" s="253"/>
      <c r="DR14" s="253"/>
      <c r="DS14" s="253"/>
      <c r="DT14" s="253"/>
      <c r="DU14" s="253"/>
      <c r="DV14" s="253"/>
      <c r="DW14" s="253"/>
      <c r="DX14" s="253"/>
      <c r="DY14" s="253"/>
      <c r="DZ14" s="253"/>
      <c r="EA14" s="253"/>
      <c r="EB14" s="253"/>
      <c r="EC14" s="253"/>
      <c r="ED14" s="253"/>
      <c r="EE14" s="253"/>
      <c r="EF14" s="253"/>
      <c r="EG14" s="253"/>
      <c r="EH14" s="253"/>
      <c r="EI14" s="253"/>
      <c r="EJ14" s="253"/>
      <c r="EK14" s="253"/>
      <c r="EL14" s="253"/>
      <c r="EM14" s="253"/>
      <c r="EN14" s="253"/>
      <c r="EO14" s="253"/>
      <c r="EP14" s="253"/>
      <c r="EQ14" s="253"/>
      <c r="ER14" s="253"/>
      <c r="ES14" s="253"/>
      <c r="ET14" s="255">
        <f>200-200</f>
        <v>0</v>
      </c>
      <c r="EU14" s="255">
        <f>200-200</f>
        <v>0</v>
      </c>
      <c r="EV14" s="255">
        <f>200-200</f>
        <v>0</v>
      </c>
      <c r="EW14" s="253"/>
      <c r="EX14" s="255">
        <f>300-300</f>
        <v>0</v>
      </c>
      <c r="EY14" s="255">
        <f>100-100</f>
        <v>0</v>
      </c>
      <c r="EZ14" s="255">
        <f>100-100</f>
        <v>0</v>
      </c>
      <c r="FA14" s="253"/>
      <c r="FB14" s="255">
        <f>100-100</f>
        <v>0</v>
      </c>
      <c r="FC14" s="253"/>
      <c r="FD14" s="253"/>
      <c r="FE14" s="253"/>
      <c r="FF14" s="253"/>
      <c r="FG14" s="253"/>
      <c r="FH14" s="253"/>
      <c r="FI14" s="253"/>
      <c r="FJ14" s="253"/>
      <c r="FK14" s="253"/>
      <c r="FL14" s="253"/>
      <c r="FM14" s="262"/>
      <c r="FN14" s="257" t="s">
        <v>1216</v>
      </c>
      <c r="FO14" s="258" t="s">
        <v>389</v>
      </c>
      <c r="FP14" s="258" t="s">
        <v>396</v>
      </c>
      <c r="FQ14" s="258" t="s">
        <v>397</v>
      </c>
      <c r="FR14" s="259">
        <f t="shared" si="0"/>
        <v>30</v>
      </c>
      <c r="FS14" s="260" t="s">
        <v>398</v>
      </c>
      <c r="FT14" s="260"/>
    </row>
    <row r="15" spans="1:176" hidden="1">
      <c r="A15" s="251" t="s">
        <v>385</v>
      </c>
      <c r="B15" s="251" t="s">
        <v>394</v>
      </c>
      <c r="C15" s="251" t="s">
        <v>1</v>
      </c>
      <c r="D15" s="252" t="s">
        <v>1150</v>
      </c>
      <c r="E15" s="251" t="s">
        <v>388</v>
      </c>
      <c r="F15" s="251" t="s">
        <v>1218</v>
      </c>
      <c r="G15" s="253"/>
      <c r="H15" s="253"/>
      <c r="I15" s="253"/>
      <c r="J15" s="253"/>
      <c r="K15" s="253"/>
      <c r="L15" s="253"/>
      <c r="M15" s="253"/>
      <c r="N15" s="253"/>
      <c r="O15" s="253"/>
      <c r="P15" s="253"/>
      <c r="Q15" s="253"/>
      <c r="R15" s="253"/>
      <c r="S15" s="253"/>
      <c r="T15" s="253"/>
      <c r="U15" s="253"/>
      <c r="V15" s="253"/>
      <c r="W15" s="253"/>
      <c r="X15" s="253"/>
      <c r="Y15" s="253"/>
      <c r="Z15" s="253"/>
      <c r="AA15" s="253"/>
      <c r="AB15" s="253"/>
      <c r="AC15" s="253"/>
      <c r="AD15" s="253"/>
      <c r="AE15" s="253"/>
      <c r="AF15" s="253"/>
      <c r="AG15" s="253"/>
      <c r="AH15" s="253"/>
      <c r="AI15" s="253"/>
      <c r="AJ15" s="253"/>
      <c r="AK15" s="253"/>
      <c r="AL15" s="253"/>
      <c r="AM15" s="253"/>
      <c r="AN15" s="253"/>
      <c r="AO15" s="253"/>
      <c r="AP15" s="253"/>
      <c r="AQ15" s="253"/>
      <c r="AR15" s="253"/>
      <c r="AS15" s="253"/>
      <c r="AT15" s="253"/>
      <c r="AU15" s="253"/>
      <c r="AV15" s="253"/>
      <c r="AW15" s="253"/>
      <c r="AX15" s="253"/>
      <c r="AY15" s="253"/>
      <c r="AZ15" s="253"/>
      <c r="BA15" s="253"/>
      <c r="BB15" s="253"/>
      <c r="BC15" s="253"/>
      <c r="BD15" s="253"/>
      <c r="BE15" s="253"/>
      <c r="BF15" s="253"/>
      <c r="BG15" s="253"/>
      <c r="BH15" s="253"/>
      <c r="BI15" s="253"/>
      <c r="BJ15" s="253"/>
      <c r="BK15" s="253"/>
      <c r="BL15" s="253"/>
      <c r="BM15" s="253"/>
      <c r="BN15" s="253"/>
      <c r="BO15" s="253"/>
      <c r="BP15" s="253"/>
      <c r="BQ15" s="253"/>
      <c r="BR15" s="253"/>
      <c r="BS15" s="253"/>
      <c r="BT15" s="253"/>
      <c r="BU15" s="253"/>
      <c r="BV15" s="253"/>
      <c r="BW15" s="253"/>
      <c r="BX15" s="253"/>
      <c r="BY15" s="253"/>
      <c r="BZ15" s="253"/>
      <c r="CA15" s="253"/>
      <c r="CB15" s="253"/>
      <c r="CC15" s="253"/>
      <c r="CD15" s="253"/>
      <c r="CE15" s="253"/>
      <c r="CF15" s="253"/>
      <c r="CG15" s="253"/>
      <c r="CH15" s="253"/>
      <c r="CI15" s="253"/>
      <c r="CJ15" s="253"/>
      <c r="CK15" s="253"/>
      <c r="CL15" s="253"/>
      <c r="CM15" s="253"/>
      <c r="CN15" s="253"/>
      <c r="CO15" s="253"/>
      <c r="CP15" s="253"/>
      <c r="CQ15" s="253"/>
      <c r="CR15" s="253"/>
      <c r="CS15" s="255">
        <f>40-40</f>
        <v>0</v>
      </c>
      <c r="CT15" s="253"/>
      <c r="CU15" s="253"/>
      <c r="CV15" s="253"/>
      <c r="CW15" s="253"/>
      <c r="CX15" s="253"/>
      <c r="CY15" s="253"/>
      <c r="CZ15" s="253"/>
      <c r="DA15" s="253"/>
      <c r="DB15" s="253"/>
      <c r="DC15" s="253"/>
      <c r="DD15" s="253"/>
      <c r="DE15" s="253"/>
      <c r="DF15" s="253"/>
      <c r="DG15" s="253"/>
      <c r="DH15" s="253"/>
      <c r="DI15" s="253"/>
      <c r="DJ15" s="253"/>
      <c r="DK15" s="253"/>
      <c r="DL15" s="253"/>
      <c r="DM15" s="253"/>
      <c r="DN15" s="253"/>
      <c r="DO15" s="253"/>
      <c r="DP15" s="253"/>
      <c r="DQ15" s="253"/>
      <c r="DR15" s="253"/>
      <c r="DS15" s="253"/>
      <c r="DT15" s="253"/>
      <c r="DU15" s="253"/>
      <c r="DV15" s="253"/>
      <c r="DW15" s="253"/>
      <c r="DX15" s="253"/>
      <c r="DY15" s="253"/>
      <c r="DZ15" s="253"/>
      <c r="EA15" s="253"/>
      <c r="EB15" s="253"/>
      <c r="EC15" s="253"/>
      <c r="ED15" s="253"/>
      <c r="EE15" s="253"/>
      <c r="EF15" s="253"/>
      <c r="EG15" s="253"/>
      <c r="EH15" s="253"/>
      <c r="EI15" s="253"/>
      <c r="EJ15" s="253"/>
      <c r="EK15" s="253"/>
      <c r="EL15" s="253"/>
      <c r="EM15" s="253"/>
      <c r="EN15" s="253"/>
      <c r="EO15" s="253"/>
      <c r="EP15" s="253"/>
      <c r="EQ15" s="253"/>
      <c r="ER15" s="253"/>
      <c r="ES15" s="253"/>
      <c r="ET15" s="253"/>
      <c r="EU15" s="253"/>
      <c r="EV15" s="253"/>
      <c r="EW15" s="253"/>
      <c r="EX15" s="253"/>
      <c r="EY15" s="253"/>
      <c r="EZ15" s="253"/>
      <c r="FA15" s="253"/>
      <c r="FB15" s="253"/>
      <c r="FC15" s="253"/>
      <c r="FD15" s="253"/>
      <c r="FE15" s="253"/>
      <c r="FF15" s="253"/>
      <c r="FG15" s="253"/>
      <c r="FH15" s="253"/>
      <c r="FI15" s="253"/>
      <c r="FJ15" s="253"/>
      <c r="FK15" s="253"/>
      <c r="FL15" s="253"/>
      <c r="FM15" s="262"/>
      <c r="FN15" s="257" t="s">
        <v>1216</v>
      </c>
      <c r="FO15" s="258" t="s">
        <v>389</v>
      </c>
      <c r="FP15" s="258" t="s">
        <v>1152</v>
      </c>
      <c r="FQ15" s="258" t="s">
        <v>397</v>
      </c>
      <c r="FR15" s="259">
        <f t="shared" si="0"/>
        <v>0</v>
      </c>
      <c r="FS15" s="260" t="s">
        <v>398</v>
      </c>
      <c r="FT15" s="260"/>
    </row>
    <row r="16" spans="1:176" hidden="1">
      <c r="A16" s="251" t="s">
        <v>385</v>
      </c>
      <c r="B16" s="251" t="s">
        <v>394</v>
      </c>
      <c r="C16" s="251" t="s">
        <v>291</v>
      </c>
      <c r="D16" s="252" t="s">
        <v>399</v>
      </c>
      <c r="E16" s="251" t="s">
        <v>388</v>
      </c>
      <c r="F16" s="251" t="s">
        <v>1219</v>
      </c>
      <c r="G16" s="253"/>
      <c r="H16" s="253"/>
      <c r="I16" s="253"/>
      <c r="J16" s="253"/>
      <c r="K16" s="253"/>
      <c r="L16" s="253"/>
      <c r="M16" s="253"/>
      <c r="N16" s="253"/>
      <c r="O16" s="253"/>
      <c r="P16" s="253"/>
      <c r="Q16" s="253"/>
      <c r="R16" s="253"/>
      <c r="S16" s="253"/>
      <c r="T16" s="253"/>
      <c r="U16" s="253"/>
      <c r="V16" s="253"/>
      <c r="W16" s="253"/>
      <c r="X16" s="253"/>
      <c r="Y16" s="253"/>
      <c r="Z16" s="253"/>
      <c r="AA16" s="253"/>
      <c r="AB16" s="253"/>
      <c r="AC16" s="255">
        <f>1500-1500</f>
        <v>0</v>
      </c>
      <c r="AD16" s="253"/>
      <c r="AE16" s="253"/>
      <c r="AF16" s="253"/>
      <c r="AG16" s="253"/>
      <c r="AH16" s="253"/>
      <c r="AI16" s="253"/>
      <c r="AJ16" s="253"/>
      <c r="AK16" s="253"/>
      <c r="AL16" s="253"/>
      <c r="AM16" s="253"/>
      <c r="AN16" s="253"/>
      <c r="AO16" s="253"/>
      <c r="AP16" s="253"/>
      <c r="AQ16" s="253"/>
      <c r="AR16" s="253"/>
      <c r="AS16" s="253"/>
      <c r="AT16" s="253"/>
      <c r="AU16" s="253"/>
      <c r="AV16" s="253"/>
      <c r="AW16" s="253"/>
      <c r="AX16" s="253"/>
      <c r="AY16" s="253"/>
      <c r="AZ16" s="253"/>
      <c r="BA16" s="253"/>
      <c r="BB16" s="253"/>
      <c r="BC16" s="253"/>
      <c r="BD16" s="253"/>
      <c r="BE16" s="253"/>
      <c r="BF16" s="253"/>
      <c r="BG16" s="253"/>
      <c r="BH16" s="253"/>
      <c r="BI16" s="253"/>
      <c r="BJ16" s="253"/>
      <c r="BK16" s="253"/>
      <c r="BL16" s="253"/>
      <c r="BM16" s="253"/>
      <c r="BN16" s="253"/>
      <c r="BO16" s="253"/>
      <c r="BP16" s="253"/>
      <c r="BQ16" s="253"/>
      <c r="BR16" s="253"/>
      <c r="BS16" s="253"/>
      <c r="BT16" s="253"/>
      <c r="BU16" s="253"/>
      <c r="BV16" s="253"/>
      <c r="BW16" s="253"/>
      <c r="BX16" s="253"/>
      <c r="BY16" s="253"/>
      <c r="BZ16" s="253"/>
      <c r="CA16" s="253"/>
      <c r="CB16" s="253"/>
      <c r="CC16" s="253"/>
      <c r="CD16" s="253"/>
      <c r="CE16" s="253"/>
      <c r="CF16" s="253"/>
      <c r="CG16" s="253"/>
      <c r="CH16" s="253"/>
      <c r="CI16" s="253"/>
      <c r="CJ16" s="253"/>
      <c r="CK16" s="253"/>
      <c r="CL16" s="253"/>
      <c r="CM16" s="253"/>
      <c r="CN16" s="253"/>
      <c r="CO16" s="253"/>
      <c r="CP16" s="253"/>
      <c r="CQ16" s="253"/>
      <c r="CR16" s="253"/>
      <c r="CS16" s="253"/>
      <c r="CT16" s="253"/>
      <c r="CU16" s="253"/>
      <c r="CV16" s="253"/>
      <c r="CW16" s="253"/>
      <c r="CX16" s="253"/>
      <c r="CY16" s="253"/>
      <c r="CZ16" s="253"/>
      <c r="DA16" s="253"/>
      <c r="DB16" s="253"/>
      <c r="DC16" s="253"/>
      <c r="DD16" s="253"/>
      <c r="DE16" s="253"/>
      <c r="DF16" s="253"/>
      <c r="DG16" s="253"/>
      <c r="DH16" s="253"/>
      <c r="DI16" s="253"/>
      <c r="DJ16" s="253"/>
      <c r="DK16" s="253"/>
      <c r="DL16" s="253"/>
      <c r="DM16" s="253"/>
      <c r="DN16" s="253"/>
      <c r="DO16" s="253"/>
      <c r="DP16" s="253"/>
      <c r="DQ16" s="253"/>
      <c r="DR16" s="253"/>
      <c r="DS16" s="253"/>
      <c r="DT16" s="253"/>
      <c r="DU16" s="253"/>
      <c r="DV16" s="253"/>
      <c r="DW16" s="253"/>
      <c r="DX16" s="253"/>
      <c r="DY16" s="253"/>
      <c r="DZ16" s="253"/>
      <c r="EA16" s="253"/>
      <c r="EB16" s="253"/>
      <c r="EC16" s="253"/>
      <c r="ED16" s="253"/>
      <c r="EE16" s="253"/>
      <c r="EF16" s="253"/>
      <c r="EG16" s="253"/>
      <c r="EH16" s="253"/>
      <c r="EI16" s="253"/>
      <c r="EJ16" s="253"/>
      <c r="EK16" s="253"/>
      <c r="EL16" s="253"/>
      <c r="EM16" s="253"/>
      <c r="EN16" s="253"/>
      <c r="EO16" s="253"/>
      <c r="EP16" s="253"/>
      <c r="EQ16" s="253"/>
      <c r="ER16" s="253"/>
      <c r="ES16" s="253"/>
      <c r="ET16" s="253"/>
      <c r="EU16" s="253"/>
      <c r="EV16" s="253"/>
      <c r="EW16" s="253"/>
      <c r="EX16" s="253"/>
      <c r="EY16" s="253"/>
      <c r="EZ16" s="253"/>
      <c r="FA16" s="253"/>
      <c r="FB16" s="253"/>
      <c r="FC16" s="253"/>
      <c r="FD16" s="253"/>
      <c r="FE16" s="253"/>
      <c r="FF16" s="253"/>
      <c r="FG16" s="253"/>
      <c r="FH16" s="253"/>
      <c r="FI16" s="253"/>
      <c r="FJ16" s="253"/>
      <c r="FK16" s="253"/>
      <c r="FL16" s="253"/>
      <c r="FM16" s="262"/>
      <c r="FN16" s="257" t="s">
        <v>1216</v>
      </c>
      <c r="FO16" s="258" t="s">
        <v>389</v>
      </c>
      <c r="FP16" s="258" t="s">
        <v>400</v>
      </c>
      <c r="FQ16" s="258" t="s">
        <v>397</v>
      </c>
      <c r="FR16" s="259">
        <f t="shared" si="0"/>
        <v>0</v>
      </c>
      <c r="FS16" s="260" t="s">
        <v>398</v>
      </c>
      <c r="FT16" s="260"/>
    </row>
    <row r="17" spans="1:176" hidden="1">
      <c r="A17" s="251" t="s">
        <v>385</v>
      </c>
      <c r="B17" s="251" t="s">
        <v>394</v>
      </c>
      <c r="C17" s="251" t="s">
        <v>291</v>
      </c>
      <c r="D17" s="252" t="s">
        <v>401</v>
      </c>
      <c r="E17" s="251" t="s">
        <v>388</v>
      </c>
      <c r="F17" s="251"/>
      <c r="G17" s="253"/>
      <c r="H17" s="253"/>
      <c r="I17" s="253"/>
      <c r="J17" s="253"/>
      <c r="K17" s="253"/>
      <c r="L17" s="253"/>
      <c r="M17" s="253"/>
      <c r="N17" s="253"/>
      <c r="O17" s="253"/>
      <c r="P17" s="253"/>
      <c r="Q17" s="253"/>
      <c r="R17" s="253"/>
      <c r="S17" s="253"/>
      <c r="T17" s="253"/>
      <c r="U17" s="253"/>
      <c r="V17" s="253"/>
      <c r="W17" s="253"/>
      <c r="X17" s="253"/>
      <c r="Y17" s="253"/>
      <c r="Z17" s="253"/>
      <c r="AA17" s="253"/>
      <c r="AB17" s="255">
        <f>600-600</f>
        <v>0</v>
      </c>
      <c r="AC17" s="255">
        <f>40-40</f>
        <v>0</v>
      </c>
      <c r="AD17" s="253"/>
      <c r="AE17" s="255">
        <f>600-600</f>
        <v>0</v>
      </c>
      <c r="AF17" s="255">
        <f>600-600</f>
        <v>0</v>
      </c>
      <c r="AG17" s="253"/>
      <c r="AH17" s="253"/>
      <c r="AI17" s="253"/>
      <c r="AJ17" s="253"/>
      <c r="AK17" s="254">
        <f>600-600+10</f>
        <v>10</v>
      </c>
      <c r="AL17" s="253"/>
      <c r="AM17" s="253"/>
      <c r="AN17" s="253"/>
      <c r="AO17" s="253"/>
      <c r="AP17" s="253"/>
      <c r="AQ17" s="253"/>
      <c r="AR17" s="253"/>
      <c r="AS17" s="253"/>
      <c r="AT17" s="253"/>
      <c r="AU17" s="253"/>
      <c r="AV17" s="253"/>
      <c r="AW17" s="253"/>
      <c r="AX17" s="253"/>
      <c r="AY17" s="253"/>
      <c r="AZ17" s="253"/>
      <c r="BA17" s="253"/>
      <c r="BB17" s="253"/>
      <c r="BC17" s="255">
        <f>600-600</f>
        <v>0</v>
      </c>
      <c r="BD17" s="253"/>
      <c r="BE17" s="253"/>
      <c r="BF17" s="253"/>
      <c r="BG17" s="253"/>
      <c r="BH17" s="253"/>
      <c r="BI17" s="253"/>
      <c r="BJ17" s="253"/>
      <c r="BK17" s="253"/>
      <c r="BL17" s="253"/>
      <c r="BM17" s="253"/>
      <c r="BN17" s="253"/>
      <c r="BO17" s="253"/>
      <c r="BP17" s="253"/>
      <c r="BQ17" s="253"/>
      <c r="BR17" s="253"/>
      <c r="BS17" s="253"/>
      <c r="BT17" s="253"/>
      <c r="BU17" s="253"/>
      <c r="BV17" s="253"/>
      <c r="BW17" s="253"/>
      <c r="BX17" s="253"/>
      <c r="BY17" s="253"/>
      <c r="BZ17" s="253"/>
      <c r="CA17" s="253"/>
      <c r="CB17" s="253"/>
      <c r="CC17" s="253"/>
      <c r="CD17" s="253"/>
      <c r="CE17" s="253"/>
      <c r="CF17" s="253"/>
      <c r="CG17" s="253"/>
      <c r="CH17" s="253"/>
      <c r="CI17" s="253"/>
      <c r="CJ17" s="253"/>
      <c r="CK17" s="253"/>
      <c r="CL17" s="253"/>
      <c r="CM17" s="253"/>
      <c r="CN17" s="253"/>
      <c r="CO17" s="253"/>
      <c r="CP17" s="253"/>
      <c r="CQ17" s="253"/>
      <c r="CR17" s="253"/>
      <c r="CS17" s="253"/>
      <c r="CT17" s="253"/>
      <c r="CU17" s="253"/>
      <c r="CV17" s="253"/>
      <c r="CW17" s="253"/>
      <c r="CX17" s="253"/>
      <c r="CY17" s="253"/>
      <c r="CZ17" s="253"/>
      <c r="DA17" s="253"/>
      <c r="DB17" s="253"/>
      <c r="DC17" s="253"/>
      <c r="DD17" s="253"/>
      <c r="DE17" s="253"/>
      <c r="DF17" s="253"/>
      <c r="DG17" s="253"/>
      <c r="DH17" s="253"/>
      <c r="DI17" s="253"/>
      <c r="DJ17" s="253"/>
      <c r="DK17" s="253"/>
      <c r="DL17" s="253"/>
      <c r="DM17" s="253"/>
      <c r="DN17" s="253"/>
      <c r="DO17" s="253"/>
      <c r="DP17" s="253"/>
      <c r="DQ17" s="253"/>
      <c r="DR17" s="253"/>
      <c r="DS17" s="253"/>
      <c r="DT17" s="253"/>
      <c r="DU17" s="253"/>
      <c r="DV17" s="253"/>
      <c r="DW17" s="253"/>
      <c r="DX17" s="253"/>
      <c r="DY17" s="253"/>
      <c r="DZ17" s="253"/>
      <c r="EA17" s="253"/>
      <c r="EB17" s="253"/>
      <c r="EC17" s="253"/>
      <c r="ED17" s="253"/>
      <c r="EE17" s="253"/>
      <c r="EF17" s="253"/>
      <c r="EG17" s="253"/>
      <c r="EH17" s="253"/>
      <c r="EI17" s="253"/>
      <c r="EJ17" s="253"/>
      <c r="EK17" s="253"/>
      <c r="EL17" s="253"/>
      <c r="EM17" s="253"/>
      <c r="EN17" s="253"/>
      <c r="EO17" s="253"/>
      <c r="EP17" s="253"/>
      <c r="EQ17" s="253"/>
      <c r="ER17" s="253"/>
      <c r="ES17" s="253"/>
      <c r="ET17" s="253"/>
      <c r="EU17" s="253"/>
      <c r="EV17" s="253"/>
      <c r="EW17" s="253"/>
      <c r="EX17" s="253"/>
      <c r="EY17" s="253"/>
      <c r="EZ17" s="253"/>
      <c r="FA17" s="253"/>
      <c r="FB17" s="253"/>
      <c r="FC17" s="253"/>
      <c r="FD17" s="253"/>
      <c r="FE17" s="253"/>
      <c r="FF17" s="253"/>
      <c r="FG17" s="253"/>
      <c r="FH17" s="253"/>
      <c r="FI17" s="253"/>
      <c r="FJ17" s="253"/>
      <c r="FK17" s="253"/>
      <c r="FL17" s="253"/>
      <c r="FM17" s="262"/>
      <c r="FN17" s="257" t="s">
        <v>1216</v>
      </c>
      <c r="FO17" s="258" t="s">
        <v>389</v>
      </c>
      <c r="FP17" s="258"/>
      <c r="FQ17" s="258" t="s">
        <v>402</v>
      </c>
      <c r="FR17" s="259">
        <f t="shared" si="0"/>
        <v>10</v>
      </c>
      <c r="FS17" s="260" t="s">
        <v>403</v>
      </c>
      <c r="FT17" s="260"/>
    </row>
    <row r="18" spans="1:176" hidden="1">
      <c r="A18" s="251" t="s">
        <v>385</v>
      </c>
      <c r="B18" s="251" t="s">
        <v>394</v>
      </c>
      <c r="C18" s="251" t="s">
        <v>1</v>
      </c>
      <c r="D18" s="252" t="s">
        <v>401</v>
      </c>
      <c r="E18" s="251" t="s">
        <v>388</v>
      </c>
      <c r="F18" s="251"/>
      <c r="G18" s="253">
        <v>40</v>
      </c>
      <c r="H18" s="253"/>
      <c r="I18" s="253"/>
      <c r="J18" s="253"/>
      <c r="K18" s="253"/>
      <c r="L18" s="253"/>
      <c r="M18" s="253"/>
      <c r="N18" s="253"/>
      <c r="O18" s="253"/>
      <c r="P18" s="253"/>
      <c r="Q18" s="253"/>
      <c r="R18" s="255">
        <f>600-600</f>
        <v>0</v>
      </c>
      <c r="S18" s="253"/>
      <c r="T18" s="254">
        <f>600-600+30</f>
        <v>30</v>
      </c>
      <c r="U18" s="255">
        <f>600-600</f>
        <v>0</v>
      </c>
      <c r="V18" s="253"/>
      <c r="W18" s="253"/>
      <c r="X18" s="255">
        <f>600-600</f>
        <v>0</v>
      </c>
      <c r="Y18" s="255">
        <f>600-600</f>
        <v>0</v>
      </c>
      <c r="Z18" s="255">
        <f>600-600</f>
        <v>0</v>
      </c>
      <c r="AA18" s="255">
        <f>600-600</f>
        <v>0</v>
      </c>
      <c r="AB18" s="253"/>
      <c r="AC18" s="253"/>
      <c r="AD18" s="255">
        <f>600-600</f>
        <v>0</v>
      </c>
      <c r="AE18" s="253"/>
      <c r="AF18" s="253"/>
      <c r="AG18" s="255">
        <f>600-600</f>
        <v>0</v>
      </c>
      <c r="AH18" s="253"/>
      <c r="AI18" s="253"/>
      <c r="AJ18" s="253"/>
      <c r="AK18" s="253"/>
      <c r="AL18" s="253"/>
      <c r="AM18" s="255">
        <f>600-600</f>
        <v>0</v>
      </c>
      <c r="AN18" s="253"/>
      <c r="AO18" s="253"/>
      <c r="AP18" s="255">
        <f>600-600</f>
        <v>0</v>
      </c>
      <c r="AQ18" s="253"/>
      <c r="AR18" s="253"/>
      <c r="AS18" s="254">
        <f>600-600+20</f>
        <v>20</v>
      </c>
      <c r="AT18" s="253"/>
      <c r="AU18" s="253"/>
      <c r="AV18" s="253"/>
      <c r="AW18" s="253"/>
      <c r="AX18" s="253"/>
      <c r="AY18" s="254">
        <f>600-600+20</f>
        <v>20</v>
      </c>
      <c r="AZ18" s="253"/>
      <c r="BA18" s="253"/>
      <c r="BB18" s="253"/>
      <c r="BC18" s="253"/>
      <c r="BD18" s="254">
        <f>600-600+20</f>
        <v>20</v>
      </c>
      <c r="BE18" s="255">
        <f>600-600</f>
        <v>0</v>
      </c>
      <c r="BF18" s="253"/>
      <c r="BG18" s="253"/>
      <c r="BH18" s="253"/>
      <c r="BI18" s="253"/>
      <c r="BJ18" s="253"/>
      <c r="BK18" s="254">
        <v>20</v>
      </c>
      <c r="BL18" s="253"/>
      <c r="BM18" s="253"/>
      <c r="BN18" s="254">
        <v>10</v>
      </c>
      <c r="BO18" s="253"/>
      <c r="BP18" s="253"/>
      <c r="BQ18" s="253"/>
      <c r="BR18" s="253"/>
      <c r="BS18" s="253"/>
      <c r="BT18" s="253"/>
      <c r="BU18" s="253"/>
      <c r="BV18" s="253"/>
      <c r="BW18" s="253"/>
      <c r="BX18" s="253"/>
      <c r="BY18" s="254">
        <v>5</v>
      </c>
      <c r="BZ18" s="253"/>
      <c r="CA18" s="253"/>
      <c r="CB18" s="254">
        <v>30</v>
      </c>
      <c r="CC18" s="254">
        <v>10</v>
      </c>
      <c r="CD18" s="254">
        <v>10</v>
      </c>
      <c r="CE18" s="253"/>
      <c r="CF18" s="253"/>
      <c r="CG18" s="253"/>
      <c r="CH18" s="253"/>
      <c r="CI18" s="253"/>
      <c r="CJ18" s="253"/>
      <c r="CK18" s="253"/>
      <c r="CL18" s="253"/>
      <c r="CM18" s="253"/>
      <c r="CN18" s="253"/>
      <c r="CO18" s="253"/>
      <c r="CP18" s="253"/>
      <c r="CQ18" s="253"/>
      <c r="CR18" s="253"/>
      <c r="CS18" s="254">
        <v>10</v>
      </c>
      <c r="CT18" s="253"/>
      <c r="CU18" s="253"/>
      <c r="CV18" s="253"/>
      <c r="CW18" s="254">
        <v>5</v>
      </c>
      <c r="CX18" s="253"/>
      <c r="CY18" s="253"/>
      <c r="CZ18" s="253"/>
      <c r="DA18" s="253"/>
      <c r="DB18" s="253"/>
      <c r="DC18" s="254">
        <v>10</v>
      </c>
      <c r="DD18" s="253"/>
      <c r="DE18" s="253"/>
      <c r="DF18" s="253"/>
      <c r="DG18" s="253"/>
      <c r="DH18" s="253"/>
      <c r="DI18" s="253"/>
      <c r="DJ18" s="253"/>
      <c r="DK18" s="253"/>
      <c r="DL18" s="253"/>
      <c r="DM18" s="253"/>
      <c r="DN18" s="253"/>
      <c r="DO18" s="253"/>
      <c r="DP18" s="253"/>
      <c r="DQ18" s="253"/>
      <c r="DR18" s="253"/>
      <c r="DS18" s="253"/>
      <c r="DT18" s="253"/>
      <c r="DU18" s="253"/>
      <c r="DV18" s="253"/>
      <c r="DW18" s="253"/>
      <c r="DX18" s="253"/>
      <c r="DY18" s="253"/>
      <c r="DZ18" s="253"/>
      <c r="EA18" s="253"/>
      <c r="EB18" s="253"/>
      <c r="EC18" s="253"/>
      <c r="ED18" s="253"/>
      <c r="EE18" s="253"/>
      <c r="EF18" s="253"/>
      <c r="EG18" s="253"/>
      <c r="EH18" s="253"/>
      <c r="EI18" s="253"/>
      <c r="EJ18" s="253"/>
      <c r="EK18" s="253"/>
      <c r="EL18" s="255">
        <f t="shared" ref="EL18:EQ18" si="1">100-100</f>
        <v>0</v>
      </c>
      <c r="EM18" s="255">
        <f t="shared" si="1"/>
        <v>0</v>
      </c>
      <c r="EN18" s="255">
        <f t="shared" si="1"/>
        <v>0</v>
      </c>
      <c r="EO18" s="255">
        <f t="shared" si="1"/>
        <v>0</v>
      </c>
      <c r="EP18" s="255">
        <f t="shared" si="1"/>
        <v>0</v>
      </c>
      <c r="EQ18" s="255">
        <f t="shared" si="1"/>
        <v>0</v>
      </c>
      <c r="ER18" s="253"/>
      <c r="ES18" s="253"/>
      <c r="ET18" s="255">
        <f>50-50</f>
        <v>0</v>
      </c>
      <c r="EU18" s="255">
        <f>50-50</f>
        <v>0</v>
      </c>
      <c r="EV18" s="255">
        <f>50-50</f>
        <v>0</v>
      </c>
      <c r="EW18" s="253"/>
      <c r="EX18" s="255">
        <f>50-50</f>
        <v>0</v>
      </c>
      <c r="EY18" s="255">
        <f>50-50</f>
        <v>0</v>
      </c>
      <c r="EZ18" s="255">
        <f>50-50</f>
        <v>0</v>
      </c>
      <c r="FA18" s="253"/>
      <c r="FB18" s="255">
        <f>50-50</f>
        <v>0</v>
      </c>
      <c r="FC18" s="255">
        <f>50-50</f>
        <v>0</v>
      </c>
      <c r="FD18" s="253"/>
      <c r="FE18" s="253"/>
      <c r="FF18" s="255">
        <f>50-50</f>
        <v>0</v>
      </c>
      <c r="FG18" s="253"/>
      <c r="FH18" s="253"/>
      <c r="FI18" s="253"/>
      <c r="FJ18" s="253"/>
      <c r="FK18" s="253"/>
      <c r="FL18" s="253"/>
      <c r="FM18" s="262"/>
      <c r="FN18" s="257" t="s">
        <v>1216</v>
      </c>
      <c r="FO18" s="258" t="s">
        <v>389</v>
      </c>
      <c r="FP18" s="258"/>
      <c r="FQ18" s="258" t="s">
        <v>402</v>
      </c>
      <c r="FR18" s="259">
        <f t="shared" si="0"/>
        <v>240</v>
      </c>
      <c r="FS18" s="260" t="s">
        <v>403</v>
      </c>
      <c r="FT18" s="260"/>
    </row>
    <row r="19" spans="1:176" hidden="1">
      <c r="A19" s="251" t="s">
        <v>385</v>
      </c>
      <c r="B19" s="251" t="s">
        <v>394</v>
      </c>
      <c r="C19" s="251" t="s">
        <v>293</v>
      </c>
      <c r="D19" s="252" t="s">
        <v>401</v>
      </c>
      <c r="E19" s="251" t="s">
        <v>388</v>
      </c>
      <c r="F19" s="251"/>
      <c r="G19" s="253"/>
      <c r="H19" s="253"/>
      <c r="I19" s="253"/>
      <c r="J19" s="253"/>
      <c r="K19" s="253"/>
      <c r="L19" s="253"/>
      <c r="M19" s="253"/>
      <c r="N19" s="253"/>
      <c r="O19" s="253"/>
      <c r="P19" s="253"/>
      <c r="Q19" s="253"/>
      <c r="R19" s="253"/>
      <c r="S19" s="253"/>
      <c r="T19" s="253"/>
      <c r="U19" s="253"/>
      <c r="V19" s="253"/>
      <c r="W19" s="253"/>
      <c r="X19" s="253"/>
      <c r="Y19" s="253"/>
      <c r="Z19" s="253"/>
      <c r="AA19" s="253"/>
      <c r="AB19" s="253"/>
      <c r="AC19" s="253"/>
      <c r="AD19" s="253"/>
      <c r="AE19" s="253"/>
      <c r="AF19" s="253"/>
      <c r="AG19" s="253"/>
      <c r="AH19" s="253"/>
      <c r="AI19" s="253"/>
      <c r="AJ19" s="253"/>
      <c r="AK19" s="253"/>
      <c r="AL19" s="253"/>
      <c r="AM19" s="253"/>
      <c r="AN19" s="253"/>
      <c r="AO19" s="253"/>
      <c r="AP19" s="253"/>
      <c r="AQ19" s="253"/>
      <c r="AR19" s="253"/>
      <c r="AS19" s="253"/>
      <c r="AT19" s="253"/>
      <c r="AU19" s="253"/>
      <c r="AV19" s="253"/>
      <c r="AW19" s="253"/>
      <c r="AX19" s="253"/>
      <c r="AY19" s="253"/>
      <c r="AZ19" s="253"/>
      <c r="BA19" s="253"/>
      <c r="BB19" s="253"/>
      <c r="BC19" s="253"/>
      <c r="BD19" s="253"/>
      <c r="BE19" s="253"/>
      <c r="BF19" s="253"/>
      <c r="BG19" s="253"/>
      <c r="BH19" s="253"/>
      <c r="BI19" s="253"/>
      <c r="BJ19" s="253"/>
      <c r="BK19" s="253"/>
      <c r="BL19" s="253"/>
      <c r="BM19" s="253"/>
      <c r="BN19" s="253"/>
      <c r="BO19" s="254">
        <v>10</v>
      </c>
      <c r="BP19" s="253"/>
      <c r="BQ19" s="253"/>
      <c r="BR19" s="253"/>
      <c r="BS19" s="253"/>
      <c r="BT19" s="253"/>
      <c r="BU19" s="253"/>
      <c r="BV19" s="253"/>
      <c r="BW19" s="253"/>
      <c r="BX19" s="253"/>
      <c r="BY19" s="253"/>
      <c r="BZ19" s="253"/>
      <c r="CA19" s="253"/>
      <c r="CB19" s="253"/>
      <c r="CC19" s="253"/>
      <c r="CD19" s="253"/>
      <c r="CE19" s="253"/>
      <c r="CF19" s="253"/>
      <c r="CG19" s="253"/>
      <c r="CH19" s="253"/>
      <c r="CI19" s="253"/>
      <c r="CJ19" s="253"/>
      <c r="CK19" s="253"/>
      <c r="CL19" s="253"/>
      <c r="CM19" s="253"/>
      <c r="CN19" s="253"/>
      <c r="CO19" s="253"/>
      <c r="CP19" s="253"/>
      <c r="CQ19" s="253"/>
      <c r="CR19" s="253"/>
      <c r="CS19" s="253"/>
      <c r="CT19" s="253"/>
      <c r="CU19" s="253"/>
      <c r="CV19" s="253"/>
      <c r="CW19" s="253"/>
      <c r="CX19" s="253"/>
      <c r="CY19" s="253"/>
      <c r="CZ19" s="253"/>
      <c r="DA19" s="253"/>
      <c r="DB19" s="253"/>
      <c r="DC19" s="253"/>
      <c r="DD19" s="253"/>
      <c r="DE19" s="253"/>
      <c r="DF19" s="253"/>
      <c r="DG19" s="253"/>
      <c r="DH19" s="253"/>
      <c r="DI19" s="253"/>
      <c r="DJ19" s="253"/>
      <c r="DK19" s="253"/>
      <c r="DL19" s="253"/>
      <c r="DM19" s="253"/>
      <c r="DN19" s="253"/>
      <c r="DO19" s="253"/>
      <c r="DP19" s="253"/>
      <c r="DQ19" s="253"/>
      <c r="DR19" s="253"/>
      <c r="DS19" s="253"/>
      <c r="DT19" s="253"/>
      <c r="DU19" s="253"/>
      <c r="DV19" s="253"/>
      <c r="DW19" s="253"/>
      <c r="DX19" s="253"/>
      <c r="DY19" s="253"/>
      <c r="DZ19" s="253"/>
      <c r="EA19" s="253"/>
      <c r="EB19" s="253"/>
      <c r="EC19" s="253"/>
      <c r="ED19" s="253"/>
      <c r="EE19" s="253"/>
      <c r="EF19" s="253"/>
      <c r="EG19" s="253"/>
      <c r="EH19" s="253"/>
      <c r="EI19" s="253"/>
      <c r="EJ19" s="253"/>
      <c r="EK19" s="253"/>
      <c r="EL19" s="253"/>
      <c r="EM19" s="253"/>
      <c r="EN19" s="253"/>
      <c r="EO19" s="253"/>
      <c r="EP19" s="253"/>
      <c r="EQ19" s="253"/>
      <c r="ER19" s="253"/>
      <c r="ES19" s="253"/>
      <c r="ET19" s="253"/>
      <c r="EU19" s="253"/>
      <c r="EV19" s="253"/>
      <c r="EW19" s="255">
        <f>50-50</f>
        <v>0</v>
      </c>
      <c r="EX19" s="253"/>
      <c r="EY19" s="253"/>
      <c r="EZ19" s="253"/>
      <c r="FA19" s="255">
        <f>50-50</f>
        <v>0</v>
      </c>
      <c r="FB19" s="253"/>
      <c r="FC19" s="253"/>
      <c r="FD19" s="253"/>
      <c r="FE19" s="255">
        <f>50-50</f>
        <v>0</v>
      </c>
      <c r="FF19" s="253"/>
      <c r="FG19" s="253"/>
      <c r="FH19" s="253"/>
      <c r="FI19" s="253"/>
      <c r="FJ19" s="253"/>
      <c r="FK19" s="253"/>
      <c r="FL19" s="253"/>
      <c r="FM19" s="262"/>
      <c r="FN19" s="257" t="s">
        <v>1216</v>
      </c>
      <c r="FO19" s="258" t="s">
        <v>389</v>
      </c>
      <c r="FP19" s="258"/>
      <c r="FQ19" s="258" t="s">
        <v>402</v>
      </c>
      <c r="FR19" s="259">
        <f t="shared" si="0"/>
        <v>10</v>
      </c>
      <c r="FS19" s="260" t="s">
        <v>403</v>
      </c>
      <c r="FT19" s="260"/>
    </row>
    <row r="20" spans="1:176" hidden="1">
      <c r="A20" s="251" t="s">
        <v>385</v>
      </c>
      <c r="B20" s="251" t="s">
        <v>394</v>
      </c>
      <c r="C20" s="251" t="s">
        <v>291</v>
      </c>
      <c r="D20" s="252" t="s">
        <v>827</v>
      </c>
      <c r="E20" s="251" t="s">
        <v>388</v>
      </c>
      <c r="F20" s="251" t="s">
        <v>1220</v>
      </c>
      <c r="G20" s="253"/>
      <c r="H20" s="253"/>
      <c r="I20" s="253"/>
      <c r="J20" s="253"/>
      <c r="K20" s="253"/>
      <c r="L20" s="253"/>
      <c r="M20" s="253"/>
      <c r="N20" s="255">
        <f>500-500</f>
        <v>0</v>
      </c>
      <c r="O20" s="253"/>
      <c r="P20" s="253"/>
      <c r="Q20" s="253"/>
      <c r="R20" s="253"/>
      <c r="S20" s="253"/>
      <c r="T20" s="253"/>
      <c r="U20" s="253"/>
      <c r="V20" s="253"/>
      <c r="W20" s="253"/>
      <c r="X20" s="253"/>
      <c r="Y20" s="253"/>
      <c r="Z20" s="253"/>
      <c r="AA20" s="253"/>
      <c r="AB20" s="253"/>
      <c r="AC20" s="253"/>
      <c r="AD20" s="253"/>
      <c r="AE20" s="253"/>
      <c r="AF20" s="255">
        <f>1000-1000</f>
        <v>0</v>
      </c>
      <c r="AG20" s="253"/>
      <c r="AH20" s="253"/>
      <c r="AI20" s="253"/>
      <c r="AJ20" s="253"/>
      <c r="AK20" s="255">
        <f>1000-1000</f>
        <v>0</v>
      </c>
      <c r="AL20" s="253"/>
      <c r="AM20" s="253"/>
      <c r="AN20" s="253"/>
      <c r="AO20" s="255">
        <f>1000-1000</f>
        <v>0</v>
      </c>
      <c r="AP20" s="253"/>
      <c r="AQ20" s="253"/>
      <c r="AR20" s="253"/>
      <c r="AS20" s="253"/>
      <c r="AT20" s="253"/>
      <c r="AU20" s="253"/>
      <c r="AV20" s="253"/>
      <c r="AW20" s="253"/>
      <c r="AX20" s="253"/>
      <c r="AY20" s="253"/>
      <c r="AZ20" s="253"/>
      <c r="BA20" s="253"/>
      <c r="BB20" s="253"/>
      <c r="BC20" s="253"/>
      <c r="BD20" s="253"/>
      <c r="BE20" s="253"/>
      <c r="BF20" s="253"/>
      <c r="BG20" s="253"/>
      <c r="BH20" s="253"/>
      <c r="BI20" s="253"/>
      <c r="BJ20" s="253"/>
      <c r="BK20" s="253"/>
      <c r="BL20" s="253"/>
      <c r="BM20" s="253"/>
      <c r="BN20" s="253"/>
      <c r="BO20" s="253"/>
      <c r="BP20" s="253"/>
      <c r="BQ20" s="253"/>
      <c r="BR20" s="253"/>
      <c r="BS20" s="253"/>
      <c r="BT20" s="253"/>
      <c r="BU20" s="253"/>
      <c r="BV20" s="253"/>
      <c r="BW20" s="253"/>
      <c r="BX20" s="253"/>
      <c r="BY20" s="253"/>
      <c r="BZ20" s="253"/>
      <c r="CA20" s="253"/>
      <c r="CB20" s="253"/>
      <c r="CC20" s="253"/>
      <c r="CD20" s="253"/>
      <c r="CE20" s="253"/>
      <c r="CF20" s="253"/>
      <c r="CG20" s="253"/>
      <c r="CH20" s="253"/>
      <c r="CI20" s="253"/>
      <c r="CJ20" s="253"/>
      <c r="CK20" s="253"/>
      <c r="CL20" s="253"/>
      <c r="CM20" s="253"/>
      <c r="CN20" s="253"/>
      <c r="CO20" s="253"/>
      <c r="CP20" s="253"/>
      <c r="CQ20" s="253"/>
      <c r="CR20" s="253"/>
      <c r="CS20" s="253"/>
      <c r="CT20" s="253"/>
      <c r="CU20" s="253"/>
      <c r="CV20" s="253"/>
      <c r="CW20" s="253"/>
      <c r="CX20" s="253"/>
      <c r="CY20" s="253"/>
      <c r="CZ20" s="253"/>
      <c r="DA20" s="253"/>
      <c r="DB20" s="253"/>
      <c r="DC20" s="253"/>
      <c r="DD20" s="253"/>
      <c r="DE20" s="253"/>
      <c r="DF20" s="253"/>
      <c r="DG20" s="253"/>
      <c r="DH20" s="253"/>
      <c r="DI20" s="253"/>
      <c r="DJ20" s="253"/>
      <c r="DK20" s="253"/>
      <c r="DL20" s="253"/>
      <c r="DM20" s="253"/>
      <c r="DN20" s="253"/>
      <c r="DO20" s="253"/>
      <c r="DP20" s="253"/>
      <c r="DQ20" s="253"/>
      <c r="DR20" s="253"/>
      <c r="DS20" s="253"/>
      <c r="DT20" s="253"/>
      <c r="DU20" s="253"/>
      <c r="DV20" s="253"/>
      <c r="DW20" s="253"/>
      <c r="DX20" s="253"/>
      <c r="DY20" s="253"/>
      <c r="DZ20" s="253"/>
      <c r="EA20" s="253"/>
      <c r="EB20" s="253"/>
      <c r="EC20" s="253"/>
      <c r="ED20" s="253"/>
      <c r="EE20" s="253"/>
      <c r="EF20" s="253"/>
      <c r="EG20" s="253"/>
      <c r="EH20" s="253"/>
      <c r="EI20" s="253"/>
      <c r="EJ20" s="253"/>
      <c r="EK20" s="253"/>
      <c r="EL20" s="253"/>
      <c r="EM20" s="253"/>
      <c r="EN20" s="253"/>
      <c r="EO20" s="253"/>
      <c r="EP20" s="253"/>
      <c r="EQ20" s="253"/>
      <c r="ER20" s="253"/>
      <c r="ES20" s="253"/>
      <c r="ET20" s="253"/>
      <c r="EU20" s="253"/>
      <c r="EV20" s="253"/>
      <c r="EW20" s="253"/>
      <c r="EX20" s="253"/>
      <c r="EY20" s="253"/>
      <c r="EZ20" s="253"/>
      <c r="FA20" s="253"/>
      <c r="FB20" s="253"/>
      <c r="FC20" s="253"/>
      <c r="FD20" s="253"/>
      <c r="FE20" s="253"/>
      <c r="FF20" s="253"/>
      <c r="FG20" s="253"/>
      <c r="FH20" s="253"/>
      <c r="FI20" s="253"/>
      <c r="FJ20" s="253"/>
      <c r="FK20" s="253"/>
      <c r="FL20" s="253"/>
      <c r="FM20" s="262"/>
      <c r="FN20" s="257" t="s">
        <v>1216</v>
      </c>
      <c r="FO20" s="258" t="s">
        <v>389</v>
      </c>
      <c r="FP20" s="258" t="s">
        <v>828</v>
      </c>
      <c r="FQ20" s="258" t="s">
        <v>397</v>
      </c>
      <c r="FR20" s="259">
        <f t="shared" si="0"/>
        <v>0</v>
      </c>
      <c r="FS20" s="260" t="s">
        <v>398</v>
      </c>
      <c r="FT20" s="260"/>
    </row>
    <row r="21" spans="1:176" hidden="1">
      <c r="A21" s="251" t="s">
        <v>385</v>
      </c>
      <c r="B21" s="251" t="s">
        <v>394</v>
      </c>
      <c r="C21" s="251" t="s">
        <v>1</v>
      </c>
      <c r="D21" s="252" t="s">
        <v>827</v>
      </c>
      <c r="E21" s="251" t="s">
        <v>388</v>
      </c>
      <c r="F21" s="251" t="s">
        <v>1220</v>
      </c>
      <c r="G21" s="253"/>
      <c r="H21" s="253"/>
      <c r="I21" s="253"/>
      <c r="J21" s="253"/>
      <c r="K21" s="253"/>
      <c r="L21" s="253"/>
      <c r="M21" s="253"/>
      <c r="N21" s="253"/>
      <c r="O21" s="253"/>
      <c r="P21" s="253"/>
      <c r="Q21" s="253"/>
      <c r="R21" s="253"/>
      <c r="S21" s="253"/>
      <c r="T21" s="253"/>
      <c r="U21" s="253"/>
      <c r="V21" s="253"/>
      <c r="W21" s="253"/>
      <c r="X21" s="253"/>
      <c r="Y21" s="255">
        <f>1000-1000</f>
        <v>0</v>
      </c>
      <c r="Z21" s="255">
        <f>1000-1000</f>
        <v>0</v>
      </c>
      <c r="AA21" s="253"/>
      <c r="AB21" s="253"/>
      <c r="AC21" s="253"/>
      <c r="AD21" s="253"/>
      <c r="AE21" s="253"/>
      <c r="AF21" s="253"/>
      <c r="AG21" s="253"/>
      <c r="AH21" s="253"/>
      <c r="AI21" s="253"/>
      <c r="AJ21" s="253"/>
      <c r="AK21" s="253"/>
      <c r="AL21" s="253"/>
      <c r="AM21" s="253"/>
      <c r="AN21" s="253"/>
      <c r="AO21" s="253"/>
      <c r="AP21" s="255">
        <f>1000-1000</f>
        <v>0</v>
      </c>
      <c r="AQ21" s="253"/>
      <c r="AR21" s="253"/>
      <c r="AS21" s="253"/>
      <c r="AT21" s="253"/>
      <c r="AU21" s="253"/>
      <c r="AV21" s="253"/>
      <c r="AW21" s="253"/>
      <c r="AX21" s="253"/>
      <c r="AY21" s="253"/>
      <c r="AZ21" s="253"/>
      <c r="BA21" s="253"/>
      <c r="BB21" s="253"/>
      <c r="BC21" s="253"/>
      <c r="BD21" s="253"/>
      <c r="BE21" s="253"/>
      <c r="BF21" s="253"/>
      <c r="BG21" s="253"/>
      <c r="BH21" s="253"/>
      <c r="BI21" s="253"/>
      <c r="BJ21" s="253"/>
      <c r="BK21" s="253"/>
      <c r="BL21" s="253"/>
      <c r="BM21" s="253"/>
      <c r="BN21" s="253"/>
      <c r="BO21" s="253"/>
      <c r="BP21" s="253"/>
      <c r="BQ21" s="253"/>
      <c r="BR21" s="253"/>
      <c r="BS21" s="253"/>
      <c r="BT21" s="253"/>
      <c r="BU21" s="253"/>
      <c r="BV21" s="253"/>
      <c r="BW21" s="253"/>
      <c r="BX21" s="253"/>
      <c r="BY21" s="253"/>
      <c r="BZ21" s="253"/>
      <c r="CA21" s="253"/>
      <c r="CB21" s="253"/>
      <c r="CC21" s="253"/>
      <c r="CD21" s="253"/>
      <c r="CE21" s="253"/>
      <c r="CF21" s="253"/>
      <c r="CG21" s="253"/>
      <c r="CH21" s="253"/>
      <c r="CI21" s="253"/>
      <c r="CJ21" s="253"/>
      <c r="CK21" s="253"/>
      <c r="CL21" s="253"/>
      <c r="CM21" s="253"/>
      <c r="CN21" s="253"/>
      <c r="CO21" s="253"/>
      <c r="CP21" s="253"/>
      <c r="CQ21" s="253"/>
      <c r="CR21" s="253"/>
      <c r="CS21" s="253"/>
      <c r="CT21" s="253"/>
      <c r="CU21" s="253"/>
      <c r="CV21" s="253"/>
      <c r="CW21" s="253"/>
      <c r="CX21" s="253"/>
      <c r="CY21" s="253"/>
      <c r="CZ21" s="253"/>
      <c r="DA21" s="253"/>
      <c r="DB21" s="253"/>
      <c r="DC21" s="253"/>
      <c r="DD21" s="253"/>
      <c r="DE21" s="253"/>
      <c r="DF21" s="253"/>
      <c r="DG21" s="253"/>
      <c r="DH21" s="253"/>
      <c r="DI21" s="253"/>
      <c r="DJ21" s="253"/>
      <c r="DK21" s="253"/>
      <c r="DL21" s="253"/>
      <c r="DM21" s="253"/>
      <c r="DN21" s="253"/>
      <c r="DO21" s="253"/>
      <c r="DP21" s="253"/>
      <c r="DQ21" s="253"/>
      <c r="DR21" s="253"/>
      <c r="DS21" s="253"/>
      <c r="DT21" s="253"/>
      <c r="DU21" s="253"/>
      <c r="DV21" s="253"/>
      <c r="DW21" s="253"/>
      <c r="DX21" s="253"/>
      <c r="DY21" s="253"/>
      <c r="DZ21" s="253"/>
      <c r="EA21" s="253"/>
      <c r="EB21" s="253"/>
      <c r="EC21" s="253"/>
      <c r="ED21" s="253"/>
      <c r="EE21" s="253"/>
      <c r="EF21" s="255">
        <f>500-500</f>
        <v>0</v>
      </c>
      <c r="EG21" s="255">
        <f>500-500</f>
        <v>0</v>
      </c>
      <c r="EH21" s="255">
        <f>500-500</f>
        <v>0</v>
      </c>
      <c r="EI21" s="253"/>
      <c r="EJ21" s="255">
        <f>500-500</f>
        <v>0</v>
      </c>
      <c r="EK21" s="253"/>
      <c r="EL21" s="255">
        <f>500-500</f>
        <v>0</v>
      </c>
      <c r="EM21" s="253"/>
      <c r="EN21" s="253"/>
      <c r="EO21" s="254">
        <f>500-500+10</f>
        <v>10</v>
      </c>
      <c r="EP21" s="253"/>
      <c r="EQ21" s="254">
        <f>500-500+10</f>
        <v>10</v>
      </c>
      <c r="ER21" s="253"/>
      <c r="ES21" s="253"/>
      <c r="ET21" s="253"/>
      <c r="EU21" s="253"/>
      <c r="EV21" s="253"/>
      <c r="EW21" s="253"/>
      <c r="EX21" s="253"/>
      <c r="EY21" s="253"/>
      <c r="EZ21" s="253"/>
      <c r="FA21" s="253"/>
      <c r="FB21" s="253"/>
      <c r="FC21" s="253"/>
      <c r="FD21" s="253"/>
      <c r="FE21" s="253"/>
      <c r="FF21" s="253"/>
      <c r="FG21" s="253"/>
      <c r="FH21" s="253"/>
      <c r="FI21" s="253"/>
      <c r="FJ21" s="255">
        <f>500-500</f>
        <v>0</v>
      </c>
      <c r="FK21" s="253"/>
      <c r="FL21" s="253"/>
      <c r="FM21" s="262"/>
      <c r="FN21" s="257" t="s">
        <v>1216</v>
      </c>
      <c r="FO21" s="258" t="s">
        <v>389</v>
      </c>
      <c r="FP21" s="258" t="s">
        <v>828</v>
      </c>
      <c r="FQ21" s="258" t="s">
        <v>397</v>
      </c>
      <c r="FR21" s="259">
        <f t="shared" si="0"/>
        <v>20</v>
      </c>
      <c r="FS21" s="260" t="s">
        <v>398</v>
      </c>
      <c r="FT21" s="260"/>
    </row>
    <row r="22" spans="1:176" hidden="1">
      <c r="A22" s="251" t="s">
        <v>385</v>
      </c>
      <c r="B22" s="251" t="s">
        <v>394</v>
      </c>
      <c r="C22" s="251" t="s">
        <v>291</v>
      </c>
      <c r="D22" s="252" t="s">
        <v>404</v>
      </c>
      <c r="E22" s="251" t="s">
        <v>388</v>
      </c>
      <c r="F22" s="251"/>
      <c r="G22" s="253"/>
      <c r="H22" s="255">
        <f>200-200</f>
        <v>0</v>
      </c>
      <c r="I22" s="253"/>
      <c r="J22" s="255">
        <f>200-200</f>
        <v>0</v>
      </c>
      <c r="K22" s="253"/>
      <c r="L22" s="253"/>
      <c r="M22" s="255">
        <f>100-100</f>
        <v>0</v>
      </c>
      <c r="N22" s="255">
        <f>100-100</f>
        <v>0</v>
      </c>
      <c r="O22" s="253"/>
      <c r="P22" s="253"/>
      <c r="Q22" s="253"/>
      <c r="R22" s="253"/>
      <c r="S22" s="253"/>
      <c r="T22" s="253"/>
      <c r="U22" s="253"/>
      <c r="V22" s="253"/>
      <c r="W22" s="253"/>
      <c r="X22" s="253"/>
      <c r="Y22" s="253"/>
      <c r="Z22" s="253"/>
      <c r="AA22" s="253"/>
      <c r="AB22" s="255">
        <f>500-500</f>
        <v>0</v>
      </c>
      <c r="AC22" s="255">
        <f>500-500</f>
        <v>0</v>
      </c>
      <c r="AD22" s="253"/>
      <c r="AE22" s="255">
        <f>500-500</f>
        <v>0</v>
      </c>
      <c r="AF22" s="255">
        <f>500-500</f>
        <v>0</v>
      </c>
      <c r="AG22" s="253"/>
      <c r="AH22" s="253"/>
      <c r="AI22" s="253"/>
      <c r="AJ22" s="253"/>
      <c r="AK22" s="254">
        <f>500-500+10</f>
        <v>10</v>
      </c>
      <c r="AL22" s="253"/>
      <c r="AM22" s="253"/>
      <c r="AN22" s="253"/>
      <c r="AO22" s="253"/>
      <c r="AP22" s="253"/>
      <c r="AQ22" s="253"/>
      <c r="AR22" s="253"/>
      <c r="AS22" s="253"/>
      <c r="AT22" s="253"/>
      <c r="AU22" s="253"/>
      <c r="AV22" s="253"/>
      <c r="AW22" s="253"/>
      <c r="AX22" s="253"/>
      <c r="AY22" s="253"/>
      <c r="AZ22" s="253"/>
      <c r="BA22" s="253"/>
      <c r="BB22" s="253"/>
      <c r="BC22" s="255">
        <f>500-500</f>
        <v>0</v>
      </c>
      <c r="BD22" s="253"/>
      <c r="BE22" s="253"/>
      <c r="BF22" s="253"/>
      <c r="BG22" s="253"/>
      <c r="BH22" s="253"/>
      <c r="BI22" s="253"/>
      <c r="BJ22" s="253"/>
      <c r="BK22" s="253"/>
      <c r="BL22" s="253"/>
      <c r="BM22" s="253"/>
      <c r="BN22" s="253"/>
      <c r="BO22" s="253"/>
      <c r="BP22" s="253"/>
      <c r="BQ22" s="253"/>
      <c r="BR22" s="253"/>
      <c r="BS22" s="253"/>
      <c r="BT22" s="253"/>
      <c r="BU22" s="253"/>
      <c r="BV22" s="253"/>
      <c r="BW22" s="253"/>
      <c r="BX22" s="253"/>
      <c r="BY22" s="253"/>
      <c r="BZ22" s="253"/>
      <c r="CA22" s="253"/>
      <c r="CB22" s="253"/>
      <c r="CC22" s="253"/>
      <c r="CD22" s="253"/>
      <c r="CE22" s="253"/>
      <c r="CF22" s="253"/>
      <c r="CG22" s="253"/>
      <c r="CH22" s="253"/>
      <c r="CI22" s="253"/>
      <c r="CJ22" s="253"/>
      <c r="CK22" s="253"/>
      <c r="CL22" s="253"/>
      <c r="CM22" s="253"/>
      <c r="CN22" s="253"/>
      <c r="CO22" s="253"/>
      <c r="CP22" s="253"/>
      <c r="CQ22" s="253"/>
      <c r="CR22" s="253"/>
      <c r="CS22" s="253"/>
      <c r="CT22" s="253"/>
      <c r="CU22" s="253"/>
      <c r="CV22" s="253"/>
      <c r="CW22" s="253"/>
      <c r="CX22" s="253"/>
      <c r="CY22" s="253"/>
      <c r="CZ22" s="253"/>
      <c r="DA22" s="253"/>
      <c r="DB22" s="253"/>
      <c r="DC22" s="253"/>
      <c r="DD22" s="253"/>
      <c r="DE22" s="253"/>
      <c r="DF22" s="253"/>
      <c r="DG22" s="253"/>
      <c r="DH22" s="253"/>
      <c r="DI22" s="253"/>
      <c r="DJ22" s="253"/>
      <c r="DK22" s="253"/>
      <c r="DL22" s="253"/>
      <c r="DM22" s="253"/>
      <c r="DN22" s="253"/>
      <c r="DO22" s="253"/>
      <c r="DP22" s="253"/>
      <c r="DQ22" s="253"/>
      <c r="DR22" s="253"/>
      <c r="DS22" s="253"/>
      <c r="DT22" s="253"/>
      <c r="DU22" s="253"/>
      <c r="DV22" s="253"/>
      <c r="DW22" s="255">
        <f>100-100</f>
        <v>0</v>
      </c>
      <c r="DX22" s="255">
        <f>100-100</f>
        <v>0</v>
      </c>
      <c r="DY22" s="253"/>
      <c r="DZ22" s="253"/>
      <c r="EA22" s="253"/>
      <c r="EB22" s="255">
        <f>0-0</f>
        <v>0</v>
      </c>
      <c r="EC22" s="255">
        <f>0-0</f>
        <v>0</v>
      </c>
      <c r="ED22" s="253"/>
      <c r="EE22" s="253"/>
      <c r="EF22" s="253"/>
      <c r="EG22" s="253"/>
      <c r="EH22" s="253"/>
      <c r="EI22" s="253"/>
      <c r="EJ22" s="253"/>
      <c r="EK22" s="253"/>
      <c r="EL22" s="253"/>
      <c r="EM22" s="253"/>
      <c r="EN22" s="253"/>
      <c r="EO22" s="253"/>
      <c r="EP22" s="253"/>
      <c r="EQ22" s="253"/>
      <c r="ER22" s="253"/>
      <c r="ES22" s="253"/>
      <c r="ET22" s="253"/>
      <c r="EU22" s="253"/>
      <c r="EV22" s="253"/>
      <c r="EW22" s="253"/>
      <c r="EX22" s="253"/>
      <c r="EY22" s="253"/>
      <c r="EZ22" s="253"/>
      <c r="FA22" s="253"/>
      <c r="FB22" s="253"/>
      <c r="FC22" s="253"/>
      <c r="FD22" s="253"/>
      <c r="FE22" s="253"/>
      <c r="FF22" s="253"/>
      <c r="FG22" s="253"/>
      <c r="FH22" s="253"/>
      <c r="FI22" s="253"/>
      <c r="FJ22" s="253"/>
      <c r="FK22" s="253"/>
      <c r="FL22" s="253"/>
      <c r="FM22" s="262"/>
      <c r="FN22" s="257" t="s">
        <v>1216</v>
      </c>
      <c r="FO22" s="258" t="s">
        <v>389</v>
      </c>
      <c r="FP22" s="258"/>
      <c r="FQ22" s="258" t="s">
        <v>402</v>
      </c>
      <c r="FR22" s="259">
        <f t="shared" si="0"/>
        <v>10</v>
      </c>
      <c r="FS22" s="260" t="s">
        <v>403</v>
      </c>
      <c r="FT22" s="260"/>
    </row>
    <row r="23" spans="1:176" hidden="1">
      <c r="A23" s="251" t="s">
        <v>385</v>
      </c>
      <c r="B23" s="251" t="s">
        <v>394</v>
      </c>
      <c r="C23" s="251" t="s">
        <v>1</v>
      </c>
      <c r="D23" s="252" t="s">
        <v>404</v>
      </c>
      <c r="E23" s="251" t="s">
        <v>388</v>
      </c>
      <c r="F23" s="251"/>
      <c r="G23" s="253"/>
      <c r="H23" s="253"/>
      <c r="I23" s="253"/>
      <c r="J23" s="253"/>
      <c r="K23" s="254">
        <f>200-200+200</f>
        <v>200</v>
      </c>
      <c r="L23" s="253"/>
      <c r="M23" s="253"/>
      <c r="N23" s="253"/>
      <c r="O23" s="255">
        <f>100-100</f>
        <v>0</v>
      </c>
      <c r="P23" s="253"/>
      <c r="Q23" s="253"/>
      <c r="R23" s="255">
        <f>500-500</f>
        <v>0</v>
      </c>
      <c r="S23" s="253"/>
      <c r="T23" s="254">
        <f>500-500+30</f>
        <v>30</v>
      </c>
      <c r="U23" s="255">
        <f>500-500</f>
        <v>0</v>
      </c>
      <c r="V23" s="253"/>
      <c r="W23" s="253"/>
      <c r="X23" s="255">
        <f>500-500</f>
        <v>0</v>
      </c>
      <c r="Y23" s="255">
        <f>500-500</f>
        <v>0</v>
      </c>
      <c r="Z23" s="255">
        <f>500-500</f>
        <v>0</v>
      </c>
      <c r="AA23" s="255">
        <f>500-500</f>
        <v>0</v>
      </c>
      <c r="AB23" s="253"/>
      <c r="AC23" s="253"/>
      <c r="AD23" s="255">
        <f>500-500</f>
        <v>0</v>
      </c>
      <c r="AE23" s="253"/>
      <c r="AF23" s="253"/>
      <c r="AG23" s="255">
        <f>500-500</f>
        <v>0</v>
      </c>
      <c r="AH23" s="253"/>
      <c r="AI23" s="253"/>
      <c r="AJ23" s="253"/>
      <c r="AK23" s="253"/>
      <c r="AL23" s="253"/>
      <c r="AM23" s="255">
        <f>500-500</f>
        <v>0</v>
      </c>
      <c r="AN23" s="253"/>
      <c r="AO23" s="253"/>
      <c r="AP23" s="253"/>
      <c r="AQ23" s="253"/>
      <c r="AR23" s="253"/>
      <c r="AS23" s="254">
        <f>500-500+20</f>
        <v>20</v>
      </c>
      <c r="AT23" s="253"/>
      <c r="AU23" s="253"/>
      <c r="AV23" s="253"/>
      <c r="AW23" s="253"/>
      <c r="AX23" s="253"/>
      <c r="AY23" s="253"/>
      <c r="AZ23" s="253"/>
      <c r="BA23" s="253"/>
      <c r="BB23" s="253"/>
      <c r="BC23" s="254">
        <f>0+30</f>
        <v>30</v>
      </c>
      <c r="BD23" s="253"/>
      <c r="BE23" s="253"/>
      <c r="BF23" s="253"/>
      <c r="BG23" s="253"/>
      <c r="BH23" s="253"/>
      <c r="BI23" s="253"/>
      <c r="BJ23" s="253"/>
      <c r="BK23" s="253"/>
      <c r="BL23" s="253"/>
      <c r="BM23" s="253"/>
      <c r="BN23" s="253"/>
      <c r="BO23" s="253"/>
      <c r="BP23" s="253"/>
      <c r="BQ23" s="253"/>
      <c r="BR23" s="253"/>
      <c r="BS23" s="253"/>
      <c r="BT23" s="253"/>
      <c r="BU23" s="253"/>
      <c r="BV23" s="253"/>
      <c r="BW23" s="253"/>
      <c r="BX23" s="253"/>
      <c r="BY23" s="253"/>
      <c r="BZ23" s="253"/>
      <c r="CA23" s="253"/>
      <c r="CB23" s="253"/>
      <c r="CC23" s="253"/>
      <c r="CD23" s="253"/>
      <c r="CE23" s="253"/>
      <c r="CF23" s="253"/>
      <c r="CG23" s="253"/>
      <c r="CH23" s="253"/>
      <c r="CI23" s="253"/>
      <c r="CJ23" s="253"/>
      <c r="CK23" s="253"/>
      <c r="CL23" s="253"/>
      <c r="CM23" s="253"/>
      <c r="CN23" s="253"/>
      <c r="CO23" s="253"/>
      <c r="CP23" s="253"/>
      <c r="CQ23" s="253"/>
      <c r="CR23" s="253"/>
      <c r="CS23" s="253"/>
      <c r="CT23" s="253"/>
      <c r="CU23" s="253"/>
      <c r="CV23" s="253"/>
      <c r="CW23" s="253"/>
      <c r="CX23" s="253"/>
      <c r="CY23" s="253"/>
      <c r="CZ23" s="253"/>
      <c r="DA23" s="253"/>
      <c r="DB23" s="253"/>
      <c r="DC23" s="253"/>
      <c r="DD23" s="253"/>
      <c r="DE23" s="253"/>
      <c r="DF23" s="253"/>
      <c r="DG23" s="253"/>
      <c r="DH23" s="253"/>
      <c r="DI23" s="253"/>
      <c r="DJ23" s="253"/>
      <c r="DK23" s="253"/>
      <c r="DL23" s="253"/>
      <c r="DM23" s="253"/>
      <c r="DN23" s="253"/>
      <c r="DO23" s="253"/>
      <c r="DP23" s="253"/>
      <c r="DQ23" s="253"/>
      <c r="DR23" s="253"/>
      <c r="DS23" s="253"/>
      <c r="DT23" s="253"/>
      <c r="DU23" s="253"/>
      <c r="DV23" s="253"/>
      <c r="DW23" s="253"/>
      <c r="DX23" s="254">
        <f>0+9</f>
        <v>9</v>
      </c>
      <c r="DY23" s="253"/>
      <c r="DZ23" s="255">
        <f>100-100</f>
        <v>0</v>
      </c>
      <c r="EA23" s="253"/>
      <c r="EB23" s="253"/>
      <c r="EC23" s="253"/>
      <c r="ED23" s="253"/>
      <c r="EE23" s="253"/>
      <c r="EF23" s="253"/>
      <c r="EG23" s="253"/>
      <c r="EH23" s="253"/>
      <c r="EI23" s="253"/>
      <c r="EJ23" s="253"/>
      <c r="EK23" s="253"/>
      <c r="EL23" s="255">
        <f t="shared" ref="EL23:ER23" si="2">100-100</f>
        <v>0</v>
      </c>
      <c r="EM23" s="255">
        <f t="shared" si="2"/>
        <v>0</v>
      </c>
      <c r="EN23" s="255">
        <f t="shared" si="2"/>
        <v>0</v>
      </c>
      <c r="EO23" s="255">
        <f t="shared" si="2"/>
        <v>0</v>
      </c>
      <c r="EP23" s="255">
        <f t="shared" si="2"/>
        <v>0</v>
      </c>
      <c r="EQ23" s="255">
        <f t="shared" si="2"/>
        <v>0</v>
      </c>
      <c r="ER23" s="255">
        <f t="shared" si="2"/>
        <v>0</v>
      </c>
      <c r="ES23" s="253"/>
      <c r="ET23" s="255">
        <f>100-100</f>
        <v>0</v>
      </c>
      <c r="EU23" s="255">
        <f>100-100</f>
        <v>0</v>
      </c>
      <c r="EV23" s="255">
        <f>50-50</f>
        <v>0</v>
      </c>
      <c r="EW23" s="253"/>
      <c r="EX23" s="255">
        <f>50-50</f>
        <v>0</v>
      </c>
      <c r="EY23" s="253"/>
      <c r="EZ23" s="253"/>
      <c r="FA23" s="253"/>
      <c r="FB23" s="255">
        <f>50-50</f>
        <v>0</v>
      </c>
      <c r="FC23" s="255">
        <f>50-50</f>
        <v>0</v>
      </c>
      <c r="FD23" s="253"/>
      <c r="FE23" s="253"/>
      <c r="FF23" s="255">
        <f>50-50</f>
        <v>0</v>
      </c>
      <c r="FG23" s="253"/>
      <c r="FH23" s="253"/>
      <c r="FI23" s="255">
        <f>50-50</f>
        <v>0</v>
      </c>
      <c r="FJ23" s="255">
        <f>50-50</f>
        <v>0</v>
      </c>
      <c r="FK23" s="253"/>
      <c r="FL23" s="253"/>
      <c r="FM23" s="262"/>
      <c r="FN23" s="257" t="s">
        <v>1216</v>
      </c>
      <c r="FO23" s="258" t="s">
        <v>389</v>
      </c>
      <c r="FP23" s="258"/>
      <c r="FQ23" s="258" t="s">
        <v>402</v>
      </c>
      <c r="FR23" s="259">
        <f t="shared" si="0"/>
        <v>289</v>
      </c>
      <c r="FS23" s="260" t="s">
        <v>403</v>
      </c>
      <c r="FT23" s="260"/>
    </row>
    <row r="24" spans="1:176" hidden="1">
      <c r="A24" s="251" t="s">
        <v>385</v>
      </c>
      <c r="B24" s="251" t="s">
        <v>394</v>
      </c>
      <c r="C24" s="251" t="s">
        <v>293</v>
      </c>
      <c r="D24" s="252" t="s">
        <v>404</v>
      </c>
      <c r="E24" s="251" t="s">
        <v>388</v>
      </c>
      <c r="F24" s="251"/>
      <c r="G24" s="253"/>
      <c r="H24" s="253"/>
      <c r="I24" s="255">
        <f>200-200</f>
        <v>0</v>
      </c>
      <c r="J24" s="253"/>
      <c r="K24" s="253"/>
      <c r="L24" s="253"/>
      <c r="M24" s="253"/>
      <c r="N24" s="253"/>
      <c r="O24" s="253"/>
      <c r="P24" s="253"/>
      <c r="Q24" s="253"/>
      <c r="R24" s="253"/>
      <c r="S24" s="253"/>
      <c r="T24" s="253"/>
      <c r="U24" s="253"/>
      <c r="V24" s="253"/>
      <c r="W24" s="253"/>
      <c r="X24" s="253"/>
      <c r="Y24" s="253"/>
      <c r="Z24" s="253"/>
      <c r="AA24" s="253"/>
      <c r="AB24" s="253"/>
      <c r="AC24" s="253"/>
      <c r="AD24" s="253"/>
      <c r="AE24" s="253"/>
      <c r="AF24" s="253"/>
      <c r="AG24" s="253"/>
      <c r="AH24" s="253"/>
      <c r="AI24" s="253"/>
      <c r="AJ24" s="253"/>
      <c r="AK24" s="253"/>
      <c r="AL24" s="253"/>
      <c r="AM24" s="253"/>
      <c r="AN24" s="253"/>
      <c r="AO24" s="253"/>
      <c r="AP24" s="253"/>
      <c r="AQ24" s="253"/>
      <c r="AR24" s="253"/>
      <c r="AS24" s="253"/>
      <c r="AT24" s="253"/>
      <c r="AU24" s="253"/>
      <c r="AV24" s="253"/>
      <c r="AW24" s="253"/>
      <c r="AX24" s="253"/>
      <c r="AY24" s="253"/>
      <c r="AZ24" s="253"/>
      <c r="BA24" s="253"/>
      <c r="BB24" s="253"/>
      <c r="BC24" s="253"/>
      <c r="BD24" s="253"/>
      <c r="BE24" s="253"/>
      <c r="BF24" s="253"/>
      <c r="BG24" s="253"/>
      <c r="BH24" s="253"/>
      <c r="BI24" s="253"/>
      <c r="BJ24" s="253"/>
      <c r="BK24" s="253"/>
      <c r="BL24" s="253"/>
      <c r="BM24" s="253"/>
      <c r="BN24" s="253"/>
      <c r="BO24" s="253"/>
      <c r="BP24" s="253"/>
      <c r="BQ24" s="253"/>
      <c r="BR24" s="253"/>
      <c r="BS24" s="253"/>
      <c r="BT24" s="253"/>
      <c r="BU24" s="253"/>
      <c r="BV24" s="253"/>
      <c r="BW24" s="253"/>
      <c r="BX24" s="253"/>
      <c r="BY24" s="253"/>
      <c r="BZ24" s="253"/>
      <c r="CA24" s="253"/>
      <c r="CB24" s="253"/>
      <c r="CC24" s="253"/>
      <c r="CD24" s="253"/>
      <c r="CE24" s="253"/>
      <c r="CF24" s="253"/>
      <c r="CG24" s="253"/>
      <c r="CH24" s="253"/>
      <c r="CI24" s="253"/>
      <c r="CJ24" s="253"/>
      <c r="CK24" s="253"/>
      <c r="CL24" s="253"/>
      <c r="CM24" s="253"/>
      <c r="CN24" s="253"/>
      <c r="CO24" s="253"/>
      <c r="CP24" s="253"/>
      <c r="CQ24" s="253"/>
      <c r="CR24" s="253"/>
      <c r="CS24" s="253"/>
      <c r="CT24" s="253"/>
      <c r="CU24" s="253"/>
      <c r="CV24" s="253"/>
      <c r="CW24" s="253"/>
      <c r="CX24" s="253"/>
      <c r="CY24" s="253"/>
      <c r="CZ24" s="253"/>
      <c r="DA24" s="253"/>
      <c r="DB24" s="253"/>
      <c r="DC24" s="253"/>
      <c r="DD24" s="253"/>
      <c r="DE24" s="253"/>
      <c r="DF24" s="253"/>
      <c r="DG24" s="253"/>
      <c r="DH24" s="253"/>
      <c r="DI24" s="253"/>
      <c r="DJ24" s="253"/>
      <c r="DK24" s="253"/>
      <c r="DL24" s="253"/>
      <c r="DM24" s="253"/>
      <c r="DN24" s="253"/>
      <c r="DO24" s="253"/>
      <c r="DP24" s="253"/>
      <c r="DQ24" s="253"/>
      <c r="DR24" s="253"/>
      <c r="DS24" s="253"/>
      <c r="DT24" s="253"/>
      <c r="DU24" s="253"/>
      <c r="DV24" s="253"/>
      <c r="DW24" s="253"/>
      <c r="DX24" s="253"/>
      <c r="DY24" s="253"/>
      <c r="DZ24" s="253"/>
      <c r="EA24" s="253"/>
      <c r="EB24" s="253"/>
      <c r="EC24" s="253"/>
      <c r="ED24" s="253"/>
      <c r="EE24" s="253"/>
      <c r="EF24" s="253"/>
      <c r="EG24" s="253"/>
      <c r="EH24" s="253"/>
      <c r="EI24" s="253"/>
      <c r="EJ24" s="253"/>
      <c r="EK24" s="253"/>
      <c r="EL24" s="253"/>
      <c r="EM24" s="253"/>
      <c r="EN24" s="253"/>
      <c r="EO24" s="253"/>
      <c r="EP24" s="253"/>
      <c r="EQ24" s="253"/>
      <c r="ER24" s="253"/>
      <c r="ES24" s="253"/>
      <c r="ET24" s="253"/>
      <c r="EU24" s="253"/>
      <c r="EV24" s="253"/>
      <c r="EW24" s="255">
        <f>50-50</f>
        <v>0</v>
      </c>
      <c r="EX24" s="253"/>
      <c r="EY24" s="253"/>
      <c r="EZ24" s="253"/>
      <c r="FA24" s="255">
        <f>50-50</f>
        <v>0</v>
      </c>
      <c r="FB24" s="253"/>
      <c r="FC24" s="253"/>
      <c r="FD24" s="253"/>
      <c r="FE24" s="255">
        <f>50-50</f>
        <v>0</v>
      </c>
      <c r="FF24" s="253"/>
      <c r="FG24" s="253"/>
      <c r="FH24" s="253"/>
      <c r="FI24" s="253"/>
      <c r="FJ24" s="253"/>
      <c r="FK24" s="253"/>
      <c r="FL24" s="253"/>
      <c r="FM24" s="262"/>
      <c r="FN24" s="257" t="s">
        <v>1216</v>
      </c>
      <c r="FO24" s="258" t="s">
        <v>389</v>
      </c>
      <c r="FP24" s="258"/>
      <c r="FQ24" s="258" t="s">
        <v>402</v>
      </c>
      <c r="FR24" s="259">
        <f t="shared" si="0"/>
        <v>0</v>
      </c>
      <c r="FS24" s="260" t="s">
        <v>403</v>
      </c>
      <c r="FT24" s="260"/>
    </row>
    <row r="25" spans="1:176" hidden="1">
      <c r="A25" s="251" t="s">
        <v>385</v>
      </c>
      <c r="B25" s="251" t="s">
        <v>394</v>
      </c>
      <c r="C25" s="251" t="s">
        <v>291</v>
      </c>
      <c r="D25" s="252" t="s">
        <v>405</v>
      </c>
      <c r="E25" s="251" t="s">
        <v>388</v>
      </c>
      <c r="F25" s="251" t="s">
        <v>1221</v>
      </c>
      <c r="G25" s="253"/>
      <c r="H25" s="253"/>
      <c r="I25" s="253"/>
      <c r="J25" s="253"/>
      <c r="K25" s="253"/>
      <c r="L25" s="253"/>
      <c r="M25" s="253"/>
      <c r="N25" s="255">
        <f>500-500</f>
        <v>0</v>
      </c>
      <c r="O25" s="253"/>
      <c r="P25" s="253"/>
      <c r="Q25" s="253"/>
      <c r="R25" s="253"/>
      <c r="S25" s="253"/>
      <c r="T25" s="253"/>
      <c r="U25" s="253"/>
      <c r="V25" s="253"/>
      <c r="W25" s="253"/>
      <c r="X25" s="253"/>
      <c r="Y25" s="253"/>
      <c r="Z25" s="253"/>
      <c r="AA25" s="253"/>
      <c r="AB25" s="253"/>
      <c r="AC25" s="255">
        <f>50-50</f>
        <v>0</v>
      </c>
      <c r="AD25" s="253"/>
      <c r="AE25" s="255">
        <f>50-50</f>
        <v>0</v>
      </c>
      <c r="AF25" s="255">
        <f>50-50</f>
        <v>0</v>
      </c>
      <c r="AG25" s="253"/>
      <c r="AH25" s="253"/>
      <c r="AI25" s="253"/>
      <c r="AJ25" s="253"/>
      <c r="AK25" s="253"/>
      <c r="AL25" s="253"/>
      <c r="AM25" s="253"/>
      <c r="AN25" s="253"/>
      <c r="AO25" s="253"/>
      <c r="AP25" s="253"/>
      <c r="AQ25" s="253"/>
      <c r="AR25" s="253"/>
      <c r="AS25" s="253"/>
      <c r="AT25" s="253"/>
      <c r="AU25" s="253"/>
      <c r="AV25" s="253"/>
      <c r="AW25" s="253"/>
      <c r="AX25" s="253"/>
      <c r="AY25" s="253"/>
      <c r="AZ25" s="253"/>
      <c r="BA25" s="253"/>
      <c r="BB25" s="253"/>
      <c r="BC25" s="253"/>
      <c r="BD25" s="253"/>
      <c r="BE25" s="253"/>
      <c r="BF25" s="253"/>
      <c r="BG25" s="253"/>
      <c r="BH25" s="253"/>
      <c r="BI25" s="253"/>
      <c r="BJ25" s="253"/>
      <c r="BK25" s="253"/>
      <c r="BL25" s="253"/>
      <c r="BM25" s="253"/>
      <c r="BN25" s="253"/>
      <c r="BO25" s="253"/>
      <c r="BP25" s="253"/>
      <c r="BQ25" s="253"/>
      <c r="BR25" s="253"/>
      <c r="BS25" s="253"/>
      <c r="BT25" s="253"/>
      <c r="BU25" s="253"/>
      <c r="BV25" s="253"/>
      <c r="BW25" s="253"/>
      <c r="BX25" s="253"/>
      <c r="BY25" s="253"/>
      <c r="BZ25" s="253"/>
      <c r="CA25" s="253"/>
      <c r="CB25" s="253"/>
      <c r="CC25" s="253"/>
      <c r="CD25" s="253"/>
      <c r="CE25" s="253"/>
      <c r="CF25" s="253"/>
      <c r="CG25" s="253"/>
      <c r="CH25" s="253"/>
      <c r="CI25" s="253"/>
      <c r="CJ25" s="253"/>
      <c r="CK25" s="253"/>
      <c r="CL25" s="253"/>
      <c r="CM25" s="253"/>
      <c r="CN25" s="253"/>
      <c r="CO25" s="253"/>
      <c r="CP25" s="253"/>
      <c r="CQ25" s="253"/>
      <c r="CR25" s="253"/>
      <c r="CS25" s="253"/>
      <c r="CT25" s="253"/>
      <c r="CU25" s="253"/>
      <c r="CV25" s="253"/>
      <c r="CW25" s="253"/>
      <c r="CX25" s="253"/>
      <c r="CY25" s="253"/>
      <c r="CZ25" s="253"/>
      <c r="DA25" s="253"/>
      <c r="DB25" s="253"/>
      <c r="DC25" s="253"/>
      <c r="DD25" s="253"/>
      <c r="DE25" s="253"/>
      <c r="DF25" s="253"/>
      <c r="DG25" s="253"/>
      <c r="DH25" s="253"/>
      <c r="DI25" s="253"/>
      <c r="DJ25" s="253"/>
      <c r="DK25" s="253"/>
      <c r="DL25" s="253"/>
      <c r="DM25" s="253"/>
      <c r="DN25" s="253"/>
      <c r="DO25" s="253"/>
      <c r="DP25" s="253"/>
      <c r="DQ25" s="253"/>
      <c r="DR25" s="253"/>
      <c r="DS25" s="253"/>
      <c r="DT25" s="253"/>
      <c r="DU25" s="253"/>
      <c r="DV25" s="253"/>
      <c r="DW25" s="253"/>
      <c r="DX25" s="253"/>
      <c r="DY25" s="253"/>
      <c r="DZ25" s="253"/>
      <c r="EA25" s="253"/>
      <c r="EB25" s="253"/>
      <c r="EC25" s="253"/>
      <c r="ED25" s="253"/>
      <c r="EE25" s="253"/>
      <c r="EF25" s="253"/>
      <c r="EG25" s="253"/>
      <c r="EH25" s="253"/>
      <c r="EI25" s="253"/>
      <c r="EJ25" s="253"/>
      <c r="EK25" s="253"/>
      <c r="EL25" s="253"/>
      <c r="EM25" s="253"/>
      <c r="EN25" s="253"/>
      <c r="EO25" s="253"/>
      <c r="EP25" s="253"/>
      <c r="EQ25" s="253"/>
      <c r="ER25" s="253"/>
      <c r="ES25" s="253"/>
      <c r="ET25" s="253"/>
      <c r="EU25" s="253"/>
      <c r="EV25" s="253"/>
      <c r="EW25" s="253"/>
      <c r="EX25" s="253"/>
      <c r="EY25" s="253"/>
      <c r="EZ25" s="253"/>
      <c r="FA25" s="253"/>
      <c r="FB25" s="253"/>
      <c r="FC25" s="253"/>
      <c r="FD25" s="253"/>
      <c r="FE25" s="253"/>
      <c r="FF25" s="253"/>
      <c r="FG25" s="253"/>
      <c r="FH25" s="253"/>
      <c r="FI25" s="253"/>
      <c r="FJ25" s="253"/>
      <c r="FK25" s="253"/>
      <c r="FL25" s="253"/>
      <c r="FM25" s="262"/>
      <c r="FN25" s="257" t="s">
        <v>1216</v>
      </c>
      <c r="FO25" s="258" t="s">
        <v>389</v>
      </c>
      <c r="FP25" s="258" t="s">
        <v>406</v>
      </c>
      <c r="FQ25" s="258" t="s">
        <v>397</v>
      </c>
      <c r="FR25" s="259">
        <f t="shared" si="0"/>
        <v>0</v>
      </c>
      <c r="FS25" s="260" t="s">
        <v>398</v>
      </c>
      <c r="FT25" s="260"/>
    </row>
    <row r="26" spans="1:176" hidden="1">
      <c r="A26" s="251" t="s">
        <v>385</v>
      </c>
      <c r="B26" s="251" t="s">
        <v>394</v>
      </c>
      <c r="C26" s="251" t="s">
        <v>1</v>
      </c>
      <c r="D26" s="252" t="s">
        <v>405</v>
      </c>
      <c r="E26" s="251" t="s">
        <v>388</v>
      </c>
      <c r="F26" s="251" t="s">
        <v>1221</v>
      </c>
      <c r="G26" s="253"/>
      <c r="H26" s="253"/>
      <c r="I26" s="253"/>
      <c r="J26" s="253"/>
      <c r="K26" s="253"/>
      <c r="L26" s="253"/>
      <c r="M26" s="253"/>
      <c r="N26" s="253"/>
      <c r="O26" s="253"/>
      <c r="P26" s="253"/>
      <c r="Q26" s="253"/>
      <c r="R26" s="253"/>
      <c r="S26" s="253"/>
      <c r="T26" s="253"/>
      <c r="U26" s="253"/>
      <c r="V26" s="253"/>
      <c r="W26" s="253"/>
      <c r="X26" s="253"/>
      <c r="Y26" s="255">
        <f>50-50</f>
        <v>0</v>
      </c>
      <c r="Z26" s="253"/>
      <c r="AA26" s="253"/>
      <c r="AB26" s="253"/>
      <c r="AC26" s="253"/>
      <c r="AD26" s="255">
        <f>50-50</f>
        <v>0</v>
      </c>
      <c r="AE26" s="253"/>
      <c r="AF26" s="253"/>
      <c r="AG26" s="253"/>
      <c r="AH26" s="253"/>
      <c r="AI26" s="253"/>
      <c r="AJ26" s="253"/>
      <c r="AK26" s="253"/>
      <c r="AL26" s="253"/>
      <c r="AM26" s="255">
        <f>100-100</f>
        <v>0</v>
      </c>
      <c r="AN26" s="253"/>
      <c r="AO26" s="253"/>
      <c r="AP26" s="253"/>
      <c r="AQ26" s="253"/>
      <c r="AR26" s="253"/>
      <c r="AS26" s="254">
        <f>200-200+30</f>
        <v>30</v>
      </c>
      <c r="AT26" s="253"/>
      <c r="AU26" s="253"/>
      <c r="AV26" s="253"/>
      <c r="AW26" s="253"/>
      <c r="AX26" s="253"/>
      <c r="AY26" s="253"/>
      <c r="AZ26" s="253"/>
      <c r="BA26" s="253"/>
      <c r="BB26" s="253"/>
      <c r="BC26" s="253"/>
      <c r="BD26" s="253"/>
      <c r="BE26" s="253"/>
      <c r="BF26" s="253"/>
      <c r="BG26" s="253"/>
      <c r="BH26" s="253"/>
      <c r="BI26" s="253"/>
      <c r="BJ26" s="253"/>
      <c r="BK26" s="253"/>
      <c r="BL26" s="253"/>
      <c r="BM26" s="253"/>
      <c r="BN26" s="253"/>
      <c r="BO26" s="253"/>
      <c r="BP26" s="253"/>
      <c r="BQ26" s="253"/>
      <c r="BR26" s="253"/>
      <c r="BS26" s="253"/>
      <c r="BT26" s="253"/>
      <c r="BU26" s="253"/>
      <c r="BV26" s="253"/>
      <c r="BW26" s="253"/>
      <c r="BX26" s="253"/>
      <c r="BY26" s="253"/>
      <c r="BZ26" s="253"/>
      <c r="CA26" s="253"/>
      <c r="CB26" s="253"/>
      <c r="CC26" s="253"/>
      <c r="CD26" s="253"/>
      <c r="CE26" s="253"/>
      <c r="CF26" s="253"/>
      <c r="CG26" s="253"/>
      <c r="CH26" s="253"/>
      <c r="CI26" s="253"/>
      <c r="CJ26" s="253"/>
      <c r="CK26" s="253"/>
      <c r="CL26" s="253"/>
      <c r="CM26" s="253"/>
      <c r="CN26" s="253"/>
      <c r="CO26" s="253"/>
      <c r="CP26" s="253"/>
      <c r="CQ26" s="253"/>
      <c r="CR26" s="253"/>
      <c r="CS26" s="253"/>
      <c r="CT26" s="253"/>
      <c r="CU26" s="253"/>
      <c r="CV26" s="253"/>
      <c r="CW26" s="253"/>
      <c r="CX26" s="253"/>
      <c r="CY26" s="253"/>
      <c r="CZ26" s="253"/>
      <c r="DA26" s="253"/>
      <c r="DB26" s="253"/>
      <c r="DC26" s="253"/>
      <c r="DD26" s="253"/>
      <c r="DE26" s="253"/>
      <c r="DF26" s="253"/>
      <c r="DG26" s="253"/>
      <c r="DH26" s="253"/>
      <c r="DI26" s="253"/>
      <c r="DJ26" s="253"/>
      <c r="DK26" s="253"/>
      <c r="DL26" s="253"/>
      <c r="DM26" s="253"/>
      <c r="DN26" s="253"/>
      <c r="DO26" s="253"/>
      <c r="DP26" s="253"/>
      <c r="DQ26" s="253"/>
      <c r="DR26" s="253"/>
      <c r="DS26" s="253"/>
      <c r="DT26" s="253"/>
      <c r="DU26" s="253"/>
      <c r="DV26" s="253"/>
      <c r="DW26" s="253"/>
      <c r="DX26" s="253"/>
      <c r="DY26" s="253"/>
      <c r="DZ26" s="253"/>
      <c r="EA26" s="253"/>
      <c r="EB26" s="253"/>
      <c r="EC26" s="253"/>
      <c r="ED26" s="253"/>
      <c r="EE26" s="253"/>
      <c r="EF26" s="253"/>
      <c r="EG26" s="253"/>
      <c r="EH26" s="253"/>
      <c r="EI26" s="253"/>
      <c r="EJ26" s="255">
        <f>100-100</f>
        <v>0</v>
      </c>
      <c r="EK26" s="253"/>
      <c r="EL26" s="255">
        <f>100-100</f>
        <v>0</v>
      </c>
      <c r="EM26" s="253"/>
      <c r="EN26" s="253"/>
      <c r="EO26" s="255">
        <f>50-50</f>
        <v>0</v>
      </c>
      <c r="EP26" s="253"/>
      <c r="EQ26" s="255">
        <f>200-200</f>
        <v>0</v>
      </c>
      <c r="ER26" s="255">
        <f>20-20</f>
        <v>0</v>
      </c>
      <c r="ES26" s="253"/>
      <c r="ET26" s="255">
        <f>50-50</f>
        <v>0</v>
      </c>
      <c r="EU26" s="255">
        <f>50-50</f>
        <v>0</v>
      </c>
      <c r="EV26" s="255">
        <f>10-10</f>
        <v>0</v>
      </c>
      <c r="EW26" s="253"/>
      <c r="EX26" s="255">
        <f>50-50</f>
        <v>0</v>
      </c>
      <c r="EY26" s="255">
        <f>20-20</f>
        <v>0</v>
      </c>
      <c r="EZ26" s="255">
        <f>20-20</f>
        <v>0</v>
      </c>
      <c r="FA26" s="253"/>
      <c r="FB26" s="255">
        <f>50-50</f>
        <v>0</v>
      </c>
      <c r="FC26" s="255">
        <f>10-10</f>
        <v>0</v>
      </c>
      <c r="FD26" s="253"/>
      <c r="FE26" s="253"/>
      <c r="FF26" s="255">
        <f>10-10</f>
        <v>0</v>
      </c>
      <c r="FG26" s="253"/>
      <c r="FH26" s="253"/>
      <c r="FI26" s="253"/>
      <c r="FJ26" s="253"/>
      <c r="FK26" s="253"/>
      <c r="FL26" s="253"/>
      <c r="FM26" s="262"/>
      <c r="FN26" s="257" t="s">
        <v>1216</v>
      </c>
      <c r="FO26" s="258" t="s">
        <v>389</v>
      </c>
      <c r="FP26" s="258" t="s">
        <v>406</v>
      </c>
      <c r="FQ26" s="258" t="s">
        <v>397</v>
      </c>
      <c r="FR26" s="259">
        <f t="shared" si="0"/>
        <v>30</v>
      </c>
      <c r="FS26" s="260" t="s">
        <v>398</v>
      </c>
      <c r="FT26" s="260"/>
    </row>
    <row r="27" spans="1:176" hidden="1">
      <c r="A27" s="251" t="s">
        <v>385</v>
      </c>
      <c r="B27" s="251" t="s">
        <v>407</v>
      </c>
      <c r="C27" s="251" t="s">
        <v>291</v>
      </c>
      <c r="D27" s="252" t="s">
        <v>971</v>
      </c>
      <c r="E27" s="251" t="s">
        <v>388</v>
      </c>
      <c r="F27" s="251"/>
      <c r="G27" s="253"/>
      <c r="H27" s="255">
        <f>200-200</f>
        <v>0</v>
      </c>
      <c r="I27" s="253"/>
      <c r="J27" s="253"/>
      <c r="K27" s="253"/>
      <c r="L27" s="253"/>
      <c r="M27" s="255">
        <f>500-500</f>
        <v>0</v>
      </c>
      <c r="N27" s="255">
        <f>1000-1000</f>
        <v>0</v>
      </c>
      <c r="O27" s="253"/>
      <c r="P27" s="253"/>
      <c r="Q27" s="253"/>
      <c r="R27" s="253"/>
      <c r="S27" s="253"/>
      <c r="T27" s="253"/>
      <c r="U27" s="253"/>
      <c r="V27" s="253"/>
      <c r="W27" s="253"/>
      <c r="X27" s="253"/>
      <c r="Y27" s="253"/>
      <c r="Z27" s="253"/>
      <c r="AA27" s="253"/>
      <c r="AB27" s="253"/>
      <c r="AC27" s="253"/>
      <c r="AD27" s="253"/>
      <c r="AE27" s="253"/>
      <c r="AF27" s="253"/>
      <c r="AG27" s="253"/>
      <c r="AH27" s="253"/>
      <c r="AI27" s="253"/>
      <c r="AJ27" s="253"/>
      <c r="AK27" s="254">
        <f>500-500+20</f>
        <v>20</v>
      </c>
      <c r="AL27" s="253"/>
      <c r="AM27" s="253"/>
      <c r="AN27" s="253"/>
      <c r="AO27" s="253"/>
      <c r="AP27" s="253"/>
      <c r="AQ27" s="253"/>
      <c r="AR27" s="253"/>
      <c r="AS27" s="253"/>
      <c r="AT27" s="253"/>
      <c r="AU27" s="253"/>
      <c r="AV27" s="253"/>
      <c r="AW27" s="253"/>
      <c r="AX27" s="253"/>
      <c r="AY27" s="253"/>
      <c r="AZ27" s="253"/>
      <c r="BA27" s="253"/>
      <c r="BB27" s="253"/>
      <c r="BC27" s="255">
        <f>2000-2000</f>
        <v>0</v>
      </c>
      <c r="BD27" s="253"/>
      <c r="BE27" s="253"/>
      <c r="BF27" s="253"/>
      <c r="BG27" s="253"/>
      <c r="BH27" s="253"/>
      <c r="BI27" s="253"/>
      <c r="BJ27" s="253"/>
      <c r="BK27" s="253"/>
      <c r="BL27" s="253"/>
      <c r="BM27" s="253"/>
      <c r="BN27" s="253"/>
      <c r="BO27" s="253"/>
      <c r="BP27" s="253"/>
      <c r="BQ27" s="253"/>
      <c r="BR27" s="253"/>
      <c r="BS27" s="253"/>
      <c r="BT27" s="253"/>
      <c r="BU27" s="253"/>
      <c r="BV27" s="253"/>
      <c r="BW27" s="253"/>
      <c r="BX27" s="253"/>
      <c r="BY27" s="253"/>
      <c r="BZ27" s="253"/>
      <c r="CA27" s="253"/>
      <c r="CB27" s="253"/>
      <c r="CC27" s="253"/>
      <c r="CD27" s="253"/>
      <c r="CE27" s="253"/>
      <c r="CF27" s="253"/>
      <c r="CG27" s="253"/>
      <c r="CH27" s="253"/>
      <c r="CI27" s="253"/>
      <c r="CJ27" s="253"/>
      <c r="CK27" s="253"/>
      <c r="CL27" s="253"/>
      <c r="CM27" s="253"/>
      <c r="CN27" s="253"/>
      <c r="CO27" s="253"/>
      <c r="CP27" s="253"/>
      <c r="CQ27" s="253"/>
      <c r="CR27" s="253"/>
      <c r="CS27" s="253"/>
      <c r="CT27" s="253"/>
      <c r="CU27" s="253"/>
      <c r="CV27" s="253"/>
      <c r="CW27" s="253"/>
      <c r="CX27" s="253"/>
      <c r="CY27" s="253"/>
      <c r="CZ27" s="253"/>
      <c r="DA27" s="253"/>
      <c r="DB27" s="253"/>
      <c r="DC27" s="253"/>
      <c r="DD27" s="253"/>
      <c r="DE27" s="253"/>
      <c r="DF27" s="253"/>
      <c r="DG27" s="253"/>
      <c r="DH27" s="253"/>
      <c r="DI27" s="253"/>
      <c r="DJ27" s="253"/>
      <c r="DK27" s="253"/>
      <c r="DL27" s="253"/>
      <c r="DM27" s="253"/>
      <c r="DN27" s="253"/>
      <c r="DO27" s="253"/>
      <c r="DP27" s="253"/>
      <c r="DQ27" s="253"/>
      <c r="DR27" s="253"/>
      <c r="DS27" s="253"/>
      <c r="DT27" s="253"/>
      <c r="DU27" s="253"/>
      <c r="DV27" s="253"/>
      <c r="DW27" s="253"/>
      <c r="DX27" s="253"/>
      <c r="DY27" s="253"/>
      <c r="DZ27" s="253"/>
      <c r="EA27" s="253"/>
      <c r="EB27" s="253"/>
      <c r="EC27" s="253"/>
      <c r="ED27" s="253"/>
      <c r="EE27" s="253"/>
      <c r="EF27" s="253"/>
      <c r="EG27" s="253"/>
      <c r="EH27" s="253"/>
      <c r="EI27" s="253"/>
      <c r="EJ27" s="253"/>
      <c r="EK27" s="253"/>
      <c r="EL27" s="253"/>
      <c r="EM27" s="253"/>
      <c r="EN27" s="253"/>
      <c r="EO27" s="253"/>
      <c r="EP27" s="253"/>
      <c r="EQ27" s="253"/>
      <c r="ER27" s="253"/>
      <c r="ES27" s="253"/>
      <c r="ET27" s="253"/>
      <c r="EU27" s="253"/>
      <c r="EV27" s="253"/>
      <c r="EW27" s="253"/>
      <c r="EX27" s="253"/>
      <c r="EY27" s="253"/>
      <c r="EZ27" s="253"/>
      <c r="FA27" s="253"/>
      <c r="FB27" s="253"/>
      <c r="FC27" s="253"/>
      <c r="FD27" s="253"/>
      <c r="FE27" s="253"/>
      <c r="FF27" s="253"/>
      <c r="FG27" s="253"/>
      <c r="FH27" s="253"/>
      <c r="FI27" s="253"/>
      <c r="FJ27" s="253"/>
      <c r="FK27" s="253"/>
      <c r="FL27" s="253"/>
      <c r="FM27" s="262"/>
      <c r="FN27" s="257" t="s">
        <v>1216</v>
      </c>
      <c r="FO27" s="258" t="s">
        <v>389</v>
      </c>
      <c r="FP27" s="258"/>
      <c r="FQ27" s="258" t="s">
        <v>409</v>
      </c>
      <c r="FR27" s="259">
        <f t="shared" si="0"/>
        <v>20</v>
      </c>
      <c r="FS27" s="260" t="s">
        <v>410</v>
      </c>
      <c r="FT27" s="260"/>
    </row>
    <row r="28" spans="1:176" hidden="1">
      <c r="A28" s="251" t="s">
        <v>385</v>
      </c>
      <c r="B28" s="251" t="s">
        <v>407</v>
      </c>
      <c r="C28" s="251" t="s">
        <v>1</v>
      </c>
      <c r="D28" s="252" t="s">
        <v>971</v>
      </c>
      <c r="E28" s="251" t="s">
        <v>388</v>
      </c>
      <c r="F28" s="251"/>
      <c r="G28" s="253"/>
      <c r="H28" s="253"/>
      <c r="I28" s="253"/>
      <c r="J28" s="253"/>
      <c r="K28" s="253"/>
      <c r="L28" s="253"/>
      <c r="M28" s="253"/>
      <c r="N28" s="253"/>
      <c r="O28" s="254">
        <f>500-500+50</f>
        <v>50</v>
      </c>
      <c r="P28" s="253"/>
      <c r="Q28" s="253"/>
      <c r="R28" s="253"/>
      <c r="S28" s="253"/>
      <c r="T28" s="253"/>
      <c r="U28" s="253"/>
      <c r="V28" s="253"/>
      <c r="W28" s="253"/>
      <c r="X28" s="253"/>
      <c r="Y28" s="253"/>
      <c r="Z28" s="255">
        <f>1500-1500</f>
        <v>0</v>
      </c>
      <c r="AA28" s="253"/>
      <c r="AB28" s="253"/>
      <c r="AC28" s="253"/>
      <c r="AD28" s="253"/>
      <c r="AE28" s="253"/>
      <c r="AF28" s="253"/>
      <c r="AG28" s="253"/>
      <c r="AH28" s="253"/>
      <c r="AI28" s="253"/>
      <c r="AJ28" s="253"/>
      <c r="AK28" s="253"/>
      <c r="AL28" s="253"/>
      <c r="AM28" s="253"/>
      <c r="AN28" s="253"/>
      <c r="AO28" s="253"/>
      <c r="AP28" s="253"/>
      <c r="AQ28" s="253"/>
      <c r="AR28" s="253"/>
      <c r="AS28" s="254">
        <f>2000-2000+150</f>
        <v>150</v>
      </c>
      <c r="AT28" s="253"/>
      <c r="AU28" s="253"/>
      <c r="AV28" s="253"/>
      <c r="AW28" s="253"/>
      <c r="AX28" s="253"/>
      <c r="AY28" s="253"/>
      <c r="AZ28" s="253"/>
      <c r="BA28" s="253"/>
      <c r="BB28" s="253"/>
      <c r="BC28" s="254">
        <f>0+170</f>
        <v>170</v>
      </c>
      <c r="BD28" s="253"/>
      <c r="BE28" s="253"/>
      <c r="BF28" s="253"/>
      <c r="BG28" s="253"/>
      <c r="BH28" s="253"/>
      <c r="BI28" s="253"/>
      <c r="BJ28" s="253"/>
      <c r="BK28" s="254">
        <v>20</v>
      </c>
      <c r="BL28" s="253"/>
      <c r="BM28" s="254">
        <v>20</v>
      </c>
      <c r="BN28" s="254">
        <v>40</v>
      </c>
      <c r="BO28" s="253"/>
      <c r="BP28" s="253"/>
      <c r="BQ28" s="253"/>
      <c r="BR28" s="253"/>
      <c r="BS28" s="253"/>
      <c r="BT28" s="253"/>
      <c r="BU28" s="253"/>
      <c r="BV28" s="253"/>
      <c r="BW28" s="253"/>
      <c r="BX28" s="253"/>
      <c r="BY28" s="254">
        <v>100</v>
      </c>
      <c r="BZ28" s="253"/>
      <c r="CA28" s="253"/>
      <c r="CB28" s="254">
        <v>100</v>
      </c>
      <c r="CC28" s="254">
        <v>40</v>
      </c>
      <c r="CD28" s="254">
        <v>50</v>
      </c>
      <c r="CE28" s="253"/>
      <c r="CF28" s="253"/>
      <c r="CG28" s="253"/>
      <c r="CH28" s="253"/>
      <c r="CI28" s="253"/>
      <c r="CJ28" s="253"/>
      <c r="CK28" s="253"/>
      <c r="CL28" s="253"/>
      <c r="CM28" s="253"/>
      <c r="CN28" s="253"/>
      <c r="CO28" s="253"/>
      <c r="CP28" s="253"/>
      <c r="CQ28" s="253"/>
      <c r="CR28" s="253"/>
      <c r="CS28" s="254">
        <v>40</v>
      </c>
      <c r="CT28" s="253"/>
      <c r="CU28" s="253"/>
      <c r="CV28" s="253"/>
      <c r="CW28" s="254">
        <v>10</v>
      </c>
      <c r="CX28" s="253"/>
      <c r="CY28" s="254">
        <v>10</v>
      </c>
      <c r="CZ28" s="253"/>
      <c r="DA28" s="253"/>
      <c r="DB28" s="253"/>
      <c r="DC28" s="254">
        <v>20</v>
      </c>
      <c r="DD28" s="253"/>
      <c r="DE28" s="253"/>
      <c r="DF28" s="253"/>
      <c r="DG28" s="253"/>
      <c r="DH28" s="253"/>
      <c r="DI28" s="253"/>
      <c r="DJ28" s="253"/>
      <c r="DK28" s="253"/>
      <c r="DL28" s="253"/>
      <c r="DM28" s="253"/>
      <c r="DN28" s="253"/>
      <c r="DO28" s="253"/>
      <c r="DP28" s="253"/>
      <c r="DQ28" s="253"/>
      <c r="DR28" s="253"/>
      <c r="DS28" s="253"/>
      <c r="DT28" s="253"/>
      <c r="DU28" s="253"/>
      <c r="DV28" s="253"/>
      <c r="DW28" s="253"/>
      <c r="DX28" s="253"/>
      <c r="DY28" s="253"/>
      <c r="DZ28" s="253"/>
      <c r="EA28" s="253"/>
      <c r="EB28" s="253"/>
      <c r="EC28" s="253"/>
      <c r="ED28" s="253"/>
      <c r="EE28" s="253"/>
      <c r="EF28" s="253"/>
      <c r="EG28" s="253"/>
      <c r="EH28" s="253"/>
      <c r="EI28" s="253"/>
      <c r="EJ28" s="253"/>
      <c r="EK28" s="253"/>
      <c r="EL28" s="253"/>
      <c r="EM28" s="253"/>
      <c r="EN28" s="253"/>
      <c r="EO28" s="254">
        <v>55</v>
      </c>
      <c r="EP28" s="253"/>
      <c r="EQ28" s="254">
        <v>30</v>
      </c>
      <c r="ER28" s="253"/>
      <c r="ES28" s="253"/>
      <c r="ET28" s="253"/>
      <c r="EU28" s="253"/>
      <c r="EV28" s="253"/>
      <c r="EW28" s="253"/>
      <c r="EX28" s="253"/>
      <c r="EY28" s="253"/>
      <c r="EZ28" s="253"/>
      <c r="FA28" s="253"/>
      <c r="FB28" s="253"/>
      <c r="FC28" s="253"/>
      <c r="FD28" s="253"/>
      <c r="FE28" s="253"/>
      <c r="FF28" s="253"/>
      <c r="FG28" s="253"/>
      <c r="FH28" s="253"/>
      <c r="FI28" s="253"/>
      <c r="FJ28" s="253"/>
      <c r="FK28" s="253"/>
      <c r="FL28" s="253"/>
      <c r="FM28" s="262"/>
      <c r="FN28" s="257" t="s">
        <v>1216</v>
      </c>
      <c r="FO28" s="258" t="s">
        <v>389</v>
      </c>
      <c r="FP28" s="258"/>
      <c r="FQ28" s="258" t="s">
        <v>409</v>
      </c>
      <c r="FR28" s="259">
        <f t="shared" si="0"/>
        <v>905</v>
      </c>
      <c r="FS28" s="260" t="s">
        <v>410</v>
      </c>
      <c r="FT28" s="260"/>
    </row>
    <row r="29" spans="1:176" hidden="1">
      <c r="A29" s="251" t="s">
        <v>385</v>
      </c>
      <c r="B29" s="251" t="s">
        <v>893</v>
      </c>
      <c r="C29" s="251" t="s">
        <v>291</v>
      </c>
      <c r="D29" s="252" t="s">
        <v>1067</v>
      </c>
      <c r="E29" s="251" t="s">
        <v>388</v>
      </c>
      <c r="F29" s="251"/>
      <c r="G29" s="253"/>
      <c r="H29" s="253"/>
      <c r="I29" s="253"/>
      <c r="J29" s="253"/>
      <c r="K29" s="253"/>
      <c r="L29" s="253"/>
      <c r="M29" s="254">
        <f>1100-1100+100</f>
        <v>100</v>
      </c>
      <c r="N29" s="253"/>
      <c r="O29" s="253"/>
      <c r="P29" s="253"/>
      <c r="Q29" s="253"/>
      <c r="R29" s="253"/>
      <c r="S29" s="253"/>
      <c r="T29" s="253"/>
      <c r="U29" s="253"/>
      <c r="V29" s="253"/>
      <c r="W29" s="253"/>
      <c r="X29" s="253"/>
      <c r="Y29" s="253"/>
      <c r="Z29" s="253"/>
      <c r="AA29" s="253"/>
      <c r="AB29" s="253"/>
      <c r="AC29" s="253"/>
      <c r="AD29" s="253"/>
      <c r="AE29" s="253"/>
      <c r="AF29" s="253"/>
      <c r="AG29" s="253"/>
      <c r="AH29" s="253"/>
      <c r="AI29" s="253"/>
      <c r="AJ29" s="253"/>
      <c r="AK29" s="253"/>
      <c r="AL29" s="253"/>
      <c r="AM29" s="253"/>
      <c r="AN29" s="253"/>
      <c r="AO29" s="253"/>
      <c r="AP29" s="253"/>
      <c r="AQ29" s="253"/>
      <c r="AR29" s="253"/>
      <c r="AS29" s="253"/>
      <c r="AT29" s="253"/>
      <c r="AU29" s="253"/>
      <c r="AV29" s="253"/>
      <c r="AW29" s="253"/>
      <c r="AX29" s="253"/>
      <c r="AY29" s="253"/>
      <c r="AZ29" s="253"/>
      <c r="BA29" s="253"/>
      <c r="BB29" s="253"/>
      <c r="BC29" s="253"/>
      <c r="BD29" s="253"/>
      <c r="BE29" s="253"/>
      <c r="BF29" s="253"/>
      <c r="BG29" s="253"/>
      <c r="BH29" s="253"/>
      <c r="BI29" s="253"/>
      <c r="BJ29" s="253"/>
      <c r="BK29" s="253"/>
      <c r="BL29" s="253"/>
      <c r="BM29" s="253"/>
      <c r="BN29" s="253"/>
      <c r="BO29" s="253"/>
      <c r="BP29" s="253"/>
      <c r="BQ29" s="253"/>
      <c r="BR29" s="253"/>
      <c r="BS29" s="253"/>
      <c r="BT29" s="253"/>
      <c r="BU29" s="253"/>
      <c r="BV29" s="253"/>
      <c r="BW29" s="253"/>
      <c r="BX29" s="253"/>
      <c r="BY29" s="253"/>
      <c r="BZ29" s="253"/>
      <c r="CA29" s="253"/>
      <c r="CB29" s="253"/>
      <c r="CC29" s="253"/>
      <c r="CD29" s="253"/>
      <c r="CE29" s="253"/>
      <c r="CF29" s="253"/>
      <c r="CG29" s="253"/>
      <c r="CH29" s="253"/>
      <c r="CI29" s="253"/>
      <c r="CJ29" s="253"/>
      <c r="CK29" s="253"/>
      <c r="CL29" s="253"/>
      <c r="CM29" s="253"/>
      <c r="CN29" s="253"/>
      <c r="CO29" s="253"/>
      <c r="CP29" s="253"/>
      <c r="CQ29" s="253"/>
      <c r="CR29" s="253"/>
      <c r="CS29" s="253"/>
      <c r="CT29" s="253"/>
      <c r="CU29" s="253"/>
      <c r="CV29" s="253"/>
      <c r="CW29" s="253"/>
      <c r="CX29" s="253"/>
      <c r="CY29" s="253"/>
      <c r="CZ29" s="253"/>
      <c r="DA29" s="253"/>
      <c r="DB29" s="253"/>
      <c r="DC29" s="253"/>
      <c r="DD29" s="253"/>
      <c r="DE29" s="253"/>
      <c r="DF29" s="253"/>
      <c r="DG29" s="253"/>
      <c r="DH29" s="253"/>
      <c r="DI29" s="253"/>
      <c r="DJ29" s="253"/>
      <c r="DK29" s="253"/>
      <c r="DL29" s="253"/>
      <c r="DM29" s="253"/>
      <c r="DN29" s="253"/>
      <c r="DO29" s="253"/>
      <c r="DP29" s="253"/>
      <c r="DQ29" s="253"/>
      <c r="DR29" s="253"/>
      <c r="DS29" s="253"/>
      <c r="DT29" s="253"/>
      <c r="DU29" s="253"/>
      <c r="DV29" s="253"/>
      <c r="DW29" s="253"/>
      <c r="DX29" s="253"/>
      <c r="DY29" s="253"/>
      <c r="DZ29" s="253"/>
      <c r="EA29" s="253"/>
      <c r="EB29" s="253"/>
      <c r="EC29" s="253"/>
      <c r="ED29" s="253"/>
      <c r="EE29" s="253"/>
      <c r="EF29" s="253"/>
      <c r="EG29" s="253"/>
      <c r="EH29" s="253"/>
      <c r="EI29" s="253"/>
      <c r="EJ29" s="253"/>
      <c r="EK29" s="253"/>
      <c r="EL29" s="253"/>
      <c r="EM29" s="253"/>
      <c r="EN29" s="253"/>
      <c r="EO29" s="253"/>
      <c r="EP29" s="253"/>
      <c r="EQ29" s="253"/>
      <c r="ER29" s="253"/>
      <c r="ES29" s="253"/>
      <c r="ET29" s="253"/>
      <c r="EU29" s="253"/>
      <c r="EV29" s="253"/>
      <c r="EW29" s="253"/>
      <c r="EX29" s="253"/>
      <c r="EY29" s="253"/>
      <c r="EZ29" s="253"/>
      <c r="FA29" s="253"/>
      <c r="FB29" s="253"/>
      <c r="FC29" s="253"/>
      <c r="FD29" s="253"/>
      <c r="FE29" s="253"/>
      <c r="FF29" s="253"/>
      <c r="FG29" s="253"/>
      <c r="FH29" s="253"/>
      <c r="FI29" s="253"/>
      <c r="FJ29" s="253"/>
      <c r="FK29" s="253"/>
      <c r="FL29" s="253"/>
      <c r="FM29" s="262"/>
      <c r="FN29" s="257" t="s">
        <v>1216</v>
      </c>
      <c r="FO29" s="258" t="s">
        <v>389</v>
      </c>
      <c r="FP29" s="258"/>
      <c r="FQ29" s="258" t="s">
        <v>1068</v>
      </c>
      <c r="FR29" s="259">
        <f t="shared" si="0"/>
        <v>100</v>
      </c>
      <c r="FS29" s="260" t="s">
        <v>391</v>
      </c>
      <c r="FT29" s="260"/>
    </row>
    <row r="30" spans="1:176" hidden="1">
      <c r="A30" s="251" t="s">
        <v>385</v>
      </c>
      <c r="B30" s="251" t="s">
        <v>893</v>
      </c>
      <c r="C30" s="251" t="s">
        <v>1</v>
      </c>
      <c r="D30" s="252" t="s">
        <v>894</v>
      </c>
      <c r="E30" s="251" t="s">
        <v>388</v>
      </c>
      <c r="F30" s="251"/>
      <c r="G30" s="253"/>
      <c r="H30" s="253"/>
      <c r="I30" s="253"/>
      <c r="J30" s="253"/>
      <c r="K30" s="253"/>
      <c r="L30" s="253"/>
      <c r="M30" s="253"/>
      <c r="N30" s="253"/>
      <c r="O30" s="253"/>
      <c r="P30" s="253"/>
      <c r="Q30" s="253"/>
      <c r="R30" s="253"/>
      <c r="S30" s="253"/>
      <c r="T30" s="253"/>
      <c r="U30" s="253"/>
      <c r="V30" s="253"/>
      <c r="W30" s="253"/>
      <c r="X30" s="253"/>
      <c r="Y30" s="253"/>
      <c r="Z30" s="253"/>
      <c r="AA30" s="253"/>
      <c r="AB30" s="253"/>
      <c r="AC30" s="253"/>
      <c r="AD30" s="253"/>
      <c r="AE30" s="253"/>
      <c r="AF30" s="253"/>
      <c r="AG30" s="253"/>
      <c r="AH30" s="253"/>
      <c r="AI30" s="253"/>
      <c r="AJ30" s="253"/>
      <c r="AK30" s="253"/>
      <c r="AL30" s="253"/>
      <c r="AM30" s="253"/>
      <c r="AN30" s="253"/>
      <c r="AO30" s="253"/>
      <c r="AP30" s="253"/>
      <c r="AQ30" s="253"/>
      <c r="AR30" s="253"/>
      <c r="AS30" s="253"/>
      <c r="AT30" s="253"/>
      <c r="AU30" s="253"/>
      <c r="AV30" s="253"/>
      <c r="AW30" s="253"/>
      <c r="AX30" s="253"/>
      <c r="AY30" s="253"/>
      <c r="AZ30" s="253"/>
      <c r="BA30" s="253"/>
      <c r="BB30" s="253"/>
      <c r="BC30" s="253"/>
      <c r="BD30" s="253"/>
      <c r="BE30" s="253"/>
      <c r="BF30" s="253"/>
      <c r="BG30" s="253"/>
      <c r="BH30" s="253"/>
      <c r="BI30" s="253"/>
      <c r="BJ30" s="253"/>
      <c r="BK30" s="253"/>
      <c r="BL30" s="253"/>
      <c r="BM30" s="253"/>
      <c r="BN30" s="253"/>
      <c r="BO30" s="253"/>
      <c r="BP30" s="253"/>
      <c r="BQ30" s="253"/>
      <c r="BR30" s="253"/>
      <c r="BS30" s="253"/>
      <c r="BT30" s="253"/>
      <c r="BU30" s="253"/>
      <c r="BV30" s="253"/>
      <c r="BW30" s="253"/>
      <c r="BX30" s="253"/>
      <c r="BY30" s="253"/>
      <c r="BZ30" s="253"/>
      <c r="CA30" s="253"/>
      <c r="CB30" s="253"/>
      <c r="CC30" s="253"/>
      <c r="CD30" s="253"/>
      <c r="CE30" s="253"/>
      <c r="CF30" s="253"/>
      <c r="CG30" s="253"/>
      <c r="CH30" s="253"/>
      <c r="CI30" s="253"/>
      <c r="CJ30" s="253"/>
      <c r="CK30" s="253"/>
      <c r="CL30" s="253"/>
      <c r="CM30" s="253"/>
      <c r="CN30" s="253"/>
      <c r="CO30" s="253"/>
      <c r="CP30" s="253"/>
      <c r="CQ30" s="253"/>
      <c r="CR30" s="253"/>
      <c r="CS30" s="253"/>
      <c r="CT30" s="253"/>
      <c r="CU30" s="253"/>
      <c r="CV30" s="253"/>
      <c r="CW30" s="253"/>
      <c r="CX30" s="253"/>
      <c r="CY30" s="253"/>
      <c r="CZ30" s="253"/>
      <c r="DA30" s="253"/>
      <c r="DB30" s="253"/>
      <c r="DC30" s="253"/>
      <c r="DD30" s="253"/>
      <c r="DE30" s="253"/>
      <c r="DF30" s="253"/>
      <c r="DG30" s="253"/>
      <c r="DH30" s="253"/>
      <c r="DI30" s="253"/>
      <c r="DJ30" s="253"/>
      <c r="DK30" s="253"/>
      <c r="DL30" s="253"/>
      <c r="DM30" s="253"/>
      <c r="DN30" s="253"/>
      <c r="DO30" s="253"/>
      <c r="DP30" s="253"/>
      <c r="DQ30" s="253"/>
      <c r="DR30" s="253"/>
      <c r="DS30" s="253"/>
      <c r="DT30" s="253"/>
      <c r="DU30" s="253"/>
      <c r="DV30" s="253"/>
      <c r="DW30" s="253"/>
      <c r="DX30" s="253"/>
      <c r="DY30" s="253"/>
      <c r="DZ30" s="253"/>
      <c r="EA30" s="253"/>
      <c r="EB30" s="253"/>
      <c r="EC30" s="253"/>
      <c r="ED30" s="253"/>
      <c r="EE30" s="253"/>
      <c r="EF30" s="253"/>
      <c r="EG30" s="253"/>
      <c r="EH30" s="253"/>
      <c r="EI30" s="253"/>
      <c r="EJ30" s="253"/>
      <c r="EK30" s="253"/>
      <c r="EL30" s="253"/>
      <c r="EM30" s="253"/>
      <c r="EN30" s="253"/>
      <c r="EO30" s="253"/>
      <c r="EP30" s="253"/>
      <c r="EQ30" s="253"/>
      <c r="ER30" s="253"/>
      <c r="ES30" s="253"/>
      <c r="ET30" s="253"/>
      <c r="EU30" s="253"/>
      <c r="EV30" s="253"/>
      <c r="EW30" s="253"/>
      <c r="EX30" s="253"/>
      <c r="EY30" s="253"/>
      <c r="EZ30" s="253"/>
      <c r="FA30" s="253"/>
      <c r="FB30" s="253"/>
      <c r="FC30" s="253"/>
      <c r="FD30" s="253"/>
      <c r="FE30" s="253"/>
      <c r="FF30" s="253"/>
      <c r="FG30" s="253"/>
      <c r="FH30" s="253"/>
      <c r="FI30" s="255">
        <f>30-30</f>
        <v>0</v>
      </c>
      <c r="FJ30" s="255">
        <f>30-30</f>
        <v>0</v>
      </c>
      <c r="FK30" s="253"/>
      <c r="FL30" s="253"/>
      <c r="FM30" s="262"/>
      <c r="FN30" s="257" t="s">
        <v>1216</v>
      </c>
      <c r="FO30" s="258" t="s">
        <v>389</v>
      </c>
      <c r="FP30" s="258"/>
      <c r="FQ30" s="258" t="s">
        <v>895</v>
      </c>
      <c r="FR30" s="259">
        <f t="shared" si="0"/>
        <v>0</v>
      </c>
      <c r="FS30" s="260" t="s">
        <v>410</v>
      </c>
      <c r="FT30" s="260"/>
    </row>
    <row r="31" spans="1:176">
      <c r="A31" s="251" t="s">
        <v>385</v>
      </c>
      <c r="B31" s="251" t="s">
        <v>411</v>
      </c>
      <c r="C31" s="251" t="s">
        <v>291</v>
      </c>
      <c r="D31" s="252" t="s">
        <v>831</v>
      </c>
      <c r="E31" s="251" t="s">
        <v>388</v>
      </c>
      <c r="F31" s="251" t="s">
        <v>1222</v>
      </c>
      <c r="G31" s="253"/>
      <c r="H31" s="253"/>
      <c r="I31" s="253"/>
      <c r="J31" s="253"/>
      <c r="K31" s="253"/>
      <c r="L31" s="253"/>
      <c r="M31" s="255">
        <f>100-100</f>
        <v>0</v>
      </c>
      <c r="N31" s="255">
        <f>100-100</f>
        <v>0</v>
      </c>
      <c r="O31" s="253"/>
      <c r="P31" s="253"/>
      <c r="Q31" s="253"/>
      <c r="R31" s="253"/>
      <c r="S31" s="253"/>
      <c r="T31" s="253"/>
      <c r="U31" s="253"/>
      <c r="V31" s="253"/>
      <c r="W31" s="253"/>
      <c r="X31" s="253"/>
      <c r="Y31" s="253"/>
      <c r="Z31" s="253"/>
      <c r="AA31" s="253"/>
      <c r="AB31" s="253"/>
      <c r="AC31" s="253"/>
      <c r="AD31" s="253"/>
      <c r="AE31" s="255">
        <f>100-100</f>
        <v>0</v>
      </c>
      <c r="AF31" s="253"/>
      <c r="AG31" s="253"/>
      <c r="AH31" s="253"/>
      <c r="AI31" s="253"/>
      <c r="AJ31" s="253"/>
      <c r="AK31" s="255">
        <f>100-100</f>
        <v>0</v>
      </c>
      <c r="AL31" s="253"/>
      <c r="AM31" s="253"/>
      <c r="AN31" s="253"/>
      <c r="AO31" s="253"/>
      <c r="AP31" s="253"/>
      <c r="AQ31" s="253"/>
      <c r="AR31" s="253"/>
      <c r="AS31" s="253"/>
      <c r="AT31" s="253"/>
      <c r="AU31" s="253"/>
      <c r="AV31" s="253"/>
      <c r="AW31" s="253"/>
      <c r="AX31" s="253"/>
      <c r="AY31" s="253"/>
      <c r="AZ31" s="253"/>
      <c r="BA31" s="253"/>
      <c r="BB31" s="253"/>
      <c r="BC31" s="255">
        <f>100-100</f>
        <v>0</v>
      </c>
      <c r="BD31" s="253"/>
      <c r="BE31" s="253"/>
      <c r="BF31" s="253"/>
      <c r="BG31" s="253"/>
      <c r="BH31" s="253"/>
      <c r="BI31" s="253"/>
      <c r="BJ31" s="253"/>
      <c r="BK31" s="253"/>
      <c r="BL31" s="253"/>
      <c r="BM31" s="253"/>
      <c r="BN31" s="253"/>
      <c r="BO31" s="253"/>
      <c r="BP31" s="253"/>
      <c r="BQ31" s="253"/>
      <c r="BR31" s="253"/>
      <c r="BS31" s="253"/>
      <c r="BT31" s="253"/>
      <c r="BU31" s="253"/>
      <c r="BV31" s="253"/>
      <c r="BW31" s="253"/>
      <c r="BX31" s="253"/>
      <c r="BY31" s="253"/>
      <c r="BZ31" s="253"/>
      <c r="CA31" s="253"/>
      <c r="CB31" s="253"/>
      <c r="CC31" s="253"/>
      <c r="CD31" s="253"/>
      <c r="CE31" s="253"/>
      <c r="CF31" s="253"/>
      <c r="CG31" s="253"/>
      <c r="CH31" s="253"/>
      <c r="CI31" s="253"/>
      <c r="CJ31" s="253"/>
      <c r="CK31" s="253"/>
      <c r="CL31" s="253"/>
      <c r="CM31" s="253"/>
      <c r="CN31" s="253"/>
      <c r="CO31" s="253"/>
      <c r="CP31" s="253"/>
      <c r="CQ31" s="253"/>
      <c r="CR31" s="253"/>
      <c r="CS31" s="253"/>
      <c r="CT31" s="253"/>
      <c r="CU31" s="253"/>
      <c r="CV31" s="253"/>
      <c r="CW31" s="253"/>
      <c r="CX31" s="253"/>
      <c r="CY31" s="253"/>
      <c r="CZ31" s="253"/>
      <c r="DA31" s="253"/>
      <c r="DB31" s="253"/>
      <c r="DC31" s="253"/>
      <c r="DD31" s="253"/>
      <c r="DE31" s="253"/>
      <c r="DF31" s="253"/>
      <c r="DG31" s="253"/>
      <c r="DH31" s="253"/>
      <c r="DI31" s="253"/>
      <c r="DJ31" s="253"/>
      <c r="DK31" s="253"/>
      <c r="DL31" s="253"/>
      <c r="DM31" s="253"/>
      <c r="DN31" s="253"/>
      <c r="DO31" s="253"/>
      <c r="DP31" s="253"/>
      <c r="DQ31" s="253"/>
      <c r="DR31" s="253"/>
      <c r="DS31" s="253"/>
      <c r="DT31" s="253"/>
      <c r="DU31" s="253"/>
      <c r="DV31" s="253"/>
      <c r="DW31" s="253"/>
      <c r="DX31" s="253"/>
      <c r="DY31" s="253"/>
      <c r="DZ31" s="253"/>
      <c r="EA31" s="253"/>
      <c r="EB31" s="253"/>
      <c r="EC31" s="253"/>
      <c r="ED31" s="253"/>
      <c r="EE31" s="253"/>
      <c r="EF31" s="253"/>
      <c r="EG31" s="253"/>
      <c r="EH31" s="253"/>
      <c r="EI31" s="253"/>
      <c r="EJ31" s="253"/>
      <c r="EK31" s="253"/>
      <c r="EL31" s="253"/>
      <c r="EM31" s="253"/>
      <c r="EN31" s="253"/>
      <c r="EO31" s="253"/>
      <c r="EP31" s="253"/>
      <c r="EQ31" s="253"/>
      <c r="ER31" s="253"/>
      <c r="ES31" s="253"/>
      <c r="ET31" s="253"/>
      <c r="EU31" s="253"/>
      <c r="EV31" s="253"/>
      <c r="EW31" s="253"/>
      <c r="EX31" s="253"/>
      <c r="EY31" s="253"/>
      <c r="EZ31" s="253"/>
      <c r="FA31" s="253"/>
      <c r="FB31" s="253"/>
      <c r="FC31" s="253"/>
      <c r="FD31" s="253"/>
      <c r="FE31" s="253"/>
      <c r="FF31" s="253"/>
      <c r="FG31" s="253"/>
      <c r="FH31" s="253"/>
      <c r="FI31" s="253"/>
      <c r="FJ31" s="253"/>
      <c r="FK31" s="253"/>
      <c r="FL31" s="253"/>
      <c r="FM31" s="262"/>
      <c r="FN31" s="257" t="s">
        <v>1216</v>
      </c>
      <c r="FO31" s="258" t="s">
        <v>389</v>
      </c>
      <c r="FP31" s="258" t="s">
        <v>833</v>
      </c>
      <c r="FQ31" s="258" t="s">
        <v>834</v>
      </c>
      <c r="FR31" s="259">
        <f t="shared" si="0"/>
        <v>0</v>
      </c>
      <c r="FS31" s="260" t="s">
        <v>433</v>
      </c>
      <c r="FT31" s="260"/>
    </row>
    <row r="32" spans="1:176">
      <c r="A32" s="251" t="s">
        <v>385</v>
      </c>
      <c r="B32" s="251" t="s">
        <v>411</v>
      </c>
      <c r="C32" s="251" t="s">
        <v>1</v>
      </c>
      <c r="D32" s="252" t="s">
        <v>831</v>
      </c>
      <c r="E32" s="251" t="s">
        <v>388</v>
      </c>
      <c r="F32" s="251" t="s">
        <v>1222</v>
      </c>
      <c r="G32" s="253"/>
      <c r="H32" s="253"/>
      <c r="I32" s="253"/>
      <c r="J32" s="253"/>
      <c r="K32" s="254">
        <f>40-40+40</f>
        <v>40</v>
      </c>
      <c r="L32" s="253"/>
      <c r="M32" s="253"/>
      <c r="N32" s="253"/>
      <c r="O32" s="255">
        <f>100-100</f>
        <v>0</v>
      </c>
      <c r="P32" s="253"/>
      <c r="Q32" s="253"/>
      <c r="R32" s="253"/>
      <c r="S32" s="253"/>
      <c r="T32" s="253"/>
      <c r="U32" s="253"/>
      <c r="V32" s="253"/>
      <c r="W32" s="253"/>
      <c r="X32" s="253"/>
      <c r="Y32" s="253"/>
      <c r="Z32" s="255">
        <f>100-100</f>
        <v>0</v>
      </c>
      <c r="AA32" s="255">
        <f>100-100</f>
        <v>0</v>
      </c>
      <c r="AB32" s="253"/>
      <c r="AC32" s="253"/>
      <c r="AD32" s="253"/>
      <c r="AE32" s="253"/>
      <c r="AF32" s="253"/>
      <c r="AG32" s="253"/>
      <c r="AH32" s="253"/>
      <c r="AI32" s="255">
        <f>100-100</f>
        <v>0</v>
      </c>
      <c r="AJ32" s="253"/>
      <c r="AK32" s="253"/>
      <c r="AL32" s="253"/>
      <c r="AM32" s="253"/>
      <c r="AN32" s="253"/>
      <c r="AO32" s="253"/>
      <c r="AP32" s="253"/>
      <c r="AQ32" s="253"/>
      <c r="AR32" s="253"/>
      <c r="AS32" s="255">
        <f>100-100</f>
        <v>0</v>
      </c>
      <c r="AT32" s="253"/>
      <c r="AU32" s="253"/>
      <c r="AV32" s="253"/>
      <c r="AW32" s="253"/>
      <c r="AX32" s="253"/>
      <c r="AY32" s="253"/>
      <c r="AZ32" s="253"/>
      <c r="BA32" s="253"/>
      <c r="BB32" s="253"/>
      <c r="BC32" s="253"/>
      <c r="BD32" s="253"/>
      <c r="BE32" s="253"/>
      <c r="BF32" s="253"/>
      <c r="BG32" s="253"/>
      <c r="BH32" s="253"/>
      <c r="BI32" s="253"/>
      <c r="BJ32" s="253"/>
      <c r="BK32" s="253"/>
      <c r="BL32" s="253"/>
      <c r="BM32" s="253"/>
      <c r="BN32" s="253"/>
      <c r="BO32" s="253"/>
      <c r="BP32" s="253"/>
      <c r="BQ32" s="253"/>
      <c r="BR32" s="253"/>
      <c r="BS32" s="253"/>
      <c r="BT32" s="253"/>
      <c r="BU32" s="253"/>
      <c r="BV32" s="253"/>
      <c r="BW32" s="253"/>
      <c r="BX32" s="253"/>
      <c r="BY32" s="253"/>
      <c r="BZ32" s="253"/>
      <c r="CA32" s="253"/>
      <c r="CB32" s="253"/>
      <c r="CC32" s="253"/>
      <c r="CD32" s="253"/>
      <c r="CE32" s="253"/>
      <c r="CF32" s="253"/>
      <c r="CG32" s="253"/>
      <c r="CH32" s="253"/>
      <c r="CI32" s="253"/>
      <c r="CJ32" s="253"/>
      <c r="CK32" s="253"/>
      <c r="CL32" s="253"/>
      <c r="CM32" s="253"/>
      <c r="CN32" s="253"/>
      <c r="CO32" s="253"/>
      <c r="CP32" s="253"/>
      <c r="CQ32" s="253"/>
      <c r="CR32" s="253"/>
      <c r="CS32" s="253"/>
      <c r="CT32" s="253"/>
      <c r="CU32" s="253"/>
      <c r="CV32" s="253"/>
      <c r="CW32" s="253"/>
      <c r="CX32" s="253"/>
      <c r="CY32" s="253"/>
      <c r="CZ32" s="253"/>
      <c r="DA32" s="253"/>
      <c r="DB32" s="253"/>
      <c r="DC32" s="253"/>
      <c r="DD32" s="253"/>
      <c r="DE32" s="253"/>
      <c r="DF32" s="253"/>
      <c r="DG32" s="253"/>
      <c r="DH32" s="253"/>
      <c r="DI32" s="253"/>
      <c r="DJ32" s="253"/>
      <c r="DK32" s="253"/>
      <c r="DL32" s="253"/>
      <c r="DM32" s="253"/>
      <c r="DN32" s="253"/>
      <c r="DO32" s="253"/>
      <c r="DP32" s="253"/>
      <c r="DQ32" s="253"/>
      <c r="DR32" s="253"/>
      <c r="DS32" s="253"/>
      <c r="DT32" s="253"/>
      <c r="DU32" s="253"/>
      <c r="DV32" s="253"/>
      <c r="DW32" s="253"/>
      <c r="DX32" s="253"/>
      <c r="DY32" s="253"/>
      <c r="DZ32" s="253"/>
      <c r="EA32" s="253"/>
      <c r="EB32" s="253"/>
      <c r="EC32" s="253"/>
      <c r="ED32" s="253"/>
      <c r="EE32" s="253"/>
      <c r="EF32" s="253"/>
      <c r="EG32" s="253"/>
      <c r="EH32" s="255">
        <f>100-100</f>
        <v>0</v>
      </c>
      <c r="EI32" s="255">
        <f>100-100</f>
        <v>0</v>
      </c>
      <c r="EJ32" s="253"/>
      <c r="EK32" s="253"/>
      <c r="EL32" s="255">
        <f>100-100</f>
        <v>0</v>
      </c>
      <c r="EM32" s="253"/>
      <c r="EN32" s="253"/>
      <c r="EO32" s="255">
        <f>100-100</f>
        <v>0</v>
      </c>
      <c r="EP32" s="253"/>
      <c r="EQ32" s="255">
        <f>100-100</f>
        <v>0</v>
      </c>
      <c r="ER32" s="253"/>
      <c r="ES32" s="253"/>
      <c r="ET32" s="253"/>
      <c r="EU32" s="253"/>
      <c r="EV32" s="253"/>
      <c r="EW32" s="253"/>
      <c r="EX32" s="253"/>
      <c r="EY32" s="253"/>
      <c r="EZ32" s="253"/>
      <c r="FA32" s="253"/>
      <c r="FB32" s="253"/>
      <c r="FC32" s="253"/>
      <c r="FD32" s="253"/>
      <c r="FE32" s="253"/>
      <c r="FF32" s="253"/>
      <c r="FG32" s="253"/>
      <c r="FH32" s="253"/>
      <c r="FI32" s="253"/>
      <c r="FJ32" s="253"/>
      <c r="FK32" s="253"/>
      <c r="FL32" s="253"/>
      <c r="FM32" s="262"/>
      <c r="FN32" s="257" t="s">
        <v>1216</v>
      </c>
      <c r="FO32" s="258" t="s">
        <v>389</v>
      </c>
      <c r="FP32" s="258" t="s">
        <v>833</v>
      </c>
      <c r="FQ32" s="258" t="s">
        <v>834</v>
      </c>
      <c r="FR32" s="259">
        <f t="shared" si="0"/>
        <v>40</v>
      </c>
      <c r="FS32" s="260" t="s">
        <v>433</v>
      </c>
      <c r="FT32" s="260"/>
    </row>
    <row r="33" spans="1:176">
      <c r="A33" s="251" t="s">
        <v>385</v>
      </c>
      <c r="B33" s="251" t="s">
        <v>411</v>
      </c>
      <c r="C33" s="251" t="s">
        <v>291</v>
      </c>
      <c r="D33" s="252" t="s">
        <v>415</v>
      </c>
      <c r="E33" s="251" t="s">
        <v>388</v>
      </c>
      <c r="F33" s="251"/>
      <c r="G33" s="253"/>
      <c r="H33" s="253"/>
      <c r="I33" s="253"/>
      <c r="J33" s="253"/>
      <c r="K33" s="253"/>
      <c r="L33" s="253"/>
      <c r="M33" s="253"/>
      <c r="N33" s="253"/>
      <c r="O33" s="253"/>
      <c r="P33" s="253"/>
      <c r="Q33" s="253"/>
      <c r="R33" s="253"/>
      <c r="S33" s="253"/>
      <c r="T33" s="253"/>
      <c r="U33" s="253"/>
      <c r="V33" s="253"/>
      <c r="W33" s="253"/>
      <c r="X33" s="253"/>
      <c r="Y33" s="253"/>
      <c r="Z33" s="253"/>
      <c r="AA33" s="253"/>
      <c r="AB33" s="253"/>
      <c r="AC33" s="253"/>
      <c r="AD33" s="253"/>
      <c r="AE33" s="255">
        <f>200-200</f>
        <v>0</v>
      </c>
      <c r="AF33" s="255">
        <f>200-200</f>
        <v>0</v>
      </c>
      <c r="AG33" s="253"/>
      <c r="AH33" s="253"/>
      <c r="AI33" s="253"/>
      <c r="AJ33" s="253"/>
      <c r="AK33" s="255">
        <f>150-150</f>
        <v>0</v>
      </c>
      <c r="AL33" s="253"/>
      <c r="AM33" s="253"/>
      <c r="AN33" s="253"/>
      <c r="AO33" s="255">
        <f>600-600</f>
        <v>0</v>
      </c>
      <c r="AP33" s="253"/>
      <c r="AQ33" s="253"/>
      <c r="AR33" s="253"/>
      <c r="AS33" s="253"/>
      <c r="AT33" s="253"/>
      <c r="AU33" s="253"/>
      <c r="AV33" s="253"/>
      <c r="AW33" s="253"/>
      <c r="AX33" s="253"/>
      <c r="AY33" s="253"/>
      <c r="AZ33" s="253"/>
      <c r="BA33" s="253"/>
      <c r="BB33" s="253"/>
      <c r="BC33" s="253"/>
      <c r="BD33" s="253"/>
      <c r="BE33" s="253"/>
      <c r="BF33" s="253"/>
      <c r="BG33" s="253"/>
      <c r="BH33" s="253"/>
      <c r="BI33" s="253"/>
      <c r="BJ33" s="253"/>
      <c r="BK33" s="253"/>
      <c r="BL33" s="253"/>
      <c r="BM33" s="253"/>
      <c r="BN33" s="253"/>
      <c r="BO33" s="253"/>
      <c r="BP33" s="253"/>
      <c r="BQ33" s="253"/>
      <c r="BR33" s="253"/>
      <c r="BS33" s="253"/>
      <c r="BT33" s="253"/>
      <c r="BU33" s="253"/>
      <c r="BV33" s="253"/>
      <c r="BW33" s="253"/>
      <c r="BX33" s="253"/>
      <c r="BY33" s="253"/>
      <c r="BZ33" s="253"/>
      <c r="CA33" s="253"/>
      <c r="CB33" s="253"/>
      <c r="CC33" s="253"/>
      <c r="CD33" s="253"/>
      <c r="CE33" s="253"/>
      <c r="CF33" s="253"/>
      <c r="CG33" s="253"/>
      <c r="CH33" s="253"/>
      <c r="CI33" s="253"/>
      <c r="CJ33" s="253"/>
      <c r="CK33" s="253"/>
      <c r="CL33" s="253"/>
      <c r="CM33" s="253"/>
      <c r="CN33" s="253"/>
      <c r="CO33" s="253"/>
      <c r="CP33" s="253"/>
      <c r="CQ33" s="253"/>
      <c r="CR33" s="253"/>
      <c r="CS33" s="253"/>
      <c r="CT33" s="253"/>
      <c r="CU33" s="253"/>
      <c r="CV33" s="253"/>
      <c r="CW33" s="253"/>
      <c r="CX33" s="253"/>
      <c r="CY33" s="253"/>
      <c r="CZ33" s="253"/>
      <c r="DA33" s="253"/>
      <c r="DB33" s="253"/>
      <c r="DC33" s="253"/>
      <c r="DD33" s="253"/>
      <c r="DE33" s="253"/>
      <c r="DF33" s="253"/>
      <c r="DG33" s="253"/>
      <c r="DH33" s="253"/>
      <c r="DI33" s="253"/>
      <c r="DJ33" s="253"/>
      <c r="DK33" s="253"/>
      <c r="DL33" s="253"/>
      <c r="DM33" s="253"/>
      <c r="DN33" s="253"/>
      <c r="DO33" s="253"/>
      <c r="DP33" s="253"/>
      <c r="DQ33" s="253"/>
      <c r="DR33" s="253"/>
      <c r="DS33" s="253"/>
      <c r="DT33" s="253"/>
      <c r="DU33" s="253"/>
      <c r="DV33" s="253"/>
      <c r="DW33" s="253"/>
      <c r="DX33" s="253"/>
      <c r="DY33" s="253"/>
      <c r="DZ33" s="253"/>
      <c r="EA33" s="253"/>
      <c r="EB33" s="253"/>
      <c r="EC33" s="253"/>
      <c r="ED33" s="253"/>
      <c r="EE33" s="253"/>
      <c r="EF33" s="253"/>
      <c r="EG33" s="253"/>
      <c r="EH33" s="253"/>
      <c r="EI33" s="253"/>
      <c r="EJ33" s="253"/>
      <c r="EK33" s="253"/>
      <c r="EL33" s="253"/>
      <c r="EM33" s="253"/>
      <c r="EN33" s="253"/>
      <c r="EO33" s="253"/>
      <c r="EP33" s="253"/>
      <c r="EQ33" s="253"/>
      <c r="ER33" s="253"/>
      <c r="ES33" s="253"/>
      <c r="ET33" s="253"/>
      <c r="EU33" s="253"/>
      <c r="EV33" s="253"/>
      <c r="EW33" s="253"/>
      <c r="EX33" s="253"/>
      <c r="EY33" s="253"/>
      <c r="EZ33" s="253"/>
      <c r="FA33" s="253"/>
      <c r="FB33" s="253"/>
      <c r="FC33" s="253"/>
      <c r="FD33" s="253"/>
      <c r="FE33" s="253"/>
      <c r="FF33" s="253"/>
      <c r="FG33" s="253"/>
      <c r="FH33" s="253"/>
      <c r="FI33" s="253"/>
      <c r="FJ33" s="253"/>
      <c r="FK33" s="253"/>
      <c r="FL33" s="253"/>
      <c r="FM33" s="262"/>
      <c r="FN33" s="257" t="s">
        <v>1216</v>
      </c>
      <c r="FO33" s="258" t="s">
        <v>389</v>
      </c>
      <c r="FP33" s="258"/>
      <c r="FQ33" s="258" t="s">
        <v>416</v>
      </c>
      <c r="FR33" s="259">
        <f t="shared" si="0"/>
        <v>0</v>
      </c>
      <c r="FS33" s="260" t="s">
        <v>414</v>
      </c>
      <c r="FT33" s="260"/>
    </row>
    <row r="34" spans="1:176">
      <c r="A34" s="251" t="s">
        <v>385</v>
      </c>
      <c r="B34" s="251" t="s">
        <v>411</v>
      </c>
      <c r="C34" s="251" t="s">
        <v>1</v>
      </c>
      <c r="D34" s="252" t="s">
        <v>415</v>
      </c>
      <c r="E34" s="251" t="s">
        <v>388</v>
      </c>
      <c r="F34" s="251"/>
      <c r="G34" s="253"/>
      <c r="H34" s="253"/>
      <c r="I34" s="253"/>
      <c r="J34" s="253"/>
      <c r="K34" s="253"/>
      <c r="L34" s="253"/>
      <c r="M34" s="253"/>
      <c r="N34" s="253"/>
      <c r="O34" s="253"/>
      <c r="P34" s="253"/>
      <c r="Q34" s="253"/>
      <c r="R34" s="253"/>
      <c r="S34" s="253"/>
      <c r="T34" s="253"/>
      <c r="U34" s="253"/>
      <c r="V34" s="253"/>
      <c r="W34" s="255">
        <f>200-200</f>
        <v>0</v>
      </c>
      <c r="X34" s="255">
        <f>200-200</f>
        <v>0</v>
      </c>
      <c r="Y34" s="253"/>
      <c r="Z34" s="255">
        <f>200-200</f>
        <v>0</v>
      </c>
      <c r="AA34" s="255">
        <f>200-200</f>
        <v>0</v>
      </c>
      <c r="AB34" s="253"/>
      <c r="AC34" s="253"/>
      <c r="AD34" s="255">
        <f>200-200</f>
        <v>0</v>
      </c>
      <c r="AE34" s="253"/>
      <c r="AF34" s="253"/>
      <c r="AG34" s="255">
        <f>150-150</f>
        <v>0</v>
      </c>
      <c r="AH34" s="253"/>
      <c r="AI34" s="253"/>
      <c r="AJ34" s="253"/>
      <c r="AK34" s="253"/>
      <c r="AL34" s="253"/>
      <c r="AM34" s="255">
        <f>300-300</f>
        <v>0</v>
      </c>
      <c r="AN34" s="253"/>
      <c r="AO34" s="253"/>
      <c r="AP34" s="255">
        <f>600-600</f>
        <v>0</v>
      </c>
      <c r="AQ34" s="253"/>
      <c r="AR34" s="253"/>
      <c r="AS34" s="255">
        <f>600-600</f>
        <v>0</v>
      </c>
      <c r="AT34" s="253"/>
      <c r="AU34" s="253"/>
      <c r="AV34" s="253"/>
      <c r="AW34" s="253"/>
      <c r="AX34" s="253"/>
      <c r="AY34" s="253"/>
      <c r="AZ34" s="253"/>
      <c r="BA34" s="253"/>
      <c r="BB34" s="253"/>
      <c r="BC34" s="253"/>
      <c r="BD34" s="255">
        <f>100-100</f>
        <v>0</v>
      </c>
      <c r="BE34" s="253"/>
      <c r="BF34" s="253"/>
      <c r="BG34" s="253"/>
      <c r="BH34" s="253"/>
      <c r="BI34" s="253"/>
      <c r="BJ34" s="253"/>
      <c r="BK34" s="253"/>
      <c r="BL34" s="253"/>
      <c r="BM34" s="253"/>
      <c r="BN34" s="253"/>
      <c r="BO34" s="253"/>
      <c r="BP34" s="253"/>
      <c r="BQ34" s="253"/>
      <c r="BR34" s="253"/>
      <c r="BS34" s="253"/>
      <c r="BT34" s="253"/>
      <c r="BU34" s="253"/>
      <c r="BV34" s="253"/>
      <c r="BW34" s="253"/>
      <c r="BX34" s="253"/>
      <c r="BY34" s="253"/>
      <c r="BZ34" s="253"/>
      <c r="CA34" s="253"/>
      <c r="CB34" s="253"/>
      <c r="CC34" s="253"/>
      <c r="CD34" s="253"/>
      <c r="CE34" s="253"/>
      <c r="CF34" s="253"/>
      <c r="CG34" s="253"/>
      <c r="CH34" s="253"/>
      <c r="CI34" s="253"/>
      <c r="CJ34" s="253"/>
      <c r="CK34" s="253"/>
      <c r="CL34" s="253"/>
      <c r="CM34" s="253"/>
      <c r="CN34" s="253"/>
      <c r="CO34" s="253"/>
      <c r="CP34" s="253"/>
      <c r="CQ34" s="253"/>
      <c r="CR34" s="253"/>
      <c r="CS34" s="253"/>
      <c r="CT34" s="253"/>
      <c r="CU34" s="253"/>
      <c r="CV34" s="253"/>
      <c r="CW34" s="253"/>
      <c r="CX34" s="253"/>
      <c r="CY34" s="253"/>
      <c r="CZ34" s="253"/>
      <c r="DA34" s="253"/>
      <c r="DB34" s="253"/>
      <c r="DC34" s="253"/>
      <c r="DD34" s="253"/>
      <c r="DE34" s="253"/>
      <c r="DF34" s="253"/>
      <c r="DG34" s="253"/>
      <c r="DH34" s="253"/>
      <c r="DI34" s="253"/>
      <c r="DJ34" s="253"/>
      <c r="DK34" s="253"/>
      <c r="DL34" s="253"/>
      <c r="DM34" s="253"/>
      <c r="DN34" s="253"/>
      <c r="DO34" s="253"/>
      <c r="DP34" s="253"/>
      <c r="DQ34" s="253"/>
      <c r="DR34" s="253"/>
      <c r="DS34" s="253"/>
      <c r="DT34" s="253"/>
      <c r="DU34" s="253"/>
      <c r="DV34" s="253"/>
      <c r="DW34" s="253"/>
      <c r="DX34" s="253"/>
      <c r="DY34" s="253"/>
      <c r="DZ34" s="253"/>
      <c r="EA34" s="253"/>
      <c r="EB34" s="253"/>
      <c r="EC34" s="253"/>
      <c r="ED34" s="255">
        <f>250-250</f>
        <v>0</v>
      </c>
      <c r="EE34" s="255">
        <f>250-250</f>
        <v>0</v>
      </c>
      <c r="EF34" s="253"/>
      <c r="EG34" s="253"/>
      <c r="EH34" s="255">
        <f>250-250</f>
        <v>0</v>
      </c>
      <c r="EI34" s="255">
        <f>250-250</f>
        <v>0</v>
      </c>
      <c r="EJ34" s="253"/>
      <c r="EK34" s="253"/>
      <c r="EL34" s="255">
        <f t="shared" ref="EL34:EQ34" si="3">400-400</f>
        <v>0</v>
      </c>
      <c r="EM34" s="255">
        <f t="shared" si="3"/>
        <v>0</v>
      </c>
      <c r="EN34" s="255">
        <f t="shared" si="3"/>
        <v>0</v>
      </c>
      <c r="EO34" s="255">
        <f t="shared" si="3"/>
        <v>0</v>
      </c>
      <c r="EP34" s="255">
        <f t="shared" si="3"/>
        <v>0</v>
      </c>
      <c r="EQ34" s="255">
        <f t="shared" si="3"/>
        <v>0</v>
      </c>
      <c r="ER34" s="253"/>
      <c r="ES34" s="253"/>
      <c r="ET34" s="253"/>
      <c r="EU34" s="253"/>
      <c r="EV34" s="253"/>
      <c r="EW34" s="253"/>
      <c r="EX34" s="253"/>
      <c r="EY34" s="253"/>
      <c r="EZ34" s="253"/>
      <c r="FA34" s="253"/>
      <c r="FB34" s="253"/>
      <c r="FC34" s="253"/>
      <c r="FD34" s="253"/>
      <c r="FE34" s="253"/>
      <c r="FF34" s="253"/>
      <c r="FG34" s="253"/>
      <c r="FH34" s="253"/>
      <c r="FI34" s="253"/>
      <c r="FJ34" s="255">
        <f>400-400</f>
        <v>0</v>
      </c>
      <c r="FK34" s="253"/>
      <c r="FL34" s="253"/>
      <c r="FM34" s="262"/>
      <c r="FN34" s="257" t="s">
        <v>1216</v>
      </c>
      <c r="FO34" s="258" t="s">
        <v>389</v>
      </c>
      <c r="FP34" s="258"/>
      <c r="FQ34" s="258" t="s">
        <v>416</v>
      </c>
      <c r="FR34" s="259">
        <f t="shared" si="0"/>
        <v>0</v>
      </c>
      <c r="FS34" s="260" t="s">
        <v>414</v>
      </c>
      <c r="FT34" s="260"/>
    </row>
    <row r="35" spans="1:176">
      <c r="A35" s="251" t="s">
        <v>385</v>
      </c>
      <c r="B35" s="251" t="s">
        <v>411</v>
      </c>
      <c r="C35" s="251" t="s">
        <v>291</v>
      </c>
      <c r="D35" s="252" t="s">
        <v>836</v>
      </c>
      <c r="E35" s="251" t="s">
        <v>388</v>
      </c>
      <c r="F35" s="251"/>
      <c r="G35" s="253"/>
      <c r="H35" s="253"/>
      <c r="I35" s="253"/>
      <c r="J35" s="253"/>
      <c r="K35" s="253"/>
      <c r="L35" s="253"/>
      <c r="M35" s="255">
        <f>40-40</f>
        <v>0</v>
      </c>
      <c r="N35" s="253"/>
      <c r="O35" s="253"/>
      <c r="P35" s="253"/>
      <c r="Q35" s="253"/>
      <c r="R35" s="253"/>
      <c r="S35" s="253"/>
      <c r="T35" s="253"/>
      <c r="U35" s="253"/>
      <c r="V35" s="253"/>
      <c r="W35" s="253"/>
      <c r="X35" s="253"/>
      <c r="Y35" s="253"/>
      <c r="Z35" s="253"/>
      <c r="AA35" s="253"/>
      <c r="AB35" s="253"/>
      <c r="AC35" s="253"/>
      <c r="AD35" s="253"/>
      <c r="AE35" s="255">
        <f>20-20</f>
        <v>0</v>
      </c>
      <c r="AF35" s="253"/>
      <c r="AG35" s="253"/>
      <c r="AH35" s="253"/>
      <c r="AI35" s="253"/>
      <c r="AJ35" s="253"/>
      <c r="AK35" s="253"/>
      <c r="AL35" s="253"/>
      <c r="AM35" s="253"/>
      <c r="AN35" s="253"/>
      <c r="AO35" s="253"/>
      <c r="AP35" s="253"/>
      <c r="AQ35" s="253"/>
      <c r="AR35" s="253"/>
      <c r="AS35" s="253"/>
      <c r="AT35" s="253"/>
      <c r="AU35" s="253"/>
      <c r="AV35" s="253"/>
      <c r="AW35" s="253"/>
      <c r="AX35" s="253"/>
      <c r="AY35" s="253"/>
      <c r="AZ35" s="253"/>
      <c r="BA35" s="253"/>
      <c r="BB35" s="253"/>
      <c r="BC35" s="255">
        <f>20-20</f>
        <v>0</v>
      </c>
      <c r="BD35" s="253"/>
      <c r="BE35" s="253"/>
      <c r="BF35" s="253"/>
      <c r="BG35" s="253"/>
      <c r="BH35" s="253"/>
      <c r="BI35" s="253"/>
      <c r="BJ35" s="253"/>
      <c r="BK35" s="253"/>
      <c r="BL35" s="253"/>
      <c r="BM35" s="253"/>
      <c r="BN35" s="253"/>
      <c r="BO35" s="253"/>
      <c r="BP35" s="253"/>
      <c r="BQ35" s="253"/>
      <c r="BR35" s="253"/>
      <c r="BS35" s="253"/>
      <c r="BT35" s="253"/>
      <c r="BU35" s="253"/>
      <c r="BV35" s="253"/>
      <c r="BW35" s="253"/>
      <c r="BX35" s="253"/>
      <c r="BY35" s="253"/>
      <c r="BZ35" s="253"/>
      <c r="CA35" s="253"/>
      <c r="CB35" s="253"/>
      <c r="CC35" s="253"/>
      <c r="CD35" s="253"/>
      <c r="CE35" s="253"/>
      <c r="CF35" s="253"/>
      <c r="CG35" s="253"/>
      <c r="CH35" s="253"/>
      <c r="CI35" s="253"/>
      <c r="CJ35" s="253"/>
      <c r="CK35" s="253"/>
      <c r="CL35" s="253"/>
      <c r="CM35" s="253"/>
      <c r="CN35" s="253"/>
      <c r="CO35" s="253"/>
      <c r="CP35" s="253"/>
      <c r="CQ35" s="253"/>
      <c r="CR35" s="253"/>
      <c r="CS35" s="253"/>
      <c r="CT35" s="253"/>
      <c r="CU35" s="253"/>
      <c r="CV35" s="253"/>
      <c r="CW35" s="253"/>
      <c r="CX35" s="253"/>
      <c r="CY35" s="253"/>
      <c r="CZ35" s="253"/>
      <c r="DA35" s="253"/>
      <c r="DB35" s="253"/>
      <c r="DC35" s="253"/>
      <c r="DD35" s="253"/>
      <c r="DE35" s="253"/>
      <c r="DF35" s="253"/>
      <c r="DG35" s="253"/>
      <c r="DH35" s="253"/>
      <c r="DI35" s="253"/>
      <c r="DJ35" s="253"/>
      <c r="DK35" s="253"/>
      <c r="DL35" s="253"/>
      <c r="DM35" s="253"/>
      <c r="DN35" s="253"/>
      <c r="DO35" s="253"/>
      <c r="DP35" s="253"/>
      <c r="DQ35" s="253"/>
      <c r="DR35" s="253"/>
      <c r="DS35" s="253"/>
      <c r="DT35" s="253"/>
      <c r="DU35" s="253"/>
      <c r="DV35" s="253"/>
      <c r="DW35" s="253"/>
      <c r="DX35" s="253"/>
      <c r="DY35" s="253"/>
      <c r="DZ35" s="253"/>
      <c r="EA35" s="253"/>
      <c r="EB35" s="253"/>
      <c r="EC35" s="253"/>
      <c r="ED35" s="253"/>
      <c r="EE35" s="253"/>
      <c r="EF35" s="253"/>
      <c r="EG35" s="253"/>
      <c r="EH35" s="253"/>
      <c r="EI35" s="253"/>
      <c r="EJ35" s="253"/>
      <c r="EK35" s="253"/>
      <c r="EL35" s="253"/>
      <c r="EM35" s="253"/>
      <c r="EN35" s="253"/>
      <c r="EO35" s="253"/>
      <c r="EP35" s="253"/>
      <c r="EQ35" s="253"/>
      <c r="ER35" s="253"/>
      <c r="ES35" s="253"/>
      <c r="ET35" s="253"/>
      <c r="EU35" s="253"/>
      <c r="EV35" s="253"/>
      <c r="EW35" s="253"/>
      <c r="EX35" s="253"/>
      <c r="EY35" s="253"/>
      <c r="EZ35" s="253"/>
      <c r="FA35" s="253"/>
      <c r="FB35" s="253"/>
      <c r="FC35" s="253"/>
      <c r="FD35" s="253"/>
      <c r="FE35" s="253"/>
      <c r="FF35" s="253"/>
      <c r="FG35" s="253"/>
      <c r="FH35" s="253"/>
      <c r="FI35" s="253"/>
      <c r="FJ35" s="253"/>
      <c r="FK35" s="253"/>
      <c r="FL35" s="253"/>
      <c r="FM35" s="262"/>
      <c r="FN35" s="257" t="s">
        <v>1216</v>
      </c>
      <c r="FO35" s="258" t="s">
        <v>389</v>
      </c>
      <c r="FP35" s="258"/>
      <c r="FQ35" s="258" t="s">
        <v>837</v>
      </c>
      <c r="FR35" s="259">
        <f t="shared" si="0"/>
        <v>0</v>
      </c>
      <c r="FS35" s="260" t="s">
        <v>414</v>
      </c>
      <c r="FT35" s="260"/>
    </row>
    <row r="36" spans="1:176">
      <c r="A36" s="251" t="s">
        <v>385</v>
      </c>
      <c r="B36" s="251" t="s">
        <v>411</v>
      </c>
      <c r="C36" s="251" t="s">
        <v>1</v>
      </c>
      <c r="D36" s="252" t="s">
        <v>836</v>
      </c>
      <c r="E36" s="251" t="s">
        <v>388</v>
      </c>
      <c r="F36" s="251"/>
      <c r="G36" s="253"/>
      <c r="H36" s="253"/>
      <c r="I36" s="253"/>
      <c r="J36" s="253"/>
      <c r="K36" s="253"/>
      <c r="L36" s="253"/>
      <c r="M36" s="253"/>
      <c r="N36" s="253"/>
      <c r="O36" s="253"/>
      <c r="P36" s="253"/>
      <c r="Q36" s="253"/>
      <c r="R36" s="253"/>
      <c r="S36" s="253"/>
      <c r="T36" s="253"/>
      <c r="U36" s="253"/>
      <c r="V36" s="253"/>
      <c r="W36" s="253"/>
      <c r="X36" s="253"/>
      <c r="Y36" s="253"/>
      <c r="Z36" s="253"/>
      <c r="AA36" s="253"/>
      <c r="AB36" s="253"/>
      <c r="AC36" s="253"/>
      <c r="AD36" s="253"/>
      <c r="AE36" s="253"/>
      <c r="AF36" s="253"/>
      <c r="AG36" s="253"/>
      <c r="AH36" s="253"/>
      <c r="AI36" s="253"/>
      <c r="AJ36" s="253"/>
      <c r="AK36" s="253"/>
      <c r="AL36" s="253"/>
      <c r="AM36" s="255">
        <f>20-20</f>
        <v>0</v>
      </c>
      <c r="AN36" s="253"/>
      <c r="AO36" s="253"/>
      <c r="AP36" s="253"/>
      <c r="AQ36" s="253"/>
      <c r="AR36" s="253"/>
      <c r="AS36" s="253"/>
      <c r="AT36" s="253"/>
      <c r="AU36" s="253"/>
      <c r="AV36" s="253"/>
      <c r="AW36" s="253"/>
      <c r="AX36" s="253"/>
      <c r="AY36" s="253"/>
      <c r="AZ36" s="253"/>
      <c r="BA36" s="253"/>
      <c r="BB36" s="253"/>
      <c r="BC36" s="253"/>
      <c r="BD36" s="253"/>
      <c r="BE36" s="253"/>
      <c r="BF36" s="253"/>
      <c r="BG36" s="253"/>
      <c r="BH36" s="253"/>
      <c r="BI36" s="253"/>
      <c r="BJ36" s="253"/>
      <c r="BK36" s="253"/>
      <c r="BL36" s="253"/>
      <c r="BM36" s="253"/>
      <c r="BN36" s="253"/>
      <c r="BO36" s="253"/>
      <c r="BP36" s="253"/>
      <c r="BQ36" s="253"/>
      <c r="BR36" s="253"/>
      <c r="BS36" s="253"/>
      <c r="BT36" s="253"/>
      <c r="BU36" s="253"/>
      <c r="BV36" s="253"/>
      <c r="BW36" s="253"/>
      <c r="BX36" s="253"/>
      <c r="BY36" s="253"/>
      <c r="BZ36" s="253"/>
      <c r="CA36" s="253"/>
      <c r="CB36" s="253"/>
      <c r="CC36" s="253"/>
      <c r="CD36" s="253"/>
      <c r="CE36" s="253"/>
      <c r="CF36" s="253"/>
      <c r="CG36" s="253"/>
      <c r="CH36" s="253"/>
      <c r="CI36" s="253"/>
      <c r="CJ36" s="253"/>
      <c r="CK36" s="253"/>
      <c r="CL36" s="253"/>
      <c r="CM36" s="253"/>
      <c r="CN36" s="253"/>
      <c r="CO36" s="253"/>
      <c r="CP36" s="253"/>
      <c r="CQ36" s="253"/>
      <c r="CR36" s="253"/>
      <c r="CS36" s="253"/>
      <c r="CT36" s="253"/>
      <c r="CU36" s="253"/>
      <c r="CV36" s="253"/>
      <c r="CW36" s="253"/>
      <c r="CX36" s="253"/>
      <c r="CY36" s="253"/>
      <c r="CZ36" s="253"/>
      <c r="DA36" s="253"/>
      <c r="DB36" s="253"/>
      <c r="DC36" s="253"/>
      <c r="DD36" s="253"/>
      <c r="DE36" s="253"/>
      <c r="DF36" s="253"/>
      <c r="DG36" s="253"/>
      <c r="DH36" s="253"/>
      <c r="DI36" s="253"/>
      <c r="DJ36" s="253"/>
      <c r="DK36" s="253"/>
      <c r="DL36" s="253"/>
      <c r="DM36" s="253"/>
      <c r="DN36" s="253"/>
      <c r="DO36" s="253"/>
      <c r="DP36" s="253"/>
      <c r="DQ36" s="253"/>
      <c r="DR36" s="253"/>
      <c r="DS36" s="253"/>
      <c r="DT36" s="253"/>
      <c r="DU36" s="253"/>
      <c r="DV36" s="253"/>
      <c r="DW36" s="253"/>
      <c r="DX36" s="253"/>
      <c r="DY36" s="253"/>
      <c r="DZ36" s="253"/>
      <c r="EA36" s="253"/>
      <c r="EB36" s="253"/>
      <c r="EC36" s="253"/>
      <c r="ED36" s="253"/>
      <c r="EE36" s="253"/>
      <c r="EF36" s="253"/>
      <c r="EG36" s="253"/>
      <c r="EH36" s="253"/>
      <c r="EI36" s="253"/>
      <c r="EJ36" s="253"/>
      <c r="EK36" s="253"/>
      <c r="EL36" s="253"/>
      <c r="EM36" s="253"/>
      <c r="EN36" s="253"/>
      <c r="EO36" s="253"/>
      <c r="EP36" s="253"/>
      <c r="EQ36" s="253"/>
      <c r="ER36" s="253"/>
      <c r="ES36" s="253"/>
      <c r="ET36" s="253"/>
      <c r="EU36" s="253"/>
      <c r="EV36" s="253"/>
      <c r="EW36" s="253"/>
      <c r="EX36" s="253"/>
      <c r="EY36" s="253"/>
      <c r="EZ36" s="253"/>
      <c r="FA36" s="253"/>
      <c r="FB36" s="253"/>
      <c r="FC36" s="253"/>
      <c r="FD36" s="253"/>
      <c r="FE36" s="253"/>
      <c r="FF36" s="253"/>
      <c r="FG36" s="253"/>
      <c r="FH36" s="253"/>
      <c r="FI36" s="253"/>
      <c r="FJ36" s="255">
        <f>250-250</f>
        <v>0</v>
      </c>
      <c r="FK36" s="253"/>
      <c r="FL36" s="253"/>
      <c r="FM36" s="262"/>
      <c r="FN36" s="257" t="s">
        <v>1216</v>
      </c>
      <c r="FO36" s="258" t="s">
        <v>389</v>
      </c>
      <c r="FP36" s="258"/>
      <c r="FQ36" s="258" t="s">
        <v>837</v>
      </c>
      <c r="FR36" s="259">
        <f t="shared" si="0"/>
        <v>0</v>
      </c>
      <c r="FS36" s="260" t="s">
        <v>414</v>
      </c>
      <c r="FT36" s="260"/>
    </row>
    <row r="37" spans="1:176">
      <c r="A37" s="251" t="s">
        <v>385</v>
      </c>
      <c r="B37" s="251" t="s">
        <v>411</v>
      </c>
      <c r="C37" s="251" t="s">
        <v>291</v>
      </c>
      <c r="D37" s="252" t="s">
        <v>897</v>
      </c>
      <c r="E37" s="251" t="s">
        <v>388</v>
      </c>
      <c r="F37" s="251" t="s">
        <v>1223</v>
      </c>
      <c r="G37" s="253"/>
      <c r="H37" s="253"/>
      <c r="I37" s="253"/>
      <c r="J37" s="253"/>
      <c r="K37" s="253"/>
      <c r="L37" s="253"/>
      <c r="M37" s="253"/>
      <c r="N37" s="253"/>
      <c r="O37" s="253"/>
      <c r="P37" s="253"/>
      <c r="Q37" s="253"/>
      <c r="R37" s="253"/>
      <c r="S37" s="253"/>
      <c r="T37" s="253"/>
      <c r="U37" s="253"/>
      <c r="V37" s="253"/>
      <c r="W37" s="253"/>
      <c r="X37" s="253"/>
      <c r="Y37" s="253"/>
      <c r="Z37" s="253"/>
      <c r="AA37" s="253"/>
      <c r="AB37" s="253"/>
      <c r="AC37" s="255">
        <f>60-60</f>
        <v>0</v>
      </c>
      <c r="AD37" s="253"/>
      <c r="AE37" s="255">
        <f>100-100</f>
        <v>0</v>
      </c>
      <c r="AF37" s="255">
        <f>150-150</f>
        <v>0</v>
      </c>
      <c r="AG37" s="253"/>
      <c r="AH37" s="253"/>
      <c r="AI37" s="253"/>
      <c r="AJ37" s="253"/>
      <c r="AK37" s="255">
        <f>50-50</f>
        <v>0</v>
      </c>
      <c r="AL37" s="253"/>
      <c r="AM37" s="253"/>
      <c r="AN37" s="253"/>
      <c r="AO37" s="253"/>
      <c r="AP37" s="253"/>
      <c r="AQ37" s="253"/>
      <c r="AR37" s="253"/>
      <c r="AS37" s="253"/>
      <c r="AT37" s="253"/>
      <c r="AU37" s="253"/>
      <c r="AV37" s="253"/>
      <c r="AW37" s="253"/>
      <c r="AX37" s="253"/>
      <c r="AY37" s="253"/>
      <c r="AZ37" s="253"/>
      <c r="BA37" s="253"/>
      <c r="BB37" s="253"/>
      <c r="BC37" s="255">
        <f>30-30</f>
        <v>0</v>
      </c>
      <c r="BD37" s="253"/>
      <c r="BE37" s="253"/>
      <c r="BF37" s="253"/>
      <c r="BG37" s="253"/>
      <c r="BH37" s="253"/>
      <c r="BI37" s="253"/>
      <c r="BJ37" s="253"/>
      <c r="BK37" s="253"/>
      <c r="BL37" s="253"/>
      <c r="BM37" s="253"/>
      <c r="BN37" s="253"/>
      <c r="BO37" s="253"/>
      <c r="BP37" s="253"/>
      <c r="BQ37" s="253"/>
      <c r="BR37" s="253"/>
      <c r="BS37" s="253"/>
      <c r="BT37" s="253"/>
      <c r="BU37" s="253"/>
      <c r="BV37" s="253"/>
      <c r="BW37" s="253"/>
      <c r="BX37" s="253"/>
      <c r="BY37" s="253"/>
      <c r="BZ37" s="253"/>
      <c r="CA37" s="253"/>
      <c r="CB37" s="253"/>
      <c r="CC37" s="253"/>
      <c r="CD37" s="253"/>
      <c r="CE37" s="253"/>
      <c r="CF37" s="253"/>
      <c r="CG37" s="253"/>
      <c r="CH37" s="253"/>
      <c r="CI37" s="253"/>
      <c r="CJ37" s="253"/>
      <c r="CK37" s="253"/>
      <c r="CL37" s="253"/>
      <c r="CM37" s="253"/>
      <c r="CN37" s="253"/>
      <c r="CO37" s="253"/>
      <c r="CP37" s="253"/>
      <c r="CQ37" s="253"/>
      <c r="CR37" s="253"/>
      <c r="CS37" s="253"/>
      <c r="CT37" s="253"/>
      <c r="CU37" s="253"/>
      <c r="CV37" s="253"/>
      <c r="CW37" s="253"/>
      <c r="CX37" s="253"/>
      <c r="CY37" s="253"/>
      <c r="CZ37" s="253"/>
      <c r="DA37" s="253"/>
      <c r="DB37" s="253"/>
      <c r="DC37" s="253"/>
      <c r="DD37" s="253"/>
      <c r="DE37" s="253"/>
      <c r="DF37" s="253"/>
      <c r="DG37" s="253"/>
      <c r="DH37" s="253"/>
      <c r="DI37" s="253"/>
      <c r="DJ37" s="253"/>
      <c r="DK37" s="253"/>
      <c r="DL37" s="253"/>
      <c r="DM37" s="253"/>
      <c r="DN37" s="253"/>
      <c r="DO37" s="253"/>
      <c r="DP37" s="253"/>
      <c r="DQ37" s="253"/>
      <c r="DR37" s="253"/>
      <c r="DS37" s="253"/>
      <c r="DT37" s="253"/>
      <c r="DU37" s="253"/>
      <c r="DV37" s="253"/>
      <c r="DW37" s="253"/>
      <c r="DX37" s="253"/>
      <c r="DY37" s="253"/>
      <c r="DZ37" s="253"/>
      <c r="EA37" s="253"/>
      <c r="EB37" s="253"/>
      <c r="EC37" s="253"/>
      <c r="ED37" s="253"/>
      <c r="EE37" s="253"/>
      <c r="EF37" s="253"/>
      <c r="EG37" s="253"/>
      <c r="EH37" s="253"/>
      <c r="EI37" s="253"/>
      <c r="EJ37" s="253"/>
      <c r="EK37" s="253"/>
      <c r="EL37" s="253"/>
      <c r="EM37" s="253"/>
      <c r="EN37" s="253"/>
      <c r="EO37" s="253"/>
      <c r="EP37" s="253"/>
      <c r="EQ37" s="253"/>
      <c r="ER37" s="253"/>
      <c r="ES37" s="253"/>
      <c r="ET37" s="253"/>
      <c r="EU37" s="253"/>
      <c r="EV37" s="253"/>
      <c r="EW37" s="253"/>
      <c r="EX37" s="253"/>
      <c r="EY37" s="253"/>
      <c r="EZ37" s="253"/>
      <c r="FA37" s="253"/>
      <c r="FB37" s="253"/>
      <c r="FC37" s="253"/>
      <c r="FD37" s="253"/>
      <c r="FE37" s="253"/>
      <c r="FF37" s="253"/>
      <c r="FG37" s="253"/>
      <c r="FH37" s="253"/>
      <c r="FI37" s="253"/>
      <c r="FJ37" s="253"/>
      <c r="FK37" s="253"/>
      <c r="FL37" s="253"/>
      <c r="FM37" s="262"/>
      <c r="FN37" s="257" t="s">
        <v>1216</v>
      </c>
      <c r="FO37" s="258" t="s">
        <v>389</v>
      </c>
      <c r="FP37" s="258" t="s">
        <v>899</v>
      </c>
      <c r="FQ37" s="258" t="s">
        <v>900</v>
      </c>
      <c r="FR37" s="259">
        <f t="shared" si="0"/>
        <v>0</v>
      </c>
      <c r="FS37" s="260" t="s">
        <v>421</v>
      </c>
      <c r="FT37" s="260"/>
    </row>
    <row r="38" spans="1:176">
      <c r="A38" s="251" t="s">
        <v>385</v>
      </c>
      <c r="B38" s="251" t="s">
        <v>411</v>
      </c>
      <c r="C38" s="251" t="s">
        <v>1</v>
      </c>
      <c r="D38" s="252" t="s">
        <v>897</v>
      </c>
      <c r="E38" s="251" t="s">
        <v>388</v>
      </c>
      <c r="F38" s="251" t="s">
        <v>1223</v>
      </c>
      <c r="G38" s="253"/>
      <c r="H38" s="253"/>
      <c r="I38" s="253"/>
      <c r="J38" s="253"/>
      <c r="K38" s="253"/>
      <c r="L38" s="253"/>
      <c r="M38" s="253"/>
      <c r="N38" s="253"/>
      <c r="O38" s="253"/>
      <c r="P38" s="253"/>
      <c r="Q38" s="253"/>
      <c r="R38" s="253"/>
      <c r="S38" s="253"/>
      <c r="T38" s="253"/>
      <c r="U38" s="253"/>
      <c r="V38" s="253"/>
      <c r="W38" s="253"/>
      <c r="X38" s="253"/>
      <c r="Y38" s="253"/>
      <c r="Z38" s="255">
        <f>60-60</f>
        <v>0</v>
      </c>
      <c r="AA38" s="253"/>
      <c r="AB38" s="253"/>
      <c r="AC38" s="253"/>
      <c r="AD38" s="255">
        <f>60-60</f>
        <v>0</v>
      </c>
      <c r="AE38" s="253"/>
      <c r="AF38" s="253"/>
      <c r="AG38" s="253"/>
      <c r="AH38" s="253"/>
      <c r="AI38" s="253"/>
      <c r="AJ38" s="253"/>
      <c r="AK38" s="253"/>
      <c r="AL38" s="253"/>
      <c r="AM38" s="255">
        <f>100-100</f>
        <v>0</v>
      </c>
      <c r="AN38" s="253"/>
      <c r="AO38" s="253"/>
      <c r="AP38" s="253"/>
      <c r="AQ38" s="253"/>
      <c r="AR38" s="253"/>
      <c r="AS38" s="255">
        <f>150-150</f>
        <v>0</v>
      </c>
      <c r="AT38" s="253"/>
      <c r="AU38" s="253"/>
      <c r="AV38" s="253"/>
      <c r="AW38" s="253"/>
      <c r="AX38" s="253"/>
      <c r="AY38" s="255">
        <f>30-30</f>
        <v>0</v>
      </c>
      <c r="AZ38" s="253"/>
      <c r="BA38" s="253"/>
      <c r="BB38" s="253"/>
      <c r="BC38" s="253"/>
      <c r="BD38" s="253"/>
      <c r="BE38" s="253"/>
      <c r="BF38" s="253"/>
      <c r="BG38" s="253"/>
      <c r="BH38" s="253"/>
      <c r="BI38" s="253"/>
      <c r="BJ38" s="253"/>
      <c r="BK38" s="253"/>
      <c r="BL38" s="253"/>
      <c r="BM38" s="253"/>
      <c r="BN38" s="253"/>
      <c r="BO38" s="253"/>
      <c r="BP38" s="253"/>
      <c r="BQ38" s="253"/>
      <c r="BR38" s="253"/>
      <c r="BS38" s="253"/>
      <c r="BT38" s="253"/>
      <c r="BU38" s="253"/>
      <c r="BV38" s="253"/>
      <c r="BW38" s="253"/>
      <c r="BX38" s="253"/>
      <c r="BY38" s="253"/>
      <c r="BZ38" s="253"/>
      <c r="CA38" s="253"/>
      <c r="CB38" s="253"/>
      <c r="CC38" s="253"/>
      <c r="CD38" s="253"/>
      <c r="CE38" s="253"/>
      <c r="CF38" s="253"/>
      <c r="CG38" s="253"/>
      <c r="CH38" s="253"/>
      <c r="CI38" s="253"/>
      <c r="CJ38" s="253"/>
      <c r="CK38" s="253"/>
      <c r="CL38" s="253"/>
      <c r="CM38" s="253"/>
      <c r="CN38" s="253"/>
      <c r="CO38" s="253"/>
      <c r="CP38" s="253"/>
      <c r="CQ38" s="253"/>
      <c r="CR38" s="253"/>
      <c r="CS38" s="253"/>
      <c r="CT38" s="253"/>
      <c r="CU38" s="253"/>
      <c r="CV38" s="253"/>
      <c r="CW38" s="253"/>
      <c r="CX38" s="253"/>
      <c r="CY38" s="253"/>
      <c r="CZ38" s="253"/>
      <c r="DA38" s="253"/>
      <c r="DB38" s="253"/>
      <c r="DC38" s="253"/>
      <c r="DD38" s="253"/>
      <c r="DE38" s="253"/>
      <c r="DF38" s="253"/>
      <c r="DG38" s="253"/>
      <c r="DH38" s="253"/>
      <c r="DI38" s="253"/>
      <c r="DJ38" s="253"/>
      <c r="DK38" s="253"/>
      <c r="DL38" s="253"/>
      <c r="DM38" s="253"/>
      <c r="DN38" s="253"/>
      <c r="DO38" s="253"/>
      <c r="DP38" s="253"/>
      <c r="DQ38" s="253"/>
      <c r="DR38" s="253"/>
      <c r="DS38" s="253"/>
      <c r="DT38" s="253"/>
      <c r="DU38" s="253"/>
      <c r="DV38" s="253"/>
      <c r="DW38" s="253"/>
      <c r="DX38" s="253"/>
      <c r="DY38" s="253"/>
      <c r="DZ38" s="253"/>
      <c r="EA38" s="253"/>
      <c r="EB38" s="253"/>
      <c r="EC38" s="253"/>
      <c r="ED38" s="253"/>
      <c r="EE38" s="253"/>
      <c r="EF38" s="253"/>
      <c r="EG38" s="253"/>
      <c r="EH38" s="253"/>
      <c r="EI38" s="253"/>
      <c r="EJ38" s="253"/>
      <c r="EK38" s="253"/>
      <c r="EL38" s="253"/>
      <c r="EM38" s="253"/>
      <c r="EN38" s="253"/>
      <c r="EO38" s="253"/>
      <c r="EP38" s="253"/>
      <c r="EQ38" s="253"/>
      <c r="ER38" s="255">
        <f>10-10</f>
        <v>0</v>
      </c>
      <c r="ES38" s="253"/>
      <c r="ET38" s="253"/>
      <c r="EU38" s="255">
        <f>10-10</f>
        <v>0</v>
      </c>
      <c r="EV38" s="255">
        <f>10-10</f>
        <v>0</v>
      </c>
      <c r="EW38" s="253"/>
      <c r="EX38" s="255">
        <f>5-5</f>
        <v>0</v>
      </c>
      <c r="EY38" s="253"/>
      <c r="EZ38" s="255">
        <f>10-10</f>
        <v>0</v>
      </c>
      <c r="FA38" s="253"/>
      <c r="FB38" s="255">
        <f>10-10</f>
        <v>0</v>
      </c>
      <c r="FC38" s="255">
        <f>5-5</f>
        <v>0</v>
      </c>
      <c r="FD38" s="253"/>
      <c r="FE38" s="253"/>
      <c r="FF38" s="255">
        <f>5-5</f>
        <v>0</v>
      </c>
      <c r="FG38" s="253"/>
      <c r="FH38" s="253"/>
      <c r="FI38" s="253"/>
      <c r="FJ38" s="253"/>
      <c r="FK38" s="253"/>
      <c r="FL38" s="253"/>
      <c r="FM38" s="262"/>
      <c r="FN38" s="257" t="s">
        <v>1216</v>
      </c>
      <c r="FO38" s="258" t="s">
        <v>389</v>
      </c>
      <c r="FP38" s="258" t="s">
        <v>899</v>
      </c>
      <c r="FQ38" s="258" t="s">
        <v>900</v>
      </c>
      <c r="FR38" s="259">
        <f t="shared" si="0"/>
        <v>0</v>
      </c>
      <c r="FS38" s="260" t="s">
        <v>421</v>
      </c>
      <c r="FT38" s="260"/>
    </row>
    <row r="39" spans="1:176">
      <c r="A39" s="251" t="s">
        <v>385</v>
      </c>
      <c r="B39" s="251" t="s">
        <v>411</v>
      </c>
      <c r="C39" s="251" t="s">
        <v>291</v>
      </c>
      <c r="D39" s="252" t="s">
        <v>904</v>
      </c>
      <c r="E39" s="251" t="s">
        <v>388</v>
      </c>
      <c r="F39" s="251" t="s">
        <v>1224</v>
      </c>
      <c r="G39" s="253"/>
      <c r="H39" s="253"/>
      <c r="I39" s="253"/>
      <c r="J39" s="253"/>
      <c r="K39" s="253"/>
      <c r="L39" s="253"/>
      <c r="M39" s="253"/>
      <c r="N39" s="253"/>
      <c r="O39" s="253"/>
      <c r="P39" s="253"/>
      <c r="Q39" s="253"/>
      <c r="R39" s="253"/>
      <c r="S39" s="253"/>
      <c r="T39" s="253"/>
      <c r="U39" s="253"/>
      <c r="V39" s="253"/>
      <c r="W39" s="253"/>
      <c r="X39" s="253"/>
      <c r="Y39" s="253"/>
      <c r="Z39" s="253"/>
      <c r="AA39" s="253"/>
      <c r="AB39" s="253"/>
      <c r="AC39" s="255">
        <f>300-300</f>
        <v>0</v>
      </c>
      <c r="AD39" s="253"/>
      <c r="AE39" s="253"/>
      <c r="AF39" s="253"/>
      <c r="AG39" s="253"/>
      <c r="AH39" s="253"/>
      <c r="AI39" s="253"/>
      <c r="AJ39" s="253"/>
      <c r="AK39" s="253"/>
      <c r="AL39" s="253"/>
      <c r="AM39" s="253"/>
      <c r="AN39" s="253"/>
      <c r="AO39" s="253"/>
      <c r="AP39" s="253"/>
      <c r="AQ39" s="253"/>
      <c r="AR39" s="253"/>
      <c r="AS39" s="253"/>
      <c r="AT39" s="253"/>
      <c r="AU39" s="253"/>
      <c r="AV39" s="253"/>
      <c r="AW39" s="253"/>
      <c r="AX39" s="253"/>
      <c r="AY39" s="253"/>
      <c r="AZ39" s="253"/>
      <c r="BA39" s="253"/>
      <c r="BB39" s="253"/>
      <c r="BC39" s="255">
        <f>500-500</f>
        <v>0</v>
      </c>
      <c r="BD39" s="253"/>
      <c r="BE39" s="253"/>
      <c r="BF39" s="253"/>
      <c r="BG39" s="253"/>
      <c r="BH39" s="253"/>
      <c r="BI39" s="253"/>
      <c r="BJ39" s="253"/>
      <c r="BK39" s="253"/>
      <c r="BL39" s="253"/>
      <c r="BM39" s="253"/>
      <c r="BN39" s="253"/>
      <c r="BO39" s="253"/>
      <c r="BP39" s="253"/>
      <c r="BQ39" s="253"/>
      <c r="BR39" s="253"/>
      <c r="BS39" s="253"/>
      <c r="BT39" s="253"/>
      <c r="BU39" s="253"/>
      <c r="BV39" s="253"/>
      <c r="BW39" s="253"/>
      <c r="BX39" s="253"/>
      <c r="BY39" s="253"/>
      <c r="BZ39" s="253"/>
      <c r="CA39" s="253"/>
      <c r="CB39" s="253"/>
      <c r="CC39" s="253"/>
      <c r="CD39" s="253"/>
      <c r="CE39" s="253"/>
      <c r="CF39" s="253"/>
      <c r="CG39" s="253"/>
      <c r="CH39" s="253"/>
      <c r="CI39" s="253"/>
      <c r="CJ39" s="253"/>
      <c r="CK39" s="253"/>
      <c r="CL39" s="253"/>
      <c r="CM39" s="253"/>
      <c r="CN39" s="253"/>
      <c r="CO39" s="253"/>
      <c r="CP39" s="253"/>
      <c r="CQ39" s="253"/>
      <c r="CR39" s="253"/>
      <c r="CS39" s="253"/>
      <c r="CT39" s="253"/>
      <c r="CU39" s="253"/>
      <c r="CV39" s="253"/>
      <c r="CW39" s="253"/>
      <c r="CX39" s="253"/>
      <c r="CY39" s="253"/>
      <c r="CZ39" s="253"/>
      <c r="DA39" s="253"/>
      <c r="DB39" s="253"/>
      <c r="DC39" s="253"/>
      <c r="DD39" s="253"/>
      <c r="DE39" s="253"/>
      <c r="DF39" s="253"/>
      <c r="DG39" s="253"/>
      <c r="DH39" s="253"/>
      <c r="DI39" s="253"/>
      <c r="DJ39" s="253"/>
      <c r="DK39" s="253"/>
      <c r="DL39" s="253"/>
      <c r="DM39" s="253"/>
      <c r="DN39" s="253"/>
      <c r="DO39" s="253"/>
      <c r="DP39" s="253"/>
      <c r="DQ39" s="253"/>
      <c r="DR39" s="253"/>
      <c r="DS39" s="253"/>
      <c r="DT39" s="253"/>
      <c r="DU39" s="253"/>
      <c r="DV39" s="253"/>
      <c r="DW39" s="253"/>
      <c r="DX39" s="253"/>
      <c r="DY39" s="253"/>
      <c r="DZ39" s="253"/>
      <c r="EA39" s="253"/>
      <c r="EB39" s="253"/>
      <c r="EC39" s="253"/>
      <c r="ED39" s="253"/>
      <c r="EE39" s="253"/>
      <c r="EF39" s="253"/>
      <c r="EG39" s="253"/>
      <c r="EH39" s="253"/>
      <c r="EI39" s="253"/>
      <c r="EJ39" s="253"/>
      <c r="EK39" s="253"/>
      <c r="EL39" s="253"/>
      <c r="EM39" s="253"/>
      <c r="EN39" s="253"/>
      <c r="EO39" s="253"/>
      <c r="EP39" s="253"/>
      <c r="EQ39" s="253"/>
      <c r="ER39" s="253"/>
      <c r="ES39" s="253"/>
      <c r="ET39" s="253"/>
      <c r="EU39" s="253"/>
      <c r="EV39" s="253"/>
      <c r="EW39" s="253"/>
      <c r="EX39" s="253"/>
      <c r="EY39" s="253"/>
      <c r="EZ39" s="253"/>
      <c r="FA39" s="253"/>
      <c r="FB39" s="253"/>
      <c r="FC39" s="253"/>
      <c r="FD39" s="253"/>
      <c r="FE39" s="253"/>
      <c r="FF39" s="253"/>
      <c r="FG39" s="253"/>
      <c r="FH39" s="253"/>
      <c r="FI39" s="253"/>
      <c r="FJ39" s="253"/>
      <c r="FK39" s="253"/>
      <c r="FL39" s="253"/>
      <c r="FM39" s="262"/>
      <c r="FN39" s="257" t="s">
        <v>1216</v>
      </c>
      <c r="FO39" s="258" t="s">
        <v>389</v>
      </c>
      <c r="FP39" s="258" t="s">
        <v>906</v>
      </c>
      <c r="FQ39" s="258" t="s">
        <v>420</v>
      </c>
      <c r="FR39" s="259">
        <f t="shared" si="0"/>
        <v>0</v>
      </c>
      <c r="FS39" s="260" t="s">
        <v>421</v>
      </c>
      <c r="FT39" s="260"/>
    </row>
    <row r="40" spans="1:176">
      <c r="A40" s="251" t="s">
        <v>385</v>
      </c>
      <c r="B40" s="251" t="s">
        <v>411</v>
      </c>
      <c r="C40" s="251" t="s">
        <v>1</v>
      </c>
      <c r="D40" s="252" t="s">
        <v>904</v>
      </c>
      <c r="E40" s="251" t="s">
        <v>388</v>
      </c>
      <c r="F40" s="251" t="s">
        <v>1224</v>
      </c>
      <c r="G40" s="253"/>
      <c r="H40" s="253"/>
      <c r="I40" s="253"/>
      <c r="J40" s="253"/>
      <c r="K40" s="253"/>
      <c r="L40" s="253"/>
      <c r="M40" s="253"/>
      <c r="N40" s="253"/>
      <c r="O40" s="253"/>
      <c r="P40" s="253"/>
      <c r="Q40" s="253"/>
      <c r="R40" s="253"/>
      <c r="S40" s="253"/>
      <c r="T40" s="253"/>
      <c r="U40" s="253"/>
      <c r="V40" s="253"/>
      <c r="W40" s="253"/>
      <c r="X40" s="253"/>
      <c r="Y40" s="253"/>
      <c r="Z40" s="253"/>
      <c r="AA40" s="255">
        <f>200-200</f>
        <v>0</v>
      </c>
      <c r="AB40" s="253"/>
      <c r="AC40" s="253"/>
      <c r="AD40" s="253"/>
      <c r="AE40" s="253"/>
      <c r="AF40" s="253"/>
      <c r="AG40" s="253"/>
      <c r="AH40" s="253"/>
      <c r="AI40" s="253"/>
      <c r="AJ40" s="253"/>
      <c r="AK40" s="253"/>
      <c r="AL40" s="253"/>
      <c r="AM40" s="255">
        <f>300-300</f>
        <v>0</v>
      </c>
      <c r="AN40" s="253"/>
      <c r="AO40" s="253"/>
      <c r="AP40" s="253"/>
      <c r="AQ40" s="253"/>
      <c r="AR40" s="253"/>
      <c r="AS40" s="255">
        <f>300-300</f>
        <v>0</v>
      </c>
      <c r="AT40" s="253"/>
      <c r="AU40" s="253"/>
      <c r="AV40" s="253"/>
      <c r="AW40" s="253"/>
      <c r="AX40" s="253"/>
      <c r="AY40" s="255">
        <f>500-500</f>
        <v>0</v>
      </c>
      <c r="AZ40" s="253"/>
      <c r="BA40" s="253"/>
      <c r="BB40" s="253"/>
      <c r="BC40" s="253"/>
      <c r="BD40" s="253"/>
      <c r="BE40" s="253"/>
      <c r="BF40" s="253"/>
      <c r="BG40" s="253"/>
      <c r="BH40" s="253"/>
      <c r="BI40" s="253"/>
      <c r="BJ40" s="253"/>
      <c r="BK40" s="253"/>
      <c r="BL40" s="253"/>
      <c r="BM40" s="253"/>
      <c r="BN40" s="253"/>
      <c r="BO40" s="253"/>
      <c r="BP40" s="253"/>
      <c r="BQ40" s="253"/>
      <c r="BR40" s="253"/>
      <c r="BS40" s="253"/>
      <c r="BT40" s="253"/>
      <c r="BU40" s="253"/>
      <c r="BV40" s="253"/>
      <c r="BW40" s="253"/>
      <c r="BX40" s="253"/>
      <c r="BY40" s="253"/>
      <c r="BZ40" s="253"/>
      <c r="CA40" s="253"/>
      <c r="CB40" s="253"/>
      <c r="CC40" s="253"/>
      <c r="CD40" s="253"/>
      <c r="CE40" s="253"/>
      <c r="CF40" s="253"/>
      <c r="CG40" s="253"/>
      <c r="CH40" s="253"/>
      <c r="CI40" s="253"/>
      <c r="CJ40" s="253"/>
      <c r="CK40" s="253"/>
      <c r="CL40" s="253"/>
      <c r="CM40" s="253"/>
      <c r="CN40" s="253"/>
      <c r="CO40" s="253"/>
      <c r="CP40" s="253"/>
      <c r="CQ40" s="253"/>
      <c r="CR40" s="253"/>
      <c r="CS40" s="253"/>
      <c r="CT40" s="253"/>
      <c r="CU40" s="253"/>
      <c r="CV40" s="253"/>
      <c r="CW40" s="253"/>
      <c r="CX40" s="253"/>
      <c r="CY40" s="253"/>
      <c r="CZ40" s="253"/>
      <c r="DA40" s="253"/>
      <c r="DB40" s="253"/>
      <c r="DC40" s="253"/>
      <c r="DD40" s="253"/>
      <c r="DE40" s="253"/>
      <c r="DF40" s="253"/>
      <c r="DG40" s="253"/>
      <c r="DH40" s="253"/>
      <c r="DI40" s="253"/>
      <c r="DJ40" s="253"/>
      <c r="DK40" s="253"/>
      <c r="DL40" s="253"/>
      <c r="DM40" s="253"/>
      <c r="DN40" s="253"/>
      <c r="DO40" s="253"/>
      <c r="DP40" s="253"/>
      <c r="DQ40" s="253"/>
      <c r="DR40" s="253"/>
      <c r="DS40" s="253"/>
      <c r="DT40" s="253"/>
      <c r="DU40" s="253"/>
      <c r="DV40" s="253"/>
      <c r="DW40" s="253"/>
      <c r="DX40" s="253"/>
      <c r="DY40" s="253"/>
      <c r="DZ40" s="253"/>
      <c r="EA40" s="253"/>
      <c r="EB40" s="253"/>
      <c r="EC40" s="253"/>
      <c r="ED40" s="253"/>
      <c r="EE40" s="253"/>
      <c r="EF40" s="253"/>
      <c r="EG40" s="253"/>
      <c r="EH40" s="253"/>
      <c r="EI40" s="253"/>
      <c r="EJ40" s="253"/>
      <c r="EK40" s="253"/>
      <c r="EL40" s="253"/>
      <c r="EM40" s="253"/>
      <c r="EN40" s="253"/>
      <c r="EO40" s="253"/>
      <c r="EP40" s="253"/>
      <c r="EQ40" s="253"/>
      <c r="ER40" s="253"/>
      <c r="ES40" s="253"/>
      <c r="ET40" s="253"/>
      <c r="EU40" s="253"/>
      <c r="EV40" s="253"/>
      <c r="EW40" s="253"/>
      <c r="EX40" s="253"/>
      <c r="EY40" s="253"/>
      <c r="EZ40" s="253"/>
      <c r="FA40" s="253"/>
      <c r="FB40" s="253"/>
      <c r="FC40" s="253"/>
      <c r="FD40" s="253"/>
      <c r="FE40" s="253"/>
      <c r="FF40" s="253"/>
      <c r="FG40" s="253"/>
      <c r="FH40" s="253"/>
      <c r="FI40" s="253"/>
      <c r="FJ40" s="253"/>
      <c r="FK40" s="253"/>
      <c r="FL40" s="253"/>
      <c r="FM40" s="262"/>
      <c r="FN40" s="257" t="s">
        <v>1216</v>
      </c>
      <c r="FO40" s="258" t="s">
        <v>389</v>
      </c>
      <c r="FP40" s="258" t="s">
        <v>906</v>
      </c>
      <c r="FQ40" s="258" t="s">
        <v>420</v>
      </c>
      <c r="FR40" s="259">
        <f t="shared" si="0"/>
        <v>0</v>
      </c>
      <c r="FS40" s="260" t="s">
        <v>421</v>
      </c>
      <c r="FT40" s="260"/>
    </row>
    <row r="41" spans="1:176">
      <c r="A41" s="251" t="s">
        <v>385</v>
      </c>
      <c r="B41" s="251" t="s">
        <v>411</v>
      </c>
      <c r="C41" s="251" t="s">
        <v>291</v>
      </c>
      <c r="D41" s="252" t="s">
        <v>422</v>
      </c>
      <c r="E41" s="251" t="s">
        <v>388</v>
      </c>
      <c r="F41" s="251"/>
      <c r="G41" s="253"/>
      <c r="H41" s="255">
        <f>200-200</f>
        <v>0</v>
      </c>
      <c r="I41" s="253"/>
      <c r="J41" s="255">
        <f>500-500</f>
        <v>0</v>
      </c>
      <c r="K41" s="253"/>
      <c r="L41" s="253"/>
      <c r="M41" s="255">
        <f>560-560</f>
        <v>0</v>
      </c>
      <c r="N41" s="255">
        <f>860-860</f>
        <v>0</v>
      </c>
      <c r="O41" s="253"/>
      <c r="P41" s="255">
        <f>2000-2000</f>
        <v>0</v>
      </c>
      <c r="Q41" s="253"/>
      <c r="R41" s="253"/>
      <c r="S41" s="255">
        <f>2000-2000</f>
        <v>0</v>
      </c>
      <c r="T41" s="253"/>
      <c r="U41" s="253"/>
      <c r="V41" s="253"/>
      <c r="W41" s="253"/>
      <c r="X41" s="253"/>
      <c r="Y41" s="253"/>
      <c r="Z41" s="253"/>
      <c r="AA41" s="253"/>
      <c r="AB41" s="255">
        <f>2000-2000</f>
        <v>0</v>
      </c>
      <c r="AC41" s="255">
        <f>1960-1960</f>
        <v>0</v>
      </c>
      <c r="AD41" s="253"/>
      <c r="AE41" s="255">
        <f>2000-2000</f>
        <v>0</v>
      </c>
      <c r="AF41" s="255">
        <f>1990-1990</f>
        <v>0</v>
      </c>
      <c r="AG41" s="253"/>
      <c r="AH41" s="253"/>
      <c r="AI41" s="253"/>
      <c r="AJ41" s="253"/>
      <c r="AK41" s="255">
        <f>1880-1880</f>
        <v>0</v>
      </c>
      <c r="AL41" s="253"/>
      <c r="AM41" s="253"/>
      <c r="AN41" s="253"/>
      <c r="AO41" s="255">
        <f>2000-2000</f>
        <v>0</v>
      </c>
      <c r="AP41" s="253"/>
      <c r="AQ41" s="253"/>
      <c r="AR41" s="253"/>
      <c r="AS41" s="253"/>
      <c r="AT41" s="253"/>
      <c r="AU41" s="253"/>
      <c r="AV41" s="253"/>
      <c r="AW41" s="255">
        <f>2000-2000</f>
        <v>0</v>
      </c>
      <c r="AX41" s="253"/>
      <c r="AY41" s="253"/>
      <c r="AZ41" s="253"/>
      <c r="BA41" s="253"/>
      <c r="BB41" s="253"/>
      <c r="BC41" s="255">
        <f>500-500</f>
        <v>0</v>
      </c>
      <c r="BD41" s="253"/>
      <c r="BE41" s="253"/>
      <c r="BF41" s="253"/>
      <c r="BG41" s="253"/>
      <c r="BH41" s="253"/>
      <c r="BI41" s="253"/>
      <c r="BJ41" s="253"/>
      <c r="BK41" s="253"/>
      <c r="BL41" s="253"/>
      <c r="BM41" s="253"/>
      <c r="BN41" s="253"/>
      <c r="BO41" s="253"/>
      <c r="BP41" s="253"/>
      <c r="BQ41" s="253"/>
      <c r="BR41" s="253"/>
      <c r="BS41" s="253"/>
      <c r="BT41" s="253"/>
      <c r="BU41" s="253"/>
      <c r="BV41" s="253"/>
      <c r="BW41" s="253"/>
      <c r="BX41" s="253"/>
      <c r="BY41" s="253"/>
      <c r="BZ41" s="253"/>
      <c r="CA41" s="253"/>
      <c r="CB41" s="253"/>
      <c r="CC41" s="253"/>
      <c r="CD41" s="253"/>
      <c r="CE41" s="253"/>
      <c r="CF41" s="253"/>
      <c r="CG41" s="253"/>
      <c r="CH41" s="253"/>
      <c r="CI41" s="253"/>
      <c r="CJ41" s="253"/>
      <c r="CK41" s="253"/>
      <c r="CL41" s="253"/>
      <c r="CM41" s="253"/>
      <c r="CN41" s="253"/>
      <c r="CO41" s="253"/>
      <c r="CP41" s="253"/>
      <c r="CQ41" s="253"/>
      <c r="CR41" s="253"/>
      <c r="CS41" s="253"/>
      <c r="CT41" s="253"/>
      <c r="CU41" s="253"/>
      <c r="CV41" s="253"/>
      <c r="CW41" s="253"/>
      <c r="CX41" s="253"/>
      <c r="CY41" s="253"/>
      <c r="CZ41" s="253"/>
      <c r="DA41" s="253"/>
      <c r="DB41" s="253"/>
      <c r="DC41" s="253"/>
      <c r="DD41" s="253"/>
      <c r="DE41" s="253"/>
      <c r="DF41" s="253"/>
      <c r="DG41" s="253"/>
      <c r="DH41" s="253"/>
      <c r="DI41" s="253"/>
      <c r="DJ41" s="253"/>
      <c r="DK41" s="253"/>
      <c r="DL41" s="253"/>
      <c r="DM41" s="253"/>
      <c r="DN41" s="253"/>
      <c r="DO41" s="253"/>
      <c r="DP41" s="253"/>
      <c r="DQ41" s="253"/>
      <c r="DR41" s="253"/>
      <c r="DS41" s="253"/>
      <c r="DT41" s="253"/>
      <c r="DU41" s="253"/>
      <c r="DV41" s="253"/>
      <c r="DW41" s="253"/>
      <c r="DX41" s="253"/>
      <c r="DY41" s="253"/>
      <c r="DZ41" s="253"/>
      <c r="EA41" s="253"/>
      <c r="EB41" s="253"/>
      <c r="EC41" s="253"/>
      <c r="ED41" s="253"/>
      <c r="EE41" s="253"/>
      <c r="EF41" s="253"/>
      <c r="EG41" s="253"/>
      <c r="EH41" s="253"/>
      <c r="EI41" s="253"/>
      <c r="EJ41" s="253"/>
      <c r="EK41" s="253"/>
      <c r="EL41" s="253"/>
      <c r="EM41" s="253"/>
      <c r="EN41" s="253"/>
      <c r="EO41" s="253"/>
      <c r="EP41" s="253"/>
      <c r="EQ41" s="253"/>
      <c r="ER41" s="253"/>
      <c r="ES41" s="253"/>
      <c r="ET41" s="253"/>
      <c r="EU41" s="253"/>
      <c r="EV41" s="253"/>
      <c r="EW41" s="253"/>
      <c r="EX41" s="253"/>
      <c r="EY41" s="253"/>
      <c r="EZ41" s="253"/>
      <c r="FA41" s="253"/>
      <c r="FB41" s="253"/>
      <c r="FC41" s="253"/>
      <c r="FD41" s="253"/>
      <c r="FE41" s="253"/>
      <c r="FF41" s="253"/>
      <c r="FG41" s="253"/>
      <c r="FH41" s="253"/>
      <c r="FI41" s="253"/>
      <c r="FJ41" s="253"/>
      <c r="FK41" s="253"/>
      <c r="FL41" s="253"/>
      <c r="FM41" s="262"/>
      <c r="FN41" s="257" t="s">
        <v>1216</v>
      </c>
      <c r="FO41" s="258" t="s">
        <v>389</v>
      </c>
      <c r="FP41" s="258"/>
      <c r="FQ41" s="258" t="s">
        <v>423</v>
      </c>
      <c r="FR41" s="259">
        <f t="shared" si="0"/>
        <v>0</v>
      </c>
      <c r="FS41" s="260" t="s">
        <v>424</v>
      </c>
      <c r="FT41" s="260"/>
    </row>
    <row r="42" spans="1:176">
      <c r="A42" s="251" t="s">
        <v>385</v>
      </c>
      <c r="B42" s="251" t="s">
        <v>411</v>
      </c>
      <c r="C42" s="251" t="s">
        <v>1</v>
      </c>
      <c r="D42" s="252" t="s">
        <v>422</v>
      </c>
      <c r="E42" s="251" t="s">
        <v>388</v>
      </c>
      <c r="F42" s="251"/>
      <c r="G42" s="253"/>
      <c r="H42" s="253"/>
      <c r="I42" s="253"/>
      <c r="J42" s="253"/>
      <c r="K42" s="253"/>
      <c r="L42" s="253"/>
      <c r="M42" s="253"/>
      <c r="N42" s="253"/>
      <c r="O42" s="255">
        <f>300-300</f>
        <v>0</v>
      </c>
      <c r="P42" s="253"/>
      <c r="Q42" s="253"/>
      <c r="R42" s="255">
        <f>2000-2000</f>
        <v>0</v>
      </c>
      <c r="S42" s="253"/>
      <c r="T42" s="255">
        <f>1940-1940</f>
        <v>0</v>
      </c>
      <c r="U42" s="255">
        <f>2000-2000</f>
        <v>0</v>
      </c>
      <c r="V42" s="255">
        <f>2000-2000</f>
        <v>0</v>
      </c>
      <c r="W42" s="255">
        <f>1980-1980</f>
        <v>0</v>
      </c>
      <c r="X42" s="255">
        <f>2000-2000</f>
        <v>0</v>
      </c>
      <c r="Y42" s="253"/>
      <c r="Z42" s="255">
        <f>1990-1990</f>
        <v>0</v>
      </c>
      <c r="AA42" s="255">
        <f>1980-1980</f>
        <v>0</v>
      </c>
      <c r="AB42" s="253"/>
      <c r="AC42" s="253"/>
      <c r="AD42" s="255">
        <f>2000-2000</f>
        <v>0</v>
      </c>
      <c r="AE42" s="253"/>
      <c r="AF42" s="253"/>
      <c r="AG42" s="255">
        <f>2000-2000</f>
        <v>0</v>
      </c>
      <c r="AH42" s="255">
        <f>2000-2000</f>
        <v>0</v>
      </c>
      <c r="AI42" s="253"/>
      <c r="AJ42" s="255">
        <f>2000-2000</f>
        <v>0</v>
      </c>
      <c r="AK42" s="253"/>
      <c r="AL42" s="253"/>
      <c r="AM42" s="255">
        <f>1840-1840</f>
        <v>0</v>
      </c>
      <c r="AN42" s="253"/>
      <c r="AO42" s="253"/>
      <c r="AP42" s="253"/>
      <c r="AQ42" s="255">
        <f>1980-1980</f>
        <v>0</v>
      </c>
      <c r="AR42" s="255">
        <f>2000-2000</f>
        <v>0</v>
      </c>
      <c r="AS42" s="255">
        <f>1890-1890</f>
        <v>0</v>
      </c>
      <c r="AT42" s="253"/>
      <c r="AU42" s="253"/>
      <c r="AV42" s="255">
        <f>2000-2000</f>
        <v>0</v>
      </c>
      <c r="AW42" s="253"/>
      <c r="AX42" s="253"/>
      <c r="AY42" s="255">
        <f>460-460</f>
        <v>0</v>
      </c>
      <c r="AZ42" s="253"/>
      <c r="BA42" s="253"/>
      <c r="BB42" s="253"/>
      <c r="BC42" s="253"/>
      <c r="BD42" s="255">
        <f>500-500</f>
        <v>0</v>
      </c>
      <c r="BE42" s="253"/>
      <c r="BF42" s="253"/>
      <c r="BG42" s="253"/>
      <c r="BH42" s="253"/>
      <c r="BI42" s="253"/>
      <c r="BJ42" s="253"/>
      <c r="BK42" s="255">
        <f>1970-1970</f>
        <v>0</v>
      </c>
      <c r="BL42" s="255">
        <f>1987-1987</f>
        <v>0</v>
      </c>
      <c r="BM42" s="255">
        <f>1950-1950</f>
        <v>0</v>
      </c>
      <c r="BN42" s="255">
        <f>1660-1660</f>
        <v>0</v>
      </c>
      <c r="BO42" s="255">
        <f>1920-1920</f>
        <v>0</v>
      </c>
      <c r="BP42" s="255">
        <f>2000-2000</f>
        <v>0</v>
      </c>
      <c r="BQ42" s="255">
        <f>2000-2000</f>
        <v>0</v>
      </c>
      <c r="BR42" s="255">
        <f>1995-1995</f>
        <v>0</v>
      </c>
      <c r="BS42" s="255">
        <f>1980-1980</f>
        <v>0</v>
      </c>
      <c r="BT42" s="253"/>
      <c r="BU42" s="255">
        <f>1996-1996</f>
        <v>0</v>
      </c>
      <c r="BV42" s="255">
        <f>2000-2000</f>
        <v>0</v>
      </c>
      <c r="BW42" s="255">
        <f>2000-2000</f>
        <v>0</v>
      </c>
      <c r="BX42" s="255">
        <f>2000-2000</f>
        <v>0</v>
      </c>
      <c r="BY42" s="255">
        <f>980-980</f>
        <v>0</v>
      </c>
      <c r="BZ42" s="255">
        <f>1000-1000</f>
        <v>0</v>
      </c>
      <c r="CA42" s="255">
        <f>1000-1000</f>
        <v>0</v>
      </c>
      <c r="CB42" s="255">
        <f>850-850</f>
        <v>0</v>
      </c>
      <c r="CC42" s="255">
        <f>1000-1000</f>
        <v>0</v>
      </c>
      <c r="CD42" s="255">
        <f>200-200</f>
        <v>0</v>
      </c>
      <c r="CE42" s="253"/>
      <c r="CF42" s="253"/>
      <c r="CG42" s="255">
        <f>195-195</f>
        <v>0</v>
      </c>
      <c r="CH42" s="255">
        <f>200-200</f>
        <v>0</v>
      </c>
      <c r="CI42" s="255">
        <f>200-200</f>
        <v>0</v>
      </c>
      <c r="CJ42" s="255">
        <f>130-130</f>
        <v>0</v>
      </c>
      <c r="CK42" s="255">
        <f>200-200</f>
        <v>0</v>
      </c>
      <c r="CL42" s="253"/>
      <c r="CM42" s="253"/>
      <c r="CN42" s="253"/>
      <c r="CO42" s="253"/>
      <c r="CP42" s="253"/>
      <c r="CQ42" s="253"/>
      <c r="CR42" s="253"/>
      <c r="CS42" s="255">
        <f>30-30</f>
        <v>0</v>
      </c>
      <c r="CT42" s="255">
        <f>170-170</f>
        <v>0</v>
      </c>
      <c r="CU42" s="253"/>
      <c r="CV42" s="253"/>
      <c r="CW42" s="255">
        <f>50-50</f>
        <v>0</v>
      </c>
      <c r="CX42" s="255">
        <f>46-46</f>
        <v>0</v>
      </c>
      <c r="CY42" s="255">
        <f>45-45</f>
        <v>0</v>
      </c>
      <c r="CZ42" s="255">
        <f>15-15</f>
        <v>0</v>
      </c>
      <c r="DA42" s="255">
        <f>50-50</f>
        <v>0</v>
      </c>
      <c r="DB42" s="255">
        <f>50-50</f>
        <v>0</v>
      </c>
      <c r="DC42" s="255">
        <f>50-50</f>
        <v>0</v>
      </c>
      <c r="DD42" s="253"/>
      <c r="DE42" s="253"/>
      <c r="DF42" s="253"/>
      <c r="DG42" s="253"/>
      <c r="DH42" s="253"/>
      <c r="DI42" s="253"/>
      <c r="DJ42" s="253"/>
      <c r="DK42" s="253"/>
      <c r="DL42" s="255">
        <f>50-50</f>
        <v>0</v>
      </c>
      <c r="DM42" s="253"/>
      <c r="DN42" s="253"/>
      <c r="DO42" s="253"/>
      <c r="DP42" s="253"/>
      <c r="DQ42" s="253"/>
      <c r="DR42" s="253"/>
      <c r="DS42" s="253"/>
      <c r="DT42" s="253"/>
      <c r="DU42" s="253"/>
      <c r="DV42" s="253"/>
      <c r="DW42" s="253"/>
      <c r="DX42" s="253"/>
      <c r="DY42" s="253"/>
      <c r="DZ42" s="253"/>
      <c r="EA42" s="253"/>
      <c r="EB42" s="253"/>
      <c r="EC42" s="253"/>
      <c r="ED42" s="255">
        <f>1000-1000</f>
        <v>0</v>
      </c>
      <c r="EE42" s="255">
        <f>1000-1000</f>
        <v>0</v>
      </c>
      <c r="EF42" s="253"/>
      <c r="EG42" s="253"/>
      <c r="EH42" s="255">
        <f>1000-1000</f>
        <v>0</v>
      </c>
      <c r="EI42" s="255">
        <f>990-990</f>
        <v>0</v>
      </c>
      <c r="EJ42" s="255">
        <f>1000-1000</f>
        <v>0</v>
      </c>
      <c r="EK42" s="255">
        <f>1000-1000</f>
        <v>0</v>
      </c>
      <c r="EL42" s="255">
        <f>1000-1000</f>
        <v>0</v>
      </c>
      <c r="EM42" s="253"/>
      <c r="EN42" s="253"/>
      <c r="EO42" s="255">
        <f>1000-1000</f>
        <v>0</v>
      </c>
      <c r="EP42" s="255">
        <f>1000-1000</f>
        <v>0</v>
      </c>
      <c r="EQ42" s="255">
        <f>1000-1000</f>
        <v>0</v>
      </c>
      <c r="ER42" s="255">
        <f>970-970</f>
        <v>0</v>
      </c>
      <c r="ES42" s="253"/>
      <c r="ET42" s="255">
        <f>970-970</f>
        <v>0</v>
      </c>
      <c r="EU42" s="255">
        <f>930-930</f>
        <v>0</v>
      </c>
      <c r="EV42" s="255">
        <f>295-295</f>
        <v>0</v>
      </c>
      <c r="EW42" s="253"/>
      <c r="EX42" s="255">
        <f>290-290</f>
        <v>0</v>
      </c>
      <c r="EY42" s="255">
        <f>300-300</f>
        <v>0</v>
      </c>
      <c r="EZ42" s="255">
        <f>300-300</f>
        <v>0</v>
      </c>
      <c r="FA42" s="253"/>
      <c r="FB42" s="255">
        <f>300-300</f>
        <v>0</v>
      </c>
      <c r="FC42" s="255">
        <f>46-46</f>
        <v>0</v>
      </c>
      <c r="FD42" s="255">
        <f>15-15</f>
        <v>0</v>
      </c>
      <c r="FE42" s="253"/>
      <c r="FF42" s="255">
        <f>50-50</f>
        <v>0</v>
      </c>
      <c r="FG42" s="253"/>
      <c r="FH42" s="253"/>
      <c r="FI42" s="255">
        <f>3000-3000</f>
        <v>0</v>
      </c>
      <c r="FJ42" s="255">
        <f>3000-3000</f>
        <v>0</v>
      </c>
      <c r="FK42" s="253"/>
      <c r="FL42" s="253"/>
      <c r="FM42" s="262"/>
      <c r="FN42" s="257" t="s">
        <v>1216</v>
      </c>
      <c r="FO42" s="258" t="s">
        <v>389</v>
      </c>
      <c r="FP42" s="258"/>
      <c r="FQ42" s="258" t="s">
        <v>423</v>
      </c>
      <c r="FR42" s="259">
        <f t="shared" si="0"/>
        <v>0</v>
      </c>
      <c r="FS42" s="260" t="s">
        <v>424</v>
      </c>
      <c r="FT42" s="260"/>
    </row>
    <row r="43" spans="1:176">
      <c r="A43" s="251" t="s">
        <v>385</v>
      </c>
      <c r="B43" s="251" t="s">
        <v>411</v>
      </c>
      <c r="C43" s="251" t="s">
        <v>293</v>
      </c>
      <c r="D43" s="252" t="s">
        <v>422</v>
      </c>
      <c r="E43" s="251" t="s">
        <v>388</v>
      </c>
      <c r="F43" s="251"/>
      <c r="G43" s="253"/>
      <c r="H43" s="253"/>
      <c r="I43" s="253"/>
      <c r="J43" s="253"/>
      <c r="K43" s="253"/>
      <c r="L43" s="253"/>
      <c r="M43" s="253"/>
      <c r="N43" s="253"/>
      <c r="O43" s="253"/>
      <c r="P43" s="253"/>
      <c r="Q43" s="253"/>
      <c r="R43" s="253"/>
      <c r="S43" s="253"/>
      <c r="T43" s="253"/>
      <c r="U43" s="253"/>
      <c r="V43" s="253"/>
      <c r="W43" s="253"/>
      <c r="X43" s="253"/>
      <c r="Y43" s="253"/>
      <c r="Z43" s="253"/>
      <c r="AA43" s="253"/>
      <c r="AB43" s="253"/>
      <c r="AC43" s="253"/>
      <c r="AD43" s="253"/>
      <c r="AE43" s="253"/>
      <c r="AF43" s="253"/>
      <c r="AG43" s="253"/>
      <c r="AH43" s="253"/>
      <c r="AI43" s="253"/>
      <c r="AJ43" s="253"/>
      <c r="AK43" s="253"/>
      <c r="AL43" s="253"/>
      <c r="AM43" s="253"/>
      <c r="AN43" s="253"/>
      <c r="AO43" s="253"/>
      <c r="AP43" s="253"/>
      <c r="AQ43" s="253"/>
      <c r="AR43" s="253"/>
      <c r="AS43" s="253"/>
      <c r="AT43" s="253"/>
      <c r="AU43" s="253"/>
      <c r="AV43" s="253"/>
      <c r="AW43" s="253"/>
      <c r="AX43" s="253"/>
      <c r="AY43" s="253"/>
      <c r="AZ43" s="253"/>
      <c r="BA43" s="253"/>
      <c r="BB43" s="253"/>
      <c r="BC43" s="253"/>
      <c r="BD43" s="253"/>
      <c r="BE43" s="253"/>
      <c r="BF43" s="253"/>
      <c r="BG43" s="253"/>
      <c r="BH43" s="253"/>
      <c r="BI43" s="253"/>
      <c r="BJ43" s="253"/>
      <c r="BK43" s="253"/>
      <c r="BL43" s="253"/>
      <c r="BM43" s="253"/>
      <c r="BN43" s="253"/>
      <c r="BO43" s="253"/>
      <c r="BP43" s="253"/>
      <c r="BQ43" s="253"/>
      <c r="BR43" s="253"/>
      <c r="BS43" s="253"/>
      <c r="BT43" s="253"/>
      <c r="BU43" s="253"/>
      <c r="BV43" s="253"/>
      <c r="BW43" s="253"/>
      <c r="BX43" s="253"/>
      <c r="BY43" s="253"/>
      <c r="BZ43" s="253"/>
      <c r="CA43" s="253"/>
      <c r="CB43" s="253"/>
      <c r="CC43" s="253"/>
      <c r="CD43" s="253"/>
      <c r="CE43" s="255">
        <f>192-192</f>
        <v>0</v>
      </c>
      <c r="CF43" s="255">
        <f>200-200</f>
        <v>0</v>
      </c>
      <c r="CG43" s="253"/>
      <c r="CH43" s="253"/>
      <c r="CI43" s="253"/>
      <c r="CJ43" s="253"/>
      <c r="CK43" s="253"/>
      <c r="CL43" s="255">
        <f>198-198</f>
        <v>0</v>
      </c>
      <c r="CM43" s="253"/>
      <c r="CN43" s="253"/>
      <c r="CO43" s="253"/>
      <c r="CP43" s="253"/>
      <c r="CQ43" s="253"/>
      <c r="CR43" s="253"/>
      <c r="CS43" s="253"/>
      <c r="CT43" s="253"/>
      <c r="CU43" s="253"/>
      <c r="CV43" s="253"/>
      <c r="CW43" s="253"/>
      <c r="CX43" s="253"/>
      <c r="CY43" s="253"/>
      <c r="CZ43" s="253"/>
      <c r="DA43" s="253"/>
      <c r="DB43" s="253"/>
      <c r="DC43" s="253"/>
      <c r="DD43" s="255">
        <f>48-48</f>
        <v>0</v>
      </c>
      <c r="DE43" s="253"/>
      <c r="DF43" s="253"/>
      <c r="DG43" s="253"/>
      <c r="DH43" s="253"/>
      <c r="DI43" s="253"/>
      <c r="DJ43" s="253"/>
      <c r="DK43" s="253"/>
      <c r="DL43" s="253"/>
      <c r="DM43" s="253"/>
      <c r="DN43" s="253"/>
      <c r="DO43" s="253"/>
      <c r="DP43" s="253"/>
      <c r="DQ43" s="253"/>
      <c r="DR43" s="253"/>
      <c r="DS43" s="253"/>
      <c r="DT43" s="253"/>
      <c r="DU43" s="253"/>
      <c r="DV43" s="253"/>
      <c r="DW43" s="253"/>
      <c r="DX43" s="253"/>
      <c r="DY43" s="253"/>
      <c r="DZ43" s="253"/>
      <c r="EA43" s="253"/>
      <c r="EB43" s="253"/>
      <c r="EC43" s="253"/>
      <c r="ED43" s="253"/>
      <c r="EE43" s="253"/>
      <c r="EF43" s="253"/>
      <c r="EG43" s="253"/>
      <c r="EH43" s="253"/>
      <c r="EI43" s="253"/>
      <c r="EJ43" s="253"/>
      <c r="EK43" s="253"/>
      <c r="EL43" s="253"/>
      <c r="EM43" s="253"/>
      <c r="EN43" s="253"/>
      <c r="EO43" s="253"/>
      <c r="EP43" s="253"/>
      <c r="EQ43" s="253"/>
      <c r="ER43" s="253"/>
      <c r="ES43" s="255">
        <f>1000-1000</f>
        <v>0</v>
      </c>
      <c r="ET43" s="253"/>
      <c r="EU43" s="253"/>
      <c r="EV43" s="253"/>
      <c r="EW43" s="255">
        <f>300-300</f>
        <v>0</v>
      </c>
      <c r="EX43" s="253"/>
      <c r="EY43" s="253"/>
      <c r="EZ43" s="253"/>
      <c r="FA43" s="255">
        <f>300-300</f>
        <v>0</v>
      </c>
      <c r="FB43" s="253"/>
      <c r="FC43" s="253"/>
      <c r="FD43" s="253"/>
      <c r="FE43" s="255">
        <f>50-50</f>
        <v>0</v>
      </c>
      <c r="FF43" s="253"/>
      <c r="FG43" s="253"/>
      <c r="FH43" s="253"/>
      <c r="FI43" s="253"/>
      <c r="FJ43" s="253"/>
      <c r="FK43" s="253"/>
      <c r="FL43" s="253"/>
      <c r="FM43" s="262"/>
      <c r="FN43" s="257" t="s">
        <v>1216</v>
      </c>
      <c r="FO43" s="258" t="s">
        <v>389</v>
      </c>
      <c r="FP43" s="258"/>
      <c r="FQ43" s="258" t="s">
        <v>423</v>
      </c>
      <c r="FR43" s="259">
        <f t="shared" si="0"/>
        <v>0</v>
      </c>
      <c r="FS43" s="260" t="s">
        <v>424</v>
      </c>
      <c r="FT43" s="260"/>
    </row>
    <row r="44" spans="1:176">
      <c r="A44" s="251" t="s">
        <v>385</v>
      </c>
      <c r="B44" s="251" t="s">
        <v>411</v>
      </c>
      <c r="C44" s="251" t="s">
        <v>291</v>
      </c>
      <c r="D44" s="252" t="s">
        <v>203</v>
      </c>
      <c r="E44" s="251" t="s">
        <v>388</v>
      </c>
      <c r="F44" s="251" t="s">
        <v>1225</v>
      </c>
      <c r="G44" s="253"/>
      <c r="H44" s="255">
        <f>60-60</f>
        <v>0</v>
      </c>
      <c r="I44" s="253"/>
      <c r="J44" s="255">
        <f>60-60</f>
        <v>0</v>
      </c>
      <c r="K44" s="253"/>
      <c r="L44" s="253"/>
      <c r="M44" s="255">
        <f>200-200</f>
        <v>0</v>
      </c>
      <c r="N44" s="255">
        <f>200-200</f>
        <v>0</v>
      </c>
      <c r="O44" s="253"/>
      <c r="P44" s="253"/>
      <c r="Q44" s="253"/>
      <c r="R44" s="253"/>
      <c r="S44" s="253"/>
      <c r="T44" s="253"/>
      <c r="U44" s="253"/>
      <c r="V44" s="253"/>
      <c r="W44" s="253"/>
      <c r="X44" s="253"/>
      <c r="Y44" s="253"/>
      <c r="Z44" s="253"/>
      <c r="AA44" s="253"/>
      <c r="AB44" s="253"/>
      <c r="AC44" s="255">
        <f>200-200</f>
        <v>0</v>
      </c>
      <c r="AD44" s="253"/>
      <c r="AE44" s="255">
        <f>200-200</f>
        <v>0</v>
      </c>
      <c r="AF44" s="255">
        <f>200-200</f>
        <v>0</v>
      </c>
      <c r="AG44" s="253"/>
      <c r="AH44" s="253"/>
      <c r="AI44" s="253"/>
      <c r="AJ44" s="253"/>
      <c r="AK44" s="255">
        <f>200-200</f>
        <v>0</v>
      </c>
      <c r="AL44" s="253"/>
      <c r="AM44" s="253"/>
      <c r="AN44" s="253"/>
      <c r="AO44" s="253"/>
      <c r="AP44" s="253"/>
      <c r="AQ44" s="253"/>
      <c r="AR44" s="253"/>
      <c r="AS44" s="253"/>
      <c r="AT44" s="253"/>
      <c r="AU44" s="253"/>
      <c r="AV44" s="253"/>
      <c r="AW44" s="253"/>
      <c r="AX44" s="253"/>
      <c r="AY44" s="253"/>
      <c r="AZ44" s="253"/>
      <c r="BA44" s="253"/>
      <c r="BB44" s="253"/>
      <c r="BC44" s="255">
        <f>200-200</f>
        <v>0</v>
      </c>
      <c r="BD44" s="253"/>
      <c r="BE44" s="253"/>
      <c r="BF44" s="253"/>
      <c r="BG44" s="253"/>
      <c r="BH44" s="253"/>
      <c r="BI44" s="253"/>
      <c r="BJ44" s="253"/>
      <c r="BK44" s="253"/>
      <c r="BL44" s="253"/>
      <c r="BM44" s="253"/>
      <c r="BN44" s="253"/>
      <c r="BO44" s="253"/>
      <c r="BP44" s="253"/>
      <c r="BQ44" s="253"/>
      <c r="BR44" s="253"/>
      <c r="BS44" s="253"/>
      <c r="BT44" s="253"/>
      <c r="BU44" s="253"/>
      <c r="BV44" s="253"/>
      <c r="BW44" s="253"/>
      <c r="BX44" s="253"/>
      <c r="BY44" s="253"/>
      <c r="BZ44" s="253"/>
      <c r="CA44" s="253"/>
      <c r="CB44" s="253"/>
      <c r="CC44" s="253"/>
      <c r="CD44" s="253"/>
      <c r="CE44" s="253"/>
      <c r="CF44" s="253"/>
      <c r="CG44" s="253"/>
      <c r="CH44" s="253"/>
      <c r="CI44" s="253"/>
      <c r="CJ44" s="253"/>
      <c r="CK44" s="253"/>
      <c r="CL44" s="253"/>
      <c r="CM44" s="253"/>
      <c r="CN44" s="253"/>
      <c r="CO44" s="253"/>
      <c r="CP44" s="253"/>
      <c r="CQ44" s="253"/>
      <c r="CR44" s="253"/>
      <c r="CS44" s="253"/>
      <c r="CT44" s="253"/>
      <c r="CU44" s="253"/>
      <c r="CV44" s="253"/>
      <c r="CW44" s="253"/>
      <c r="CX44" s="253"/>
      <c r="CY44" s="253"/>
      <c r="CZ44" s="253"/>
      <c r="DA44" s="253"/>
      <c r="DB44" s="253"/>
      <c r="DC44" s="253"/>
      <c r="DD44" s="253"/>
      <c r="DE44" s="253"/>
      <c r="DF44" s="253"/>
      <c r="DG44" s="253"/>
      <c r="DH44" s="253"/>
      <c r="DI44" s="253"/>
      <c r="DJ44" s="253"/>
      <c r="DK44" s="253"/>
      <c r="DL44" s="253"/>
      <c r="DM44" s="253"/>
      <c r="DN44" s="253"/>
      <c r="DO44" s="253"/>
      <c r="DP44" s="253"/>
      <c r="DQ44" s="253"/>
      <c r="DR44" s="253"/>
      <c r="DS44" s="253"/>
      <c r="DT44" s="253"/>
      <c r="DU44" s="253"/>
      <c r="DV44" s="253"/>
      <c r="DW44" s="253"/>
      <c r="DX44" s="253"/>
      <c r="DY44" s="253"/>
      <c r="DZ44" s="253"/>
      <c r="EA44" s="253"/>
      <c r="EB44" s="253"/>
      <c r="EC44" s="253"/>
      <c r="ED44" s="253"/>
      <c r="EE44" s="253"/>
      <c r="EF44" s="253"/>
      <c r="EG44" s="253"/>
      <c r="EH44" s="253"/>
      <c r="EI44" s="253"/>
      <c r="EJ44" s="253"/>
      <c r="EK44" s="253"/>
      <c r="EL44" s="253"/>
      <c r="EM44" s="253"/>
      <c r="EN44" s="253"/>
      <c r="EO44" s="253"/>
      <c r="EP44" s="253"/>
      <c r="EQ44" s="253"/>
      <c r="ER44" s="253"/>
      <c r="ES44" s="253"/>
      <c r="ET44" s="253"/>
      <c r="EU44" s="253"/>
      <c r="EV44" s="253"/>
      <c r="EW44" s="253"/>
      <c r="EX44" s="253"/>
      <c r="EY44" s="253"/>
      <c r="EZ44" s="253"/>
      <c r="FA44" s="253"/>
      <c r="FB44" s="253"/>
      <c r="FC44" s="253"/>
      <c r="FD44" s="253"/>
      <c r="FE44" s="253"/>
      <c r="FF44" s="253"/>
      <c r="FG44" s="253"/>
      <c r="FH44" s="253"/>
      <c r="FI44" s="253"/>
      <c r="FJ44" s="253"/>
      <c r="FK44" s="253"/>
      <c r="FL44" s="253"/>
      <c r="FM44" s="262"/>
      <c r="FN44" s="257" t="s">
        <v>1216</v>
      </c>
      <c r="FO44" s="258" t="s">
        <v>389</v>
      </c>
      <c r="FP44" s="258" t="s">
        <v>839</v>
      </c>
      <c r="FQ44" s="258" t="s">
        <v>426</v>
      </c>
      <c r="FR44" s="259">
        <f t="shared" si="0"/>
        <v>0</v>
      </c>
      <c r="FS44" s="260" t="s">
        <v>433</v>
      </c>
      <c r="FT44" s="260"/>
    </row>
    <row r="45" spans="1:176">
      <c r="A45" s="251" t="s">
        <v>385</v>
      </c>
      <c r="B45" s="251" t="s">
        <v>411</v>
      </c>
      <c r="C45" s="251" t="s">
        <v>1</v>
      </c>
      <c r="D45" s="252" t="s">
        <v>203</v>
      </c>
      <c r="E45" s="251" t="s">
        <v>388</v>
      </c>
      <c r="F45" s="251" t="s">
        <v>1225</v>
      </c>
      <c r="G45" s="253"/>
      <c r="H45" s="253"/>
      <c r="I45" s="253"/>
      <c r="J45" s="253"/>
      <c r="K45" s="253"/>
      <c r="L45" s="253"/>
      <c r="M45" s="253"/>
      <c r="N45" s="253"/>
      <c r="O45" s="255">
        <f>300-300</f>
        <v>0</v>
      </c>
      <c r="P45" s="253"/>
      <c r="Q45" s="253"/>
      <c r="R45" s="253"/>
      <c r="S45" s="253"/>
      <c r="T45" s="253"/>
      <c r="U45" s="253"/>
      <c r="V45" s="253"/>
      <c r="W45" s="253"/>
      <c r="X45" s="253"/>
      <c r="Y45" s="253"/>
      <c r="Z45" s="255">
        <f>200-200</f>
        <v>0</v>
      </c>
      <c r="AA45" s="255">
        <f>200-200</f>
        <v>0</v>
      </c>
      <c r="AB45" s="253"/>
      <c r="AC45" s="253"/>
      <c r="AD45" s="253"/>
      <c r="AE45" s="253"/>
      <c r="AF45" s="253"/>
      <c r="AG45" s="253"/>
      <c r="AH45" s="253"/>
      <c r="AI45" s="255">
        <f>200-200</f>
        <v>0</v>
      </c>
      <c r="AJ45" s="253"/>
      <c r="AK45" s="253"/>
      <c r="AL45" s="253"/>
      <c r="AM45" s="253"/>
      <c r="AN45" s="253"/>
      <c r="AO45" s="253"/>
      <c r="AP45" s="253"/>
      <c r="AQ45" s="253"/>
      <c r="AR45" s="253"/>
      <c r="AS45" s="255">
        <f>300-300</f>
        <v>0</v>
      </c>
      <c r="AT45" s="253"/>
      <c r="AU45" s="253"/>
      <c r="AV45" s="253"/>
      <c r="AW45" s="253"/>
      <c r="AX45" s="253"/>
      <c r="AY45" s="255">
        <f>200-200</f>
        <v>0</v>
      </c>
      <c r="AZ45" s="253"/>
      <c r="BA45" s="253"/>
      <c r="BB45" s="253"/>
      <c r="BC45" s="253"/>
      <c r="BD45" s="253"/>
      <c r="BE45" s="253"/>
      <c r="BF45" s="253"/>
      <c r="BG45" s="253"/>
      <c r="BH45" s="253"/>
      <c r="BI45" s="253"/>
      <c r="BJ45" s="253"/>
      <c r="BK45" s="253"/>
      <c r="BL45" s="253"/>
      <c r="BM45" s="253"/>
      <c r="BN45" s="253"/>
      <c r="BO45" s="253"/>
      <c r="BP45" s="253"/>
      <c r="BQ45" s="253"/>
      <c r="BR45" s="253"/>
      <c r="BS45" s="253"/>
      <c r="BT45" s="253"/>
      <c r="BU45" s="253"/>
      <c r="BV45" s="253"/>
      <c r="BW45" s="253"/>
      <c r="BX45" s="253"/>
      <c r="BY45" s="253"/>
      <c r="BZ45" s="253"/>
      <c r="CA45" s="253"/>
      <c r="CB45" s="253"/>
      <c r="CC45" s="253"/>
      <c r="CD45" s="253"/>
      <c r="CE45" s="253"/>
      <c r="CF45" s="253"/>
      <c r="CG45" s="253"/>
      <c r="CH45" s="253"/>
      <c r="CI45" s="253"/>
      <c r="CJ45" s="253"/>
      <c r="CK45" s="253"/>
      <c r="CL45" s="253"/>
      <c r="CM45" s="253"/>
      <c r="CN45" s="253"/>
      <c r="CO45" s="253"/>
      <c r="CP45" s="253"/>
      <c r="CQ45" s="253"/>
      <c r="CR45" s="253"/>
      <c r="CS45" s="253"/>
      <c r="CT45" s="253"/>
      <c r="CU45" s="253"/>
      <c r="CV45" s="253"/>
      <c r="CW45" s="253"/>
      <c r="CX45" s="253"/>
      <c r="CY45" s="253"/>
      <c r="CZ45" s="253"/>
      <c r="DA45" s="253"/>
      <c r="DB45" s="253"/>
      <c r="DC45" s="253"/>
      <c r="DD45" s="253"/>
      <c r="DE45" s="253"/>
      <c r="DF45" s="253"/>
      <c r="DG45" s="253"/>
      <c r="DH45" s="253"/>
      <c r="DI45" s="253"/>
      <c r="DJ45" s="253"/>
      <c r="DK45" s="253"/>
      <c r="DL45" s="253"/>
      <c r="DM45" s="253"/>
      <c r="DN45" s="253"/>
      <c r="DO45" s="253"/>
      <c r="DP45" s="253"/>
      <c r="DQ45" s="253"/>
      <c r="DR45" s="253"/>
      <c r="DS45" s="253"/>
      <c r="DT45" s="253"/>
      <c r="DU45" s="253"/>
      <c r="DV45" s="253"/>
      <c r="DW45" s="253"/>
      <c r="DX45" s="253"/>
      <c r="DY45" s="253"/>
      <c r="DZ45" s="253"/>
      <c r="EA45" s="253"/>
      <c r="EB45" s="253"/>
      <c r="EC45" s="253"/>
      <c r="ED45" s="253"/>
      <c r="EE45" s="253"/>
      <c r="EF45" s="253"/>
      <c r="EG45" s="253"/>
      <c r="EH45" s="255">
        <f>100-100</f>
        <v>0</v>
      </c>
      <c r="EI45" s="255">
        <f>100-100</f>
        <v>0</v>
      </c>
      <c r="EJ45" s="253"/>
      <c r="EK45" s="253"/>
      <c r="EL45" s="255">
        <f>100-100</f>
        <v>0</v>
      </c>
      <c r="EM45" s="253"/>
      <c r="EN45" s="253"/>
      <c r="EO45" s="255">
        <f>100-100</f>
        <v>0</v>
      </c>
      <c r="EP45" s="253"/>
      <c r="EQ45" s="255">
        <f>200-200</f>
        <v>0</v>
      </c>
      <c r="ER45" s="253"/>
      <c r="ES45" s="253"/>
      <c r="ET45" s="253"/>
      <c r="EU45" s="253"/>
      <c r="EV45" s="253"/>
      <c r="EW45" s="253"/>
      <c r="EX45" s="253"/>
      <c r="EY45" s="253"/>
      <c r="EZ45" s="253"/>
      <c r="FA45" s="253"/>
      <c r="FB45" s="253"/>
      <c r="FC45" s="253"/>
      <c r="FD45" s="253"/>
      <c r="FE45" s="253"/>
      <c r="FF45" s="253"/>
      <c r="FG45" s="253"/>
      <c r="FH45" s="253"/>
      <c r="FI45" s="253"/>
      <c r="FJ45" s="253"/>
      <c r="FK45" s="253"/>
      <c r="FL45" s="253"/>
      <c r="FM45" s="262"/>
      <c r="FN45" s="257" t="s">
        <v>1216</v>
      </c>
      <c r="FO45" s="258" t="s">
        <v>389</v>
      </c>
      <c r="FP45" s="258" t="s">
        <v>839</v>
      </c>
      <c r="FQ45" s="258" t="s">
        <v>426</v>
      </c>
      <c r="FR45" s="259">
        <f t="shared" si="0"/>
        <v>0</v>
      </c>
      <c r="FS45" s="260" t="s">
        <v>433</v>
      </c>
      <c r="FT45" s="260"/>
    </row>
    <row r="46" spans="1:176">
      <c r="A46" s="251" t="s">
        <v>385</v>
      </c>
      <c r="B46" s="251" t="s">
        <v>411</v>
      </c>
      <c r="C46" s="251" t="s">
        <v>291</v>
      </c>
      <c r="D46" s="252" t="s">
        <v>427</v>
      </c>
      <c r="E46" s="251" t="s">
        <v>388</v>
      </c>
      <c r="F46" s="251" t="s">
        <v>1226</v>
      </c>
      <c r="G46" s="253"/>
      <c r="H46" s="255">
        <f>200-200</f>
        <v>0</v>
      </c>
      <c r="I46" s="253"/>
      <c r="J46" s="255">
        <f>200-200</f>
        <v>0</v>
      </c>
      <c r="K46" s="253"/>
      <c r="L46" s="253"/>
      <c r="M46" s="255">
        <f>400-400</f>
        <v>0</v>
      </c>
      <c r="N46" s="255">
        <f>400-400</f>
        <v>0</v>
      </c>
      <c r="O46" s="253"/>
      <c r="P46" s="253"/>
      <c r="Q46" s="253"/>
      <c r="R46" s="253"/>
      <c r="S46" s="253"/>
      <c r="T46" s="253"/>
      <c r="U46" s="253"/>
      <c r="V46" s="253"/>
      <c r="W46" s="253"/>
      <c r="X46" s="253"/>
      <c r="Y46" s="253"/>
      <c r="Z46" s="253"/>
      <c r="AA46" s="253"/>
      <c r="AB46" s="253"/>
      <c r="AC46" s="255">
        <f>400-400</f>
        <v>0</v>
      </c>
      <c r="AD46" s="253"/>
      <c r="AE46" s="255">
        <f>200-200</f>
        <v>0</v>
      </c>
      <c r="AF46" s="255">
        <f>200-200</f>
        <v>0</v>
      </c>
      <c r="AG46" s="253"/>
      <c r="AH46" s="253"/>
      <c r="AI46" s="253"/>
      <c r="AJ46" s="253"/>
      <c r="AK46" s="255">
        <f>200-200</f>
        <v>0</v>
      </c>
      <c r="AL46" s="253"/>
      <c r="AM46" s="253"/>
      <c r="AN46" s="253"/>
      <c r="AO46" s="253"/>
      <c r="AP46" s="253"/>
      <c r="AQ46" s="253"/>
      <c r="AR46" s="253"/>
      <c r="AS46" s="253"/>
      <c r="AT46" s="253"/>
      <c r="AU46" s="253"/>
      <c r="AV46" s="253"/>
      <c r="AW46" s="253"/>
      <c r="AX46" s="253"/>
      <c r="AY46" s="253"/>
      <c r="AZ46" s="253"/>
      <c r="BA46" s="253"/>
      <c r="BB46" s="253"/>
      <c r="BC46" s="255">
        <f>200-200</f>
        <v>0</v>
      </c>
      <c r="BD46" s="253"/>
      <c r="BE46" s="253"/>
      <c r="BF46" s="253"/>
      <c r="BG46" s="253"/>
      <c r="BH46" s="253"/>
      <c r="BI46" s="253"/>
      <c r="BJ46" s="253"/>
      <c r="BK46" s="253"/>
      <c r="BL46" s="253"/>
      <c r="BM46" s="253"/>
      <c r="BN46" s="253"/>
      <c r="BO46" s="253"/>
      <c r="BP46" s="253"/>
      <c r="BQ46" s="253"/>
      <c r="BR46" s="253"/>
      <c r="BS46" s="253"/>
      <c r="BT46" s="253"/>
      <c r="BU46" s="253"/>
      <c r="BV46" s="253"/>
      <c r="BW46" s="253"/>
      <c r="BX46" s="253"/>
      <c r="BY46" s="253"/>
      <c r="BZ46" s="253"/>
      <c r="CA46" s="253"/>
      <c r="CB46" s="253"/>
      <c r="CC46" s="253"/>
      <c r="CD46" s="253"/>
      <c r="CE46" s="253"/>
      <c r="CF46" s="253"/>
      <c r="CG46" s="253"/>
      <c r="CH46" s="253"/>
      <c r="CI46" s="253"/>
      <c r="CJ46" s="253"/>
      <c r="CK46" s="253"/>
      <c r="CL46" s="253"/>
      <c r="CM46" s="253"/>
      <c r="CN46" s="253"/>
      <c r="CO46" s="253"/>
      <c r="CP46" s="253"/>
      <c r="CQ46" s="253"/>
      <c r="CR46" s="253"/>
      <c r="CS46" s="253"/>
      <c r="CT46" s="253"/>
      <c r="CU46" s="253"/>
      <c r="CV46" s="253"/>
      <c r="CW46" s="253"/>
      <c r="CX46" s="253"/>
      <c r="CY46" s="253"/>
      <c r="CZ46" s="253"/>
      <c r="DA46" s="253"/>
      <c r="DB46" s="253"/>
      <c r="DC46" s="253"/>
      <c r="DD46" s="253"/>
      <c r="DE46" s="253"/>
      <c r="DF46" s="253"/>
      <c r="DG46" s="253"/>
      <c r="DH46" s="253"/>
      <c r="DI46" s="253"/>
      <c r="DJ46" s="253"/>
      <c r="DK46" s="253"/>
      <c r="DL46" s="253"/>
      <c r="DM46" s="253"/>
      <c r="DN46" s="253"/>
      <c r="DO46" s="253"/>
      <c r="DP46" s="253"/>
      <c r="DQ46" s="253"/>
      <c r="DR46" s="253"/>
      <c r="DS46" s="253"/>
      <c r="DT46" s="253"/>
      <c r="DU46" s="253"/>
      <c r="DV46" s="253"/>
      <c r="DW46" s="253"/>
      <c r="DX46" s="254">
        <f>100-100+21</f>
        <v>21</v>
      </c>
      <c r="DY46" s="254">
        <f>100-100+100</f>
        <v>100</v>
      </c>
      <c r="DZ46" s="253"/>
      <c r="EA46" s="253"/>
      <c r="EB46" s="255">
        <f>100-100</f>
        <v>0</v>
      </c>
      <c r="EC46" s="255">
        <f>100-100</f>
        <v>0</v>
      </c>
      <c r="ED46" s="253"/>
      <c r="EE46" s="253"/>
      <c r="EF46" s="253"/>
      <c r="EG46" s="253"/>
      <c r="EH46" s="253"/>
      <c r="EI46" s="253"/>
      <c r="EJ46" s="253"/>
      <c r="EK46" s="253"/>
      <c r="EL46" s="253"/>
      <c r="EM46" s="253"/>
      <c r="EN46" s="253"/>
      <c r="EO46" s="253"/>
      <c r="EP46" s="253"/>
      <c r="EQ46" s="253"/>
      <c r="ER46" s="253"/>
      <c r="ES46" s="253"/>
      <c r="ET46" s="253"/>
      <c r="EU46" s="253"/>
      <c r="EV46" s="253"/>
      <c r="EW46" s="253"/>
      <c r="EX46" s="253"/>
      <c r="EY46" s="253"/>
      <c r="EZ46" s="253"/>
      <c r="FA46" s="253"/>
      <c r="FB46" s="253"/>
      <c r="FC46" s="253"/>
      <c r="FD46" s="253"/>
      <c r="FE46" s="253"/>
      <c r="FF46" s="253"/>
      <c r="FG46" s="253"/>
      <c r="FH46" s="253"/>
      <c r="FI46" s="253"/>
      <c r="FJ46" s="253"/>
      <c r="FK46" s="253"/>
      <c r="FL46" s="253"/>
      <c r="FM46" s="262"/>
      <c r="FN46" s="257" t="s">
        <v>1216</v>
      </c>
      <c r="FO46" s="258" t="s">
        <v>389</v>
      </c>
      <c r="FP46" s="258"/>
      <c r="FQ46" s="258" t="s">
        <v>423</v>
      </c>
      <c r="FR46" s="259">
        <f t="shared" si="0"/>
        <v>121</v>
      </c>
      <c r="FS46" s="260" t="s">
        <v>835</v>
      </c>
      <c r="FT46" s="260"/>
    </row>
    <row r="47" spans="1:176">
      <c r="A47" s="251" t="s">
        <v>385</v>
      </c>
      <c r="B47" s="251" t="s">
        <v>411</v>
      </c>
      <c r="C47" s="251" t="s">
        <v>1</v>
      </c>
      <c r="D47" s="252" t="s">
        <v>427</v>
      </c>
      <c r="E47" s="251" t="s">
        <v>388</v>
      </c>
      <c r="F47" s="251" t="s">
        <v>1226</v>
      </c>
      <c r="G47" s="253"/>
      <c r="H47" s="253"/>
      <c r="I47" s="253"/>
      <c r="J47" s="253"/>
      <c r="K47" s="253"/>
      <c r="L47" s="253"/>
      <c r="M47" s="253"/>
      <c r="N47" s="253"/>
      <c r="O47" s="255">
        <f>200-200</f>
        <v>0</v>
      </c>
      <c r="P47" s="253"/>
      <c r="Q47" s="253"/>
      <c r="R47" s="253"/>
      <c r="S47" s="253"/>
      <c r="T47" s="255">
        <f>100-100</f>
        <v>0</v>
      </c>
      <c r="U47" s="253"/>
      <c r="V47" s="253"/>
      <c r="W47" s="253"/>
      <c r="X47" s="253"/>
      <c r="Y47" s="255">
        <f>100-100</f>
        <v>0</v>
      </c>
      <c r="Z47" s="255">
        <f>400-400</f>
        <v>0</v>
      </c>
      <c r="AA47" s="255">
        <f>100-100</f>
        <v>0</v>
      </c>
      <c r="AB47" s="253"/>
      <c r="AC47" s="253"/>
      <c r="AD47" s="253"/>
      <c r="AE47" s="253"/>
      <c r="AF47" s="253"/>
      <c r="AG47" s="253"/>
      <c r="AH47" s="253"/>
      <c r="AI47" s="253"/>
      <c r="AJ47" s="253"/>
      <c r="AK47" s="253"/>
      <c r="AL47" s="253"/>
      <c r="AM47" s="253"/>
      <c r="AN47" s="253"/>
      <c r="AO47" s="253"/>
      <c r="AP47" s="253"/>
      <c r="AQ47" s="253"/>
      <c r="AR47" s="253"/>
      <c r="AS47" s="255">
        <f>200-200</f>
        <v>0</v>
      </c>
      <c r="AT47" s="253"/>
      <c r="AU47" s="253"/>
      <c r="AV47" s="253"/>
      <c r="AW47" s="253"/>
      <c r="AX47" s="253"/>
      <c r="AY47" s="253"/>
      <c r="AZ47" s="255">
        <f>200-200</f>
        <v>0</v>
      </c>
      <c r="BA47" s="253"/>
      <c r="BB47" s="253"/>
      <c r="BC47" s="253"/>
      <c r="BD47" s="255">
        <f>200-200</f>
        <v>0</v>
      </c>
      <c r="BE47" s="253"/>
      <c r="BF47" s="255">
        <f>200-200</f>
        <v>0</v>
      </c>
      <c r="BG47" s="253"/>
      <c r="BH47" s="255">
        <f>200-200</f>
        <v>0</v>
      </c>
      <c r="BI47" s="253"/>
      <c r="BJ47" s="255">
        <f>200-200</f>
        <v>0</v>
      </c>
      <c r="BK47" s="253"/>
      <c r="BL47" s="253"/>
      <c r="BM47" s="253"/>
      <c r="BN47" s="253"/>
      <c r="BO47" s="253"/>
      <c r="BP47" s="253"/>
      <c r="BQ47" s="253"/>
      <c r="BR47" s="253"/>
      <c r="BS47" s="253"/>
      <c r="BT47" s="253"/>
      <c r="BU47" s="253"/>
      <c r="BV47" s="253"/>
      <c r="BW47" s="253"/>
      <c r="BX47" s="253"/>
      <c r="BY47" s="253"/>
      <c r="BZ47" s="253"/>
      <c r="CA47" s="253"/>
      <c r="CB47" s="253"/>
      <c r="CC47" s="253"/>
      <c r="CD47" s="253"/>
      <c r="CE47" s="253"/>
      <c r="CF47" s="253"/>
      <c r="CG47" s="253"/>
      <c r="CH47" s="253"/>
      <c r="CI47" s="253"/>
      <c r="CJ47" s="253"/>
      <c r="CK47" s="253"/>
      <c r="CL47" s="253"/>
      <c r="CM47" s="253"/>
      <c r="CN47" s="253"/>
      <c r="CO47" s="253"/>
      <c r="CP47" s="253"/>
      <c r="CQ47" s="253"/>
      <c r="CR47" s="253"/>
      <c r="CS47" s="253"/>
      <c r="CT47" s="253"/>
      <c r="CU47" s="253"/>
      <c r="CV47" s="253"/>
      <c r="CW47" s="253"/>
      <c r="CX47" s="253"/>
      <c r="CY47" s="253"/>
      <c r="CZ47" s="253"/>
      <c r="DA47" s="253"/>
      <c r="DB47" s="253"/>
      <c r="DC47" s="253"/>
      <c r="DD47" s="253"/>
      <c r="DE47" s="253"/>
      <c r="DF47" s="253"/>
      <c r="DG47" s="253"/>
      <c r="DH47" s="253"/>
      <c r="DI47" s="253"/>
      <c r="DJ47" s="253"/>
      <c r="DK47" s="253"/>
      <c r="DL47" s="253"/>
      <c r="DM47" s="253"/>
      <c r="DN47" s="253"/>
      <c r="DO47" s="253"/>
      <c r="DP47" s="253"/>
      <c r="DQ47" s="253"/>
      <c r="DR47" s="253"/>
      <c r="DS47" s="253"/>
      <c r="DT47" s="253"/>
      <c r="DU47" s="253"/>
      <c r="DV47" s="253"/>
      <c r="DW47" s="253"/>
      <c r="DX47" s="253"/>
      <c r="DY47" s="253"/>
      <c r="DZ47" s="253"/>
      <c r="EA47" s="253"/>
      <c r="EB47" s="253"/>
      <c r="EC47" s="253"/>
      <c r="ED47" s="253"/>
      <c r="EE47" s="253"/>
      <c r="EF47" s="255">
        <f>200-200</f>
        <v>0</v>
      </c>
      <c r="EG47" s="253"/>
      <c r="EH47" s="255">
        <f>200-200</f>
        <v>0</v>
      </c>
      <c r="EI47" s="255">
        <f>40-40</f>
        <v>0</v>
      </c>
      <c r="EJ47" s="255">
        <f>200-200</f>
        <v>0</v>
      </c>
      <c r="EK47" s="253"/>
      <c r="EL47" s="255">
        <f>200-200</f>
        <v>0</v>
      </c>
      <c r="EM47" s="253"/>
      <c r="EN47" s="253"/>
      <c r="EO47" s="255">
        <f>200-200</f>
        <v>0</v>
      </c>
      <c r="EP47" s="253"/>
      <c r="EQ47" s="255">
        <f>200-200</f>
        <v>0</v>
      </c>
      <c r="ER47" s="253"/>
      <c r="ES47" s="253"/>
      <c r="ET47" s="253"/>
      <c r="EU47" s="253"/>
      <c r="EV47" s="253"/>
      <c r="EW47" s="253"/>
      <c r="EX47" s="253"/>
      <c r="EY47" s="253"/>
      <c r="EZ47" s="253"/>
      <c r="FA47" s="253"/>
      <c r="FB47" s="253"/>
      <c r="FC47" s="253"/>
      <c r="FD47" s="253"/>
      <c r="FE47" s="253"/>
      <c r="FF47" s="253"/>
      <c r="FG47" s="253"/>
      <c r="FH47" s="253"/>
      <c r="FI47" s="255">
        <f>300-300</f>
        <v>0</v>
      </c>
      <c r="FJ47" s="255">
        <f>300-300</f>
        <v>0</v>
      </c>
      <c r="FK47" s="253"/>
      <c r="FL47" s="253"/>
      <c r="FM47" s="262"/>
      <c r="FN47" s="257" t="s">
        <v>1216</v>
      </c>
      <c r="FO47" s="258" t="s">
        <v>389</v>
      </c>
      <c r="FP47" s="258"/>
      <c r="FQ47" s="258" t="s">
        <v>423</v>
      </c>
      <c r="FR47" s="259">
        <f t="shared" si="0"/>
        <v>0</v>
      </c>
      <c r="FS47" s="260" t="s">
        <v>835</v>
      </c>
      <c r="FT47" s="260"/>
    </row>
    <row r="48" spans="1:176">
      <c r="A48" s="251" t="s">
        <v>385</v>
      </c>
      <c r="B48" s="251" t="s">
        <v>411</v>
      </c>
      <c r="C48" s="251" t="s">
        <v>293</v>
      </c>
      <c r="D48" s="252" t="s">
        <v>427</v>
      </c>
      <c r="E48" s="251" t="s">
        <v>388</v>
      </c>
      <c r="F48" s="251" t="s">
        <v>842</v>
      </c>
      <c r="G48" s="253"/>
      <c r="H48" s="253"/>
      <c r="I48" s="255">
        <f>200-200</f>
        <v>0</v>
      </c>
      <c r="J48" s="253"/>
      <c r="K48" s="253"/>
      <c r="L48" s="253"/>
      <c r="M48" s="253"/>
      <c r="N48" s="253"/>
      <c r="O48" s="253"/>
      <c r="P48" s="253"/>
      <c r="Q48" s="253"/>
      <c r="R48" s="253"/>
      <c r="S48" s="253"/>
      <c r="T48" s="253"/>
      <c r="U48" s="253"/>
      <c r="V48" s="253"/>
      <c r="W48" s="253"/>
      <c r="X48" s="253"/>
      <c r="Y48" s="253"/>
      <c r="Z48" s="253"/>
      <c r="AA48" s="253"/>
      <c r="AB48" s="253"/>
      <c r="AC48" s="253"/>
      <c r="AD48" s="253"/>
      <c r="AE48" s="253"/>
      <c r="AF48" s="253"/>
      <c r="AG48" s="253"/>
      <c r="AH48" s="253"/>
      <c r="AI48" s="253"/>
      <c r="AJ48" s="253"/>
      <c r="AK48" s="253"/>
      <c r="AL48" s="253"/>
      <c r="AM48" s="253"/>
      <c r="AN48" s="253"/>
      <c r="AO48" s="253"/>
      <c r="AP48" s="253"/>
      <c r="AQ48" s="253"/>
      <c r="AR48" s="253"/>
      <c r="AS48" s="253"/>
      <c r="AT48" s="253"/>
      <c r="AU48" s="253"/>
      <c r="AV48" s="253"/>
      <c r="AW48" s="253"/>
      <c r="AX48" s="253"/>
      <c r="AY48" s="253"/>
      <c r="AZ48" s="253"/>
      <c r="BA48" s="253"/>
      <c r="BB48" s="253"/>
      <c r="BC48" s="253"/>
      <c r="BD48" s="253"/>
      <c r="BE48" s="253"/>
      <c r="BF48" s="253"/>
      <c r="BG48" s="253"/>
      <c r="BH48" s="253"/>
      <c r="BI48" s="253"/>
      <c r="BJ48" s="253"/>
      <c r="BK48" s="253"/>
      <c r="BL48" s="253"/>
      <c r="BM48" s="253"/>
      <c r="BN48" s="253"/>
      <c r="BO48" s="253"/>
      <c r="BP48" s="253"/>
      <c r="BQ48" s="253"/>
      <c r="BR48" s="253"/>
      <c r="BS48" s="253"/>
      <c r="BT48" s="253"/>
      <c r="BU48" s="253"/>
      <c r="BV48" s="253"/>
      <c r="BW48" s="253"/>
      <c r="BX48" s="253"/>
      <c r="BY48" s="253"/>
      <c r="BZ48" s="253"/>
      <c r="CA48" s="253"/>
      <c r="CB48" s="253"/>
      <c r="CC48" s="253"/>
      <c r="CD48" s="253"/>
      <c r="CE48" s="253"/>
      <c r="CF48" s="253"/>
      <c r="CG48" s="253"/>
      <c r="CH48" s="253"/>
      <c r="CI48" s="253"/>
      <c r="CJ48" s="253"/>
      <c r="CK48" s="253"/>
      <c r="CL48" s="253"/>
      <c r="CM48" s="253"/>
      <c r="CN48" s="253"/>
      <c r="CO48" s="253"/>
      <c r="CP48" s="253"/>
      <c r="CQ48" s="253"/>
      <c r="CR48" s="253"/>
      <c r="CS48" s="253"/>
      <c r="CT48" s="253"/>
      <c r="CU48" s="253"/>
      <c r="CV48" s="253"/>
      <c r="CW48" s="253"/>
      <c r="CX48" s="253"/>
      <c r="CY48" s="253"/>
      <c r="CZ48" s="253"/>
      <c r="DA48" s="253"/>
      <c r="DB48" s="253"/>
      <c r="DC48" s="253"/>
      <c r="DD48" s="253"/>
      <c r="DE48" s="253"/>
      <c r="DF48" s="253"/>
      <c r="DG48" s="253"/>
      <c r="DH48" s="253"/>
      <c r="DI48" s="253"/>
      <c r="DJ48" s="253"/>
      <c r="DK48" s="253"/>
      <c r="DL48" s="253"/>
      <c r="DM48" s="253"/>
      <c r="DN48" s="253"/>
      <c r="DO48" s="253"/>
      <c r="DP48" s="253"/>
      <c r="DQ48" s="253"/>
      <c r="DR48" s="253"/>
      <c r="DS48" s="253"/>
      <c r="DT48" s="253"/>
      <c r="DU48" s="253"/>
      <c r="DV48" s="253"/>
      <c r="DW48" s="253"/>
      <c r="DX48" s="253"/>
      <c r="DY48" s="253"/>
      <c r="DZ48" s="253"/>
      <c r="EA48" s="253"/>
      <c r="EB48" s="253"/>
      <c r="EC48" s="253"/>
      <c r="ED48" s="253"/>
      <c r="EE48" s="253"/>
      <c r="EF48" s="253"/>
      <c r="EG48" s="253"/>
      <c r="EH48" s="253"/>
      <c r="EI48" s="253"/>
      <c r="EJ48" s="253"/>
      <c r="EK48" s="253"/>
      <c r="EL48" s="253"/>
      <c r="EM48" s="253"/>
      <c r="EN48" s="253"/>
      <c r="EO48" s="253"/>
      <c r="EP48" s="253"/>
      <c r="EQ48" s="253"/>
      <c r="ER48" s="253"/>
      <c r="ES48" s="253"/>
      <c r="ET48" s="253"/>
      <c r="EU48" s="253"/>
      <c r="EV48" s="253"/>
      <c r="EW48" s="253"/>
      <c r="EX48" s="253"/>
      <c r="EY48" s="253"/>
      <c r="EZ48" s="253"/>
      <c r="FA48" s="253"/>
      <c r="FB48" s="253"/>
      <c r="FC48" s="253"/>
      <c r="FD48" s="253"/>
      <c r="FE48" s="253"/>
      <c r="FF48" s="253"/>
      <c r="FG48" s="253"/>
      <c r="FH48" s="253"/>
      <c r="FI48" s="253"/>
      <c r="FJ48" s="253"/>
      <c r="FK48" s="253"/>
      <c r="FL48" s="253"/>
      <c r="FM48" s="262"/>
      <c r="FN48" s="257" t="s">
        <v>1216</v>
      </c>
      <c r="FO48" s="258" t="s">
        <v>389</v>
      </c>
      <c r="FP48" s="258"/>
      <c r="FQ48" s="258" t="s">
        <v>423</v>
      </c>
      <c r="FR48" s="259">
        <f t="shared" si="0"/>
        <v>0</v>
      </c>
      <c r="FS48" s="260" t="s">
        <v>835</v>
      </c>
      <c r="FT48" s="260"/>
    </row>
    <row r="49" spans="1:176">
      <c r="A49" s="251" t="s">
        <v>385</v>
      </c>
      <c r="B49" s="251" t="s">
        <v>411</v>
      </c>
      <c r="C49" s="251" t="s">
        <v>291</v>
      </c>
      <c r="D49" s="252" t="s">
        <v>430</v>
      </c>
      <c r="E49" s="251" t="s">
        <v>388</v>
      </c>
      <c r="F49" s="251" t="s">
        <v>1227</v>
      </c>
      <c r="G49" s="253"/>
      <c r="H49" s="255">
        <f>40-40</f>
        <v>0</v>
      </c>
      <c r="I49" s="253"/>
      <c r="J49" s="255">
        <f>30-30</f>
        <v>0</v>
      </c>
      <c r="K49" s="253"/>
      <c r="L49" s="253"/>
      <c r="M49" s="253"/>
      <c r="N49" s="253"/>
      <c r="O49" s="253"/>
      <c r="P49" s="255">
        <f>200-200</f>
        <v>0</v>
      </c>
      <c r="Q49" s="253"/>
      <c r="R49" s="253"/>
      <c r="S49" s="253"/>
      <c r="T49" s="253"/>
      <c r="U49" s="253"/>
      <c r="V49" s="253"/>
      <c r="W49" s="253"/>
      <c r="X49" s="253"/>
      <c r="Y49" s="253"/>
      <c r="Z49" s="253"/>
      <c r="AA49" s="253"/>
      <c r="AB49" s="253"/>
      <c r="AC49" s="255">
        <f>10-10</f>
        <v>0</v>
      </c>
      <c r="AD49" s="253"/>
      <c r="AE49" s="255">
        <f>20-20</f>
        <v>0</v>
      </c>
      <c r="AF49" s="255">
        <f>40-40</f>
        <v>0</v>
      </c>
      <c r="AG49" s="253"/>
      <c r="AH49" s="253"/>
      <c r="AI49" s="253"/>
      <c r="AJ49" s="253"/>
      <c r="AK49" s="253"/>
      <c r="AL49" s="253"/>
      <c r="AM49" s="253"/>
      <c r="AN49" s="253"/>
      <c r="AO49" s="253"/>
      <c r="AP49" s="253"/>
      <c r="AQ49" s="253"/>
      <c r="AR49" s="253"/>
      <c r="AS49" s="253"/>
      <c r="AT49" s="253"/>
      <c r="AU49" s="253"/>
      <c r="AV49" s="253"/>
      <c r="AW49" s="253"/>
      <c r="AX49" s="253"/>
      <c r="AY49" s="253"/>
      <c r="AZ49" s="253"/>
      <c r="BA49" s="253"/>
      <c r="BB49" s="253"/>
      <c r="BC49" s="255">
        <f>20-20</f>
        <v>0</v>
      </c>
      <c r="BD49" s="253"/>
      <c r="BE49" s="253"/>
      <c r="BF49" s="253"/>
      <c r="BG49" s="253"/>
      <c r="BH49" s="253"/>
      <c r="BI49" s="253"/>
      <c r="BJ49" s="253"/>
      <c r="BK49" s="253"/>
      <c r="BL49" s="253"/>
      <c r="BM49" s="253"/>
      <c r="BN49" s="253"/>
      <c r="BO49" s="253"/>
      <c r="BP49" s="253"/>
      <c r="BQ49" s="253"/>
      <c r="BR49" s="253"/>
      <c r="BS49" s="253"/>
      <c r="BT49" s="253"/>
      <c r="BU49" s="253"/>
      <c r="BV49" s="253"/>
      <c r="BW49" s="253"/>
      <c r="BX49" s="253"/>
      <c r="BY49" s="253"/>
      <c r="BZ49" s="253"/>
      <c r="CA49" s="253"/>
      <c r="CB49" s="253"/>
      <c r="CC49" s="253"/>
      <c r="CD49" s="253"/>
      <c r="CE49" s="253"/>
      <c r="CF49" s="253"/>
      <c r="CG49" s="253"/>
      <c r="CH49" s="253"/>
      <c r="CI49" s="253"/>
      <c r="CJ49" s="253"/>
      <c r="CK49" s="253"/>
      <c r="CL49" s="253"/>
      <c r="CM49" s="253"/>
      <c r="CN49" s="253"/>
      <c r="CO49" s="253"/>
      <c r="CP49" s="253"/>
      <c r="CQ49" s="253"/>
      <c r="CR49" s="253"/>
      <c r="CS49" s="253"/>
      <c r="CT49" s="253"/>
      <c r="CU49" s="253"/>
      <c r="CV49" s="253"/>
      <c r="CW49" s="253"/>
      <c r="CX49" s="253"/>
      <c r="CY49" s="253"/>
      <c r="CZ49" s="253"/>
      <c r="DA49" s="253"/>
      <c r="DB49" s="253"/>
      <c r="DC49" s="253"/>
      <c r="DD49" s="253"/>
      <c r="DE49" s="253"/>
      <c r="DF49" s="253"/>
      <c r="DG49" s="253"/>
      <c r="DH49" s="253"/>
      <c r="DI49" s="253"/>
      <c r="DJ49" s="253"/>
      <c r="DK49" s="253"/>
      <c r="DL49" s="253"/>
      <c r="DM49" s="253"/>
      <c r="DN49" s="253"/>
      <c r="DO49" s="253"/>
      <c r="DP49" s="253"/>
      <c r="DQ49" s="253"/>
      <c r="DR49" s="253"/>
      <c r="DS49" s="253"/>
      <c r="DT49" s="253"/>
      <c r="DU49" s="253"/>
      <c r="DV49" s="253"/>
      <c r="DW49" s="253"/>
      <c r="DX49" s="253"/>
      <c r="DY49" s="254">
        <f>60-60+60</f>
        <v>60</v>
      </c>
      <c r="DZ49" s="253"/>
      <c r="EA49" s="255">
        <f>60-60</f>
        <v>0</v>
      </c>
      <c r="EB49" s="253"/>
      <c r="EC49" s="253"/>
      <c r="ED49" s="253"/>
      <c r="EE49" s="253"/>
      <c r="EF49" s="253"/>
      <c r="EG49" s="253"/>
      <c r="EH49" s="253"/>
      <c r="EI49" s="253"/>
      <c r="EJ49" s="253"/>
      <c r="EK49" s="253"/>
      <c r="EL49" s="253"/>
      <c r="EM49" s="253"/>
      <c r="EN49" s="253"/>
      <c r="EO49" s="253"/>
      <c r="EP49" s="253"/>
      <c r="EQ49" s="253"/>
      <c r="ER49" s="253"/>
      <c r="ES49" s="253"/>
      <c r="ET49" s="253"/>
      <c r="EU49" s="253"/>
      <c r="EV49" s="253"/>
      <c r="EW49" s="253"/>
      <c r="EX49" s="253"/>
      <c r="EY49" s="253"/>
      <c r="EZ49" s="253"/>
      <c r="FA49" s="253"/>
      <c r="FB49" s="253"/>
      <c r="FC49" s="253"/>
      <c r="FD49" s="253"/>
      <c r="FE49" s="253"/>
      <c r="FF49" s="253"/>
      <c r="FG49" s="253"/>
      <c r="FH49" s="253"/>
      <c r="FI49" s="253"/>
      <c r="FJ49" s="253"/>
      <c r="FK49" s="253"/>
      <c r="FL49" s="253"/>
      <c r="FM49" s="262"/>
      <c r="FN49" s="257" t="s">
        <v>1216</v>
      </c>
      <c r="FO49" s="258" t="s">
        <v>389</v>
      </c>
      <c r="FP49" s="258" t="s">
        <v>431</v>
      </c>
      <c r="FQ49" s="258" t="s">
        <v>432</v>
      </c>
      <c r="FR49" s="259">
        <f t="shared" si="0"/>
        <v>60</v>
      </c>
      <c r="FS49" s="260" t="s">
        <v>433</v>
      </c>
      <c r="FT49" s="260"/>
    </row>
    <row r="50" spans="1:176">
      <c r="A50" s="251" t="s">
        <v>385</v>
      </c>
      <c r="B50" s="251" t="s">
        <v>411</v>
      </c>
      <c r="C50" s="251" t="s">
        <v>1</v>
      </c>
      <c r="D50" s="252" t="s">
        <v>430</v>
      </c>
      <c r="E50" s="251" t="s">
        <v>388</v>
      </c>
      <c r="F50" s="251" t="s">
        <v>1227</v>
      </c>
      <c r="G50" s="253"/>
      <c r="H50" s="253"/>
      <c r="I50" s="253"/>
      <c r="J50" s="253"/>
      <c r="K50" s="254">
        <f>100-100+100</f>
        <v>100</v>
      </c>
      <c r="L50" s="253"/>
      <c r="M50" s="253"/>
      <c r="N50" s="253"/>
      <c r="O50" s="253"/>
      <c r="P50" s="253"/>
      <c r="Q50" s="253"/>
      <c r="R50" s="255">
        <f>30-30</f>
        <v>0</v>
      </c>
      <c r="S50" s="253"/>
      <c r="T50" s="255">
        <f>60-60</f>
        <v>0</v>
      </c>
      <c r="U50" s="253"/>
      <c r="V50" s="253"/>
      <c r="W50" s="253"/>
      <c r="X50" s="253"/>
      <c r="Y50" s="255">
        <f>10-10</f>
        <v>0</v>
      </c>
      <c r="Z50" s="255">
        <f>20-20</f>
        <v>0</v>
      </c>
      <c r="AA50" s="253"/>
      <c r="AB50" s="253"/>
      <c r="AC50" s="253"/>
      <c r="AD50" s="253"/>
      <c r="AE50" s="253"/>
      <c r="AF50" s="253"/>
      <c r="AG50" s="255">
        <f>340-340</f>
        <v>0</v>
      </c>
      <c r="AH50" s="253"/>
      <c r="AI50" s="253"/>
      <c r="AJ50" s="253"/>
      <c r="AK50" s="253"/>
      <c r="AL50" s="253"/>
      <c r="AM50" s="255">
        <f>120-120</f>
        <v>0</v>
      </c>
      <c r="AN50" s="253"/>
      <c r="AO50" s="253"/>
      <c r="AP50" s="255">
        <f>40-40</f>
        <v>0</v>
      </c>
      <c r="AQ50" s="253"/>
      <c r="AR50" s="253"/>
      <c r="AS50" s="255">
        <f>170-170</f>
        <v>0</v>
      </c>
      <c r="AT50" s="253"/>
      <c r="AU50" s="253"/>
      <c r="AV50" s="253"/>
      <c r="AW50" s="253"/>
      <c r="AX50" s="253"/>
      <c r="AY50" s="255">
        <f>100-100</f>
        <v>0</v>
      </c>
      <c r="AZ50" s="253"/>
      <c r="BA50" s="253"/>
      <c r="BB50" s="253"/>
      <c r="BC50" s="253"/>
      <c r="BD50" s="253"/>
      <c r="BE50" s="255">
        <f>30-30</f>
        <v>0</v>
      </c>
      <c r="BF50" s="253"/>
      <c r="BG50" s="253"/>
      <c r="BH50" s="253"/>
      <c r="BI50" s="253"/>
      <c r="BJ50" s="253"/>
      <c r="BK50" s="253"/>
      <c r="BL50" s="253"/>
      <c r="BM50" s="253"/>
      <c r="BN50" s="253"/>
      <c r="BO50" s="253"/>
      <c r="BP50" s="253"/>
      <c r="BQ50" s="253"/>
      <c r="BR50" s="253"/>
      <c r="BS50" s="253"/>
      <c r="BT50" s="253"/>
      <c r="BU50" s="253"/>
      <c r="BV50" s="253"/>
      <c r="BW50" s="253"/>
      <c r="BX50" s="253"/>
      <c r="BY50" s="253"/>
      <c r="BZ50" s="253"/>
      <c r="CA50" s="253"/>
      <c r="CB50" s="253"/>
      <c r="CC50" s="253"/>
      <c r="CD50" s="253"/>
      <c r="CE50" s="253"/>
      <c r="CF50" s="253"/>
      <c r="CG50" s="253"/>
      <c r="CH50" s="253"/>
      <c r="CI50" s="253"/>
      <c r="CJ50" s="253"/>
      <c r="CK50" s="253"/>
      <c r="CL50" s="253"/>
      <c r="CM50" s="253"/>
      <c r="CN50" s="253"/>
      <c r="CO50" s="253"/>
      <c r="CP50" s="253"/>
      <c r="CQ50" s="253"/>
      <c r="CR50" s="253"/>
      <c r="CS50" s="253"/>
      <c r="CT50" s="253"/>
      <c r="CU50" s="253"/>
      <c r="CV50" s="253"/>
      <c r="CW50" s="253"/>
      <c r="CX50" s="253"/>
      <c r="CY50" s="253"/>
      <c r="CZ50" s="253"/>
      <c r="DA50" s="253"/>
      <c r="DB50" s="253"/>
      <c r="DC50" s="253"/>
      <c r="DD50" s="253"/>
      <c r="DE50" s="253"/>
      <c r="DF50" s="253"/>
      <c r="DG50" s="253"/>
      <c r="DH50" s="253"/>
      <c r="DI50" s="253"/>
      <c r="DJ50" s="253"/>
      <c r="DK50" s="253"/>
      <c r="DL50" s="253"/>
      <c r="DM50" s="253"/>
      <c r="DN50" s="253"/>
      <c r="DO50" s="253"/>
      <c r="DP50" s="253"/>
      <c r="DQ50" s="253"/>
      <c r="DR50" s="253"/>
      <c r="DS50" s="253"/>
      <c r="DT50" s="253"/>
      <c r="DU50" s="253"/>
      <c r="DV50" s="253"/>
      <c r="DW50" s="253"/>
      <c r="DX50" s="253"/>
      <c r="DY50" s="253"/>
      <c r="DZ50" s="255">
        <f>90-90</f>
        <v>0</v>
      </c>
      <c r="EA50" s="253"/>
      <c r="EB50" s="253"/>
      <c r="EC50" s="253"/>
      <c r="ED50" s="253"/>
      <c r="EE50" s="253"/>
      <c r="EF50" s="255">
        <f>70-70</f>
        <v>0</v>
      </c>
      <c r="EG50" s="255">
        <f>20-20</f>
        <v>0</v>
      </c>
      <c r="EH50" s="255">
        <f>30-30</f>
        <v>0</v>
      </c>
      <c r="EI50" s="255">
        <f>10-10</f>
        <v>0</v>
      </c>
      <c r="EJ50" s="255">
        <f>10-10</f>
        <v>0</v>
      </c>
      <c r="EK50" s="253"/>
      <c r="EL50" s="255">
        <f>20-20</f>
        <v>0</v>
      </c>
      <c r="EM50" s="253"/>
      <c r="EN50" s="255">
        <f>70-70</f>
        <v>0</v>
      </c>
      <c r="EO50" s="255">
        <f>50-50</f>
        <v>0</v>
      </c>
      <c r="EP50" s="253"/>
      <c r="EQ50" s="255">
        <f>135-135</f>
        <v>0</v>
      </c>
      <c r="ER50" s="253"/>
      <c r="ES50" s="253"/>
      <c r="ET50" s="253"/>
      <c r="EU50" s="253"/>
      <c r="EV50" s="253"/>
      <c r="EW50" s="253"/>
      <c r="EX50" s="253"/>
      <c r="EY50" s="253"/>
      <c r="EZ50" s="253"/>
      <c r="FA50" s="253"/>
      <c r="FB50" s="253"/>
      <c r="FC50" s="253"/>
      <c r="FD50" s="253"/>
      <c r="FE50" s="253"/>
      <c r="FF50" s="253"/>
      <c r="FG50" s="253"/>
      <c r="FH50" s="253"/>
      <c r="FI50" s="253"/>
      <c r="FJ50" s="253"/>
      <c r="FK50" s="253"/>
      <c r="FL50" s="253"/>
      <c r="FM50" s="262"/>
      <c r="FN50" s="257" t="s">
        <v>1216</v>
      </c>
      <c r="FO50" s="258" t="s">
        <v>389</v>
      </c>
      <c r="FP50" s="258" t="s">
        <v>431</v>
      </c>
      <c r="FQ50" s="258" t="s">
        <v>432</v>
      </c>
      <c r="FR50" s="259">
        <f t="shared" si="0"/>
        <v>100</v>
      </c>
      <c r="FS50" s="260" t="s">
        <v>433</v>
      </c>
      <c r="FT50" s="260"/>
    </row>
    <row r="51" spans="1:176">
      <c r="A51" s="251" t="s">
        <v>385</v>
      </c>
      <c r="B51" s="251" t="s">
        <v>411</v>
      </c>
      <c r="C51" s="251" t="s">
        <v>293</v>
      </c>
      <c r="D51" s="252" t="s">
        <v>430</v>
      </c>
      <c r="E51" s="251" t="s">
        <v>388</v>
      </c>
      <c r="F51" s="251" t="s">
        <v>1228</v>
      </c>
      <c r="G51" s="253"/>
      <c r="H51" s="253"/>
      <c r="I51" s="255">
        <f>20-20</f>
        <v>0</v>
      </c>
      <c r="J51" s="253"/>
      <c r="K51" s="253"/>
      <c r="L51" s="253"/>
      <c r="M51" s="253"/>
      <c r="N51" s="253"/>
      <c r="O51" s="253"/>
      <c r="P51" s="253"/>
      <c r="Q51" s="253"/>
      <c r="R51" s="253"/>
      <c r="S51" s="253"/>
      <c r="T51" s="253"/>
      <c r="U51" s="253"/>
      <c r="V51" s="253"/>
      <c r="W51" s="253"/>
      <c r="X51" s="253"/>
      <c r="Y51" s="253"/>
      <c r="Z51" s="253"/>
      <c r="AA51" s="253"/>
      <c r="AB51" s="253"/>
      <c r="AC51" s="253"/>
      <c r="AD51" s="253"/>
      <c r="AE51" s="253"/>
      <c r="AF51" s="253"/>
      <c r="AG51" s="253"/>
      <c r="AH51" s="253"/>
      <c r="AI51" s="253"/>
      <c r="AJ51" s="253"/>
      <c r="AK51" s="253"/>
      <c r="AL51" s="253"/>
      <c r="AM51" s="253"/>
      <c r="AN51" s="253"/>
      <c r="AO51" s="253"/>
      <c r="AP51" s="253"/>
      <c r="AQ51" s="253"/>
      <c r="AR51" s="253"/>
      <c r="AS51" s="253"/>
      <c r="AT51" s="253"/>
      <c r="AU51" s="253"/>
      <c r="AV51" s="253"/>
      <c r="AW51" s="253"/>
      <c r="AX51" s="253"/>
      <c r="AY51" s="253"/>
      <c r="AZ51" s="253"/>
      <c r="BA51" s="253"/>
      <c r="BB51" s="253"/>
      <c r="BC51" s="253"/>
      <c r="BD51" s="253"/>
      <c r="BE51" s="253"/>
      <c r="BF51" s="253"/>
      <c r="BG51" s="253"/>
      <c r="BH51" s="253"/>
      <c r="BI51" s="253"/>
      <c r="BJ51" s="253"/>
      <c r="BK51" s="253"/>
      <c r="BL51" s="253"/>
      <c r="BM51" s="253"/>
      <c r="BN51" s="253"/>
      <c r="BO51" s="253"/>
      <c r="BP51" s="253"/>
      <c r="BQ51" s="253"/>
      <c r="BR51" s="253"/>
      <c r="BS51" s="253"/>
      <c r="BT51" s="253"/>
      <c r="BU51" s="253"/>
      <c r="BV51" s="253"/>
      <c r="BW51" s="253"/>
      <c r="BX51" s="253"/>
      <c r="BY51" s="253"/>
      <c r="BZ51" s="253"/>
      <c r="CA51" s="253"/>
      <c r="CB51" s="253"/>
      <c r="CC51" s="253"/>
      <c r="CD51" s="253"/>
      <c r="CE51" s="253"/>
      <c r="CF51" s="253"/>
      <c r="CG51" s="253"/>
      <c r="CH51" s="253"/>
      <c r="CI51" s="253"/>
      <c r="CJ51" s="253"/>
      <c r="CK51" s="253"/>
      <c r="CL51" s="253"/>
      <c r="CM51" s="253"/>
      <c r="CN51" s="253"/>
      <c r="CO51" s="253"/>
      <c r="CP51" s="253"/>
      <c r="CQ51" s="253"/>
      <c r="CR51" s="253"/>
      <c r="CS51" s="253"/>
      <c r="CT51" s="253"/>
      <c r="CU51" s="253"/>
      <c r="CV51" s="253"/>
      <c r="CW51" s="253"/>
      <c r="CX51" s="253"/>
      <c r="CY51" s="253"/>
      <c r="CZ51" s="253"/>
      <c r="DA51" s="253"/>
      <c r="DB51" s="253"/>
      <c r="DC51" s="253"/>
      <c r="DD51" s="253"/>
      <c r="DE51" s="253"/>
      <c r="DF51" s="253"/>
      <c r="DG51" s="253"/>
      <c r="DH51" s="253"/>
      <c r="DI51" s="253"/>
      <c r="DJ51" s="253"/>
      <c r="DK51" s="253"/>
      <c r="DL51" s="253"/>
      <c r="DM51" s="253"/>
      <c r="DN51" s="253"/>
      <c r="DO51" s="253"/>
      <c r="DP51" s="253"/>
      <c r="DQ51" s="253"/>
      <c r="DR51" s="253"/>
      <c r="DS51" s="253"/>
      <c r="DT51" s="253"/>
      <c r="DU51" s="253"/>
      <c r="DV51" s="253"/>
      <c r="DW51" s="253"/>
      <c r="DX51" s="253"/>
      <c r="DY51" s="253"/>
      <c r="DZ51" s="253"/>
      <c r="EA51" s="253"/>
      <c r="EB51" s="253"/>
      <c r="EC51" s="253"/>
      <c r="ED51" s="253"/>
      <c r="EE51" s="253"/>
      <c r="EF51" s="253"/>
      <c r="EG51" s="253"/>
      <c r="EH51" s="253"/>
      <c r="EI51" s="253"/>
      <c r="EJ51" s="253"/>
      <c r="EK51" s="253"/>
      <c r="EL51" s="253"/>
      <c r="EM51" s="253"/>
      <c r="EN51" s="253"/>
      <c r="EO51" s="253"/>
      <c r="EP51" s="253"/>
      <c r="EQ51" s="253"/>
      <c r="ER51" s="253"/>
      <c r="ES51" s="253"/>
      <c r="ET51" s="253"/>
      <c r="EU51" s="253"/>
      <c r="EV51" s="253"/>
      <c r="EW51" s="253"/>
      <c r="EX51" s="253"/>
      <c r="EY51" s="253"/>
      <c r="EZ51" s="253"/>
      <c r="FA51" s="253"/>
      <c r="FB51" s="253"/>
      <c r="FC51" s="253"/>
      <c r="FD51" s="253"/>
      <c r="FE51" s="253"/>
      <c r="FF51" s="253"/>
      <c r="FG51" s="253"/>
      <c r="FH51" s="253"/>
      <c r="FI51" s="253"/>
      <c r="FJ51" s="253"/>
      <c r="FK51" s="253"/>
      <c r="FL51" s="253"/>
      <c r="FM51" s="262"/>
      <c r="FN51" s="257" t="s">
        <v>1216</v>
      </c>
      <c r="FO51" s="258" t="s">
        <v>389</v>
      </c>
      <c r="FP51" s="258" t="s">
        <v>431</v>
      </c>
      <c r="FQ51" s="258" t="s">
        <v>432</v>
      </c>
      <c r="FR51" s="259">
        <f t="shared" si="0"/>
        <v>0</v>
      </c>
      <c r="FS51" s="260" t="s">
        <v>433</v>
      </c>
      <c r="FT51" s="260"/>
    </row>
    <row r="52" spans="1:176">
      <c r="A52" s="251" t="s">
        <v>392</v>
      </c>
      <c r="B52" s="251" t="s">
        <v>411</v>
      </c>
      <c r="C52" s="251" t="s">
        <v>291</v>
      </c>
      <c r="D52" s="252" t="s">
        <v>430</v>
      </c>
      <c r="E52" s="251" t="s">
        <v>388</v>
      </c>
      <c r="F52" s="251" t="s">
        <v>1229</v>
      </c>
      <c r="G52" s="253"/>
      <c r="H52" s="255">
        <f>20-20</f>
        <v>0</v>
      </c>
      <c r="I52" s="253"/>
      <c r="J52" s="255">
        <f>50-50</f>
        <v>0</v>
      </c>
      <c r="K52" s="253"/>
      <c r="L52" s="253"/>
      <c r="M52" s="255">
        <f>20-20</f>
        <v>0</v>
      </c>
      <c r="N52" s="253"/>
      <c r="O52" s="253"/>
      <c r="P52" s="255">
        <f>300-300</f>
        <v>0</v>
      </c>
      <c r="Q52" s="253"/>
      <c r="R52" s="253"/>
      <c r="S52" s="253"/>
      <c r="T52" s="253"/>
      <c r="U52" s="253"/>
      <c r="V52" s="253"/>
      <c r="W52" s="253"/>
      <c r="X52" s="253"/>
      <c r="Y52" s="253"/>
      <c r="Z52" s="253"/>
      <c r="AA52" s="253"/>
      <c r="AB52" s="253"/>
      <c r="AC52" s="255">
        <f>60-60</f>
        <v>0</v>
      </c>
      <c r="AD52" s="253"/>
      <c r="AE52" s="255">
        <f>40-40</f>
        <v>0</v>
      </c>
      <c r="AF52" s="255">
        <f>40-40</f>
        <v>0</v>
      </c>
      <c r="AG52" s="253"/>
      <c r="AH52" s="253"/>
      <c r="AI52" s="253"/>
      <c r="AJ52" s="253"/>
      <c r="AK52" s="253"/>
      <c r="AL52" s="253"/>
      <c r="AM52" s="253"/>
      <c r="AN52" s="253"/>
      <c r="AO52" s="253"/>
      <c r="AP52" s="253"/>
      <c r="AQ52" s="253"/>
      <c r="AR52" s="253"/>
      <c r="AS52" s="253"/>
      <c r="AT52" s="253"/>
      <c r="AU52" s="253"/>
      <c r="AV52" s="253"/>
      <c r="AW52" s="253"/>
      <c r="AX52" s="253"/>
      <c r="AY52" s="253"/>
      <c r="AZ52" s="253"/>
      <c r="BA52" s="253"/>
      <c r="BB52" s="253"/>
      <c r="BC52" s="255">
        <f>40-40</f>
        <v>0</v>
      </c>
      <c r="BD52" s="253"/>
      <c r="BE52" s="253"/>
      <c r="BF52" s="253"/>
      <c r="BG52" s="253"/>
      <c r="BH52" s="253"/>
      <c r="BI52" s="253"/>
      <c r="BJ52" s="253"/>
      <c r="BK52" s="253"/>
      <c r="BL52" s="253"/>
      <c r="BM52" s="253"/>
      <c r="BN52" s="253"/>
      <c r="BO52" s="253"/>
      <c r="BP52" s="253"/>
      <c r="BQ52" s="253"/>
      <c r="BR52" s="253"/>
      <c r="BS52" s="253"/>
      <c r="BT52" s="253"/>
      <c r="BU52" s="253"/>
      <c r="BV52" s="253"/>
      <c r="BW52" s="253"/>
      <c r="BX52" s="253"/>
      <c r="BY52" s="253"/>
      <c r="BZ52" s="253"/>
      <c r="CA52" s="253"/>
      <c r="CB52" s="253"/>
      <c r="CC52" s="253"/>
      <c r="CD52" s="253"/>
      <c r="CE52" s="253"/>
      <c r="CF52" s="253"/>
      <c r="CG52" s="253"/>
      <c r="CH52" s="253"/>
      <c r="CI52" s="253"/>
      <c r="CJ52" s="253"/>
      <c r="CK52" s="253"/>
      <c r="CL52" s="253"/>
      <c r="CM52" s="253"/>
      <c r="CN52" s="253"/>
      <c r="CO52" s="253"/>
      <c r="CP52" s="253"/>
      <c r="CQ52" s="253"/>
      <c r="CR52" s="253"/>
      <c r="CS52" s="253"/>
      <c r="CT52" s="253"/>
      <c r="CU52" s="253"/>
      <c r="CV52" s="253"/>
      <c r="CW52" s="253"/>
      <c r="CX52" s="253"/>
      <c r="CY52" s="253"/>
      <c r="CZ52" s="253"/>
      <c r="DA52" s="253"/>
      <c r="DB52" s="253"/>
      <c r="DC52" s="253"/>
      <c r="DD52" s="253"/>
      <c r="DE52" s="253"/>
      <c r="DF52" s="253"/>
      <c r="DG52" s="253"/>
      <c r="DH52" s="253"/>
      <c r="DI52" s="253"/>
      <c r="DJ52" s="253"/>
      <c r="DK52" s="253"/>
      <c r="DL52" s="253"/>
      <c r="DM52" s="253"/>
      <c r="DN52" s="253"/>
      <c r="DO52" s="253"/>
      <c r="DP52" s="253"/>
      <c r="DQ52" s="253"/>
      <c r="DR52" s="253"/>
      <c r="DS52" s="253"/>
      <c r="DT52" s="253"/>
      <c r="DU52" s="253"/>
      <c r="DV52" s="253"/>
      <c r="DW52" s="253"/>
      <c r="DX52" s="253"/>
      <c r="DY52" s="254">
        <f>60-60+60</f>
        <v>60</v>
      </c>
      <c r="DZ52" s="253"/>
      <c r="EA52" s="255">
        <f>150-150</f>
        <v>0</v>
      </c>
      <c r="EB52" s="253"/>
      <c r="EC52" s="255">
        <f>100-100</f>
        <v>0</v>
      </c>
      <c r="ED52" s="253"/>
      <c r="EE52" s="253"/>
      <c r="EF52" s="253"/>
      <c r="EG52" s="253"/>
      <c r="EH52" s="253"/>
      <c r="EI52" s="253"/>
      <c r="EJ52" s="253"/>
      <c r="EK52" s="253"/>
      <c r="EL52" s="253"/>
      <c r="EM52" s="253"/>
      <c r="EN52" s="253"/>
      <c r="EO52" s="253"/>
      <c r="EP52" s="253"/>
      <c r="EQ52" s="253"/>
      <c r="ER52" s="253"/>
      <c r="ES52" s="253"/>
      <c r="ET52" s="253"/>
      <c r="EU52" s="253"/>
      <c r="EV52" s="253"/>
      <c r="EW52" s="253"/>
      <c r="EX52" s="253"/>
      <c r="EY52" s="253"/>
      <c r="EZ52" s="253"/>
      <c r="FA52" s="253"/>
      <c r="FB52" s="253"/>
      <c r="FC52" s="253"/>
      <c r="FD52" s="253"/>
      <c r="FE52" s="253"/>
      <c r="FF52" s="253"/>
      <c r="FG52" s="253"/>
      <c r="FH52" s="253"/>
      <c r="FI52" s="253"/>
      <c r="FJ52" s="253"/>
      <c r="FK52" s="253"/>
      <c r="FL52" s="253"/>
      <c r="FM52" s="262"/>
      <c r="FN52" s="257" t="s">
        <v>1216</v>
      </c>
      <c r="FO52" s="258" t="s">
        <v>389</v>
      </c>
      <c r="FP52" s="258" t="s">
        <v>431</v>
      </c>
      <c r="FQ52" s="258" t="s">
        <v>432</v>
      </c>
      <c r="FR52" s="259">
        <f t="shared" si="0"/>
        <v>60</v>
      </c>
      <c r="FS52" s="260" t="s">
        <v>433</v>
      </c>
      <c r="FT52" s="260"/>
    </row>
    <row r="53" spans="1:176">
      <c r="A53" s="251" t="s">
        <v>392</v>
      </c>
      <c r="B53" s="251" t="s">
        <v>411</v>
      </c>
      <c r="C53" s="251" t="s">
        <v>1</v>
      </c>
      <c r="D53" s="252" t="s">
        <v>430</v>
      </c>
      <c r="E53" s="251" t="s">
        <v>388</v>
      </c>
      <c r="F53" s="251" t="s">
        <v>1229</v>
      </c>
      <c r="G53" s="253"/>
      <c r="H53" s="253"/>
      <c r="I53" s="253"/>
      <c r="J53" s="253"/>
      <c r="K53" s="253"/>
      <c r="L53" s="253"/>
      <c r="M53" s="253"/>
      <c r="N53" s="253"/>
      <c r="O53" s="253"/>
      <c r="P53" s="253"/>
      <c r="Q53" s="253"/>
      <c r="R53" s="255">
        <f>80-80</f>
        <v>0</v>
      </c>
      <c r="S53" s="253"/>
      <c r="T53" s="255">
        <f>100-100</f>
        <v>0</v>
      </c>
      <c r="U53" s="253"/>
      <c r="V53" s="253"/>
      <c r="W53" s="253"/>
      <c r="X53" s="253"/>
      <c r="Y53" s="255">
        <f>10-10</f>
        <v>0</v>
      </c>
      <c r="Z53" s="255">
        <f>110-110</f>
        <v>0</v>
      </c>
      <c r="AA53" s="255">
        <f>40-40</f>
        <v>0</v>
      </c>
      <c r="AB53" s="253"/>
      <c r="AC53" s="253"/>
      <c r="AD53" s="253"/>
      <c r="AE53" s="253"/>
      <c r="AF53" s="253"/>
      <c r="AG53" s="255">
        <f>360-360</f>
        <v>0</v>
      </c>
      <c r="AH53" s="253"/>
      <c r="AI53" s="253"/>
      <c r="AJ53" s="253"/>
      <c r="AK53" s="253"/>
      <c r="AL53" s="253"/>
      <c r="AM53" s="255">
        <f>141-141</f>
        <v>0</v>
      </c>
      <c r="AN53" s="253"/>
      <c r="AO53" s="253"/>
      <c r="AP53" s="255">
        <f>90-90</f>
        <v>0</v>
      </c>
      <c r="AQ53" s="253"/>
      <c r="AR53" s="253"/>
      <c r="AS53" s="255">
        <f>350-350</f>
        <v>0</v>
      </c>
      <c r="AT53" s="253"/>
      <c r="AU53" s="253"/>
      <c r="AV53" s="253"/>
      <c r="AW53" s="253"/>
      <c r="AX53" s="253"/>
      <c r="AY53" s="253"/>
      <c r="AZ53" s="253"/>
      <c r="BA53" s="253"/>
      <c r="BB53" s="253"/>
      <c r="BC53" s="253"/>
      <c r="BD53" s="253"/>
      <c r="BE53" s="255">
        <f>40-40</f>
        <v>0</v>
      </c>
      <c r="BF53" s="253"/>
      <c r="BG53" s="253"/>
      <c r="BH53" s="253"/>
      <c r="BI53" s="253"/>
      <c r="BJ53" s="253"/>
      <c r="BK53" s="253"/>
      <c r="BL53" s="253"/>
      <c r="BM53" s="253"/>
      <c r="BN53" s="253"/>
      <c r="BO53" s="253"/>
      <c r="BP53" s="253"/>
      <c r="BQ53" s="253"/>
      <c r="BR53" s="253"/>
      <c r="BS53" s="253"/>
      <c r="BT53" s="253"/>
      <c r="BU53" s="253"/>
      <c r="BV53" s="253"/>
      <c r="BW53" s="253"/>
      <c r="BX53" s="253"/>
      <c r="BY53" s="253"/>
      <c r="BZ53" s="253"/>
      <c r="CA53" s="253"/>
      <c r="CB53" s="253"/>
      <c r="CC53" s="253"/>
      <c r="CD53" s="253"/>
      <c r="CE53" s="253"/>
      <c r="CF53" s="253"/>
      <c r="CG53" s="253"/>
      <c r="CH53" s="253"/>
      <c r="CI53" s="253"/>
      <c r="CJ53" s="253"/>
      <c r="CK53" s="253"/>
      <c r="CL53" s="253"/>
      <c r="CM53" s="253"/>
      <c r="CN53" s="253"/>
      <c r="CO53" s="253"/>
      <c r="CP53" s="253"/>
      <c r="CQ53" s="253"/>
      <c r="CR53" s="253"/>
      <c r="CS53" s="253"/>
      <c r="CT53" s="253"/>
      <c r="CU53" s="253"/>
      <c r="CV53" s="253"/>
      <c r="CW53" s="253"/>
      <c r="CX53" s="253"/>
      <c r="CY53" s="253"/>
      <c r="CZ53" s="253"/>
      <c r="DA53" s="253"/>
      <c r="DB53" s="253"/>
      <c r="DC53" s="253"/>
      <c r="DD53" s="253"/>
      <c r="DE53" s="253"/>
      <c r="DF53" s="253"/>
      <c r="DG53" s="253"/>
      <c r="DH53" s="253"/>
      <c r="DI53" s="253"/>
      <c r="DJ53" s="253"/>
      <c r="DK53" s="253"/>
      <c r="DL53" s="253"/>
      <c r="DM53" s="253"/>
      <c r="DN53" s="253"/>
      <c r="DO53" s="253"/>
      <c r="DP53" s="253"/>
      <c r="DQ53" s="253"/>
      <c r="DR53" s="253"/>
      <c r="DS53" s="253"/>
      <c r="DT53" s="253"/>
      <c r="DU53" s="253"/>
      <c r="DV53" s="253"/>
      <c r="DW53" s="253"/>
      <c r="DX53" s="253"/>
      <c r="DY53" s="253"/>
      <c r="DZ53" s="255">
        <f>240-240</f>
        <v>0</v>
      </c>
      <c r="EA53" s="253"/>
      <c r="EB53" s="253"/>
      <c r="EC53" s="253"/>
      <c r="ED53" s="253"/>
      <c r="EE53" s="253"/>
      <c r="EF53" s="253"/>
      <c r="EG53" s="253"/>
      <c r="EH53" s="255">
        <f>40-40</f>
        <v>0</v>
      </c>
      <c r="EI53" s="255">
        <f>10-10</f>
        <v>0</v>
      </c>
      <c r="EJ53" s="255">
        <f>4-4</f>
        <v>0</v>
      </c>
      <c r="EK53" s="253"/>
      <c r="EL53" s="255">
        <f>20-20</f>
        <v>0</v>
      </c>
      <c r="EM53" s="253"/>
      <c r="EN53" s="255">
        <f>40-40</f>
        <v>0</v>
      </c>
      <c r="EO53" s="255">
        <f>30-30</f>
        <v>0</v>
      </c>
      <c r="EP53" s="253"/>
      <c r="EQ53" s="255">
        <f>95-95</f>
        <v>0</v>
      </c>
      <c r="ER53" s="253"/>
      <c r="ES53" s="253"/>
      <c r="ET53" s="253"/>
      <c r="EU53" s="253"/>
      <c r="EV53" s="253"/>
      <c r="EW53" s="253"/>
      <c r="EX53" s="253"/>
      <c r="EY53" s="253"/>
      <c r="EZ53" s="253"/>
      <c r="FA53" s="253"/>
      <c r="FB53" s="253"/>
      <c r="FC53" s="253"/>
      <c r="FD53" s="253"/>
      <c r="FE53" s="253"/>
      <c r="FF53" s="253"/>
      <c r="FG53" s="253"/>
      <c r="FH53" s="253"/>
      <c r="FI53" s="253"/>
      <c r="FJ53" s="253"/>
      <c r="FK53" s="253"/>
      <c r="FL53" s="253"/>
      <c r="FM53" s="262"/>
      <c r="FN53" s="257" t="s">
        <v>1216</v>
      </c>
      <c r="FO53" s="258" t="s">
        <v>389</v>
      </c>
      <c r="FP53" s="258" t="s">
        <v>431</v>
      </c>
      <c r="FQ53" s="258" t="s">
        <v>432</v>
      </c>
      <c r="FR53" s="259">
        <f t="shared" si="0"/>
        <v>0</v>
      </c>
      <c r="FS53" s="260" t="s">
        <v>433</v>
      </c>
      <c r="FT53" s="260"/>
    </row>
    <row r="54" spans="1:176">
      <c r="A54" s="251" t="s">
        <v>392</v>
      </c>
      <c r="B54" s="251" t="s">
        <v>411</v>
      </c>
      <c r="C54" s="251" t="s">
        <v>293</v>
      </c>
      <c r="D54" s="252" t="s">
        <v>430</v>
      </c>
      <c r="E54" s="251" t="s">
        <v>388</v>
      </c>
      <c r="F54" s="251" t="s">
        <v>1230</v>
      </c>
      <c r="G54" s="253"/>
      <c r="H54" s="253"/>
      <c r="I54" s="255">
        <f>60-60</f>
        <v>0</v>
      </c>
      <c r="J54" s="253"/>
      <c r="K54" s="253"/>
      <c r="L54" s="253"/>
      <c r="M54" s="253"/>
      <c r="N54" s="253"/>
      <c r="O54" s="253"/>
      <c r="P54" s="253"/>
      <c r="Q54" s="253"/>
      <c r="R54" s="253"/>
      <c r="S54" s="253"/>
      <c r="T54" s="253"/>
      <c r="U54" s="253"/>
      <c r="V54" s="253"/>
      <c r="W54" s="253"/>
      <c r="X54" s="253"/>
      <c r="Y54" s="253"/>
      <c r="Z54" s="253"/>
      <c r="AA54" s="253"/>
      <c r="AB54" s="253"/>
      <c r="AC54" s="253"/>
      <c r="AD54" s="253"/>
      <c r="AE54" s="253"/>
      <c r="AF54" s="253"/>
      <c r="AG54" s="253"/>
      <c r="AH54" s="253"/>
      <c r="AI54" s="253"/>
      <c r="AJ54" s="253"/>
      <c r="AK54" s="253"/>
      <c r="AL54" s="253"/>
      <c r="AM54" s="253"/>
      <c r="AN54" s="253"/>
      <c r="AO54" s="253"/>
      <c r="AP54" s="253"/>
      <c r="AQ54" s="253"/>
      <c r="AR54" s="253"/>
      <c r="AS54" s="253"/>
      <c r="AT54" s="253"/>
      <c r="AU54" s="253"/>
      <c r="AV54" s="253"/>
      <c r="AW54" s="253"/>
      <c r="AX54" s="253"/>
      <c r="AY54" s="253"/>
      <c r="AZ54" s="253"/>
      <c r="BA54" s="253"/>
      <c r="BB54" s="253"/>
      <c r="BC54" s="253"/>
      <c r="BD54" s="253"/>
      <c r="BE54" s="253"/>
      <c r="BF54" s="253"/>
      <c r="BG54" s="253"/>
      <c r="BH54" s="253"/>
      <c r="BI54" s="253"/>
      <c r="BJ54" s="253"/>
      <c r="BK54" s="253"/>
      <c r="BL54" s="253"/>
      <c r="BM54" s="253"/>
      <c r="BN54" s="253"/>
      <c r="BO54" s="253"/>
      <c r="BP54" s="253"/>
      <c r="BQ54" s="253"/>
      <c r="BR54" s="253"/>
      <c r="BS54" s="253"/>
      <c r="BT54" s="253"/>
      <c r="BU54" s="253"/>
      <c r="BV54" s="253"/>
      <c r="BW54" s="253"/>
      <c r="BX54" s="253"/>
      <c r="BY54" s="253"/>
      <c r="BZ54" s="253"/>
      <c r="CA54" s="253"/>
      <c r="CB54" s="253"/>
      <c r="CC54" s="253"/>
      <c r="CD54" s="253"/>
      <c r="CE54" s="253"/>
      <c r="CF54" s="253"/>
      <c r="CG54" s="253"/>
      <c r="CH54" s="253"/>
      <c r="CI54" s="253"/>
      <c r="CJ54" s="253"/>
      <c r="CK54" s="253"/>
      <c r="CL54" s="253"/>
      <c r="CM54" s="253"/>
      <c r="CN54" s="253"/>
      <c r="CO54" s="253"/>
      <c r="CP54" s="253"/>
      <c r="CQ54" s="253"/>
      <c r="CR54" s="253"/>
      <c r="CS54" s="253"/>
      <c r="CT54" s="253"/>
      <c r="CU54" s="253"/>
      <c r="CV54" s="253"/>
      <c r="CW54" s="253"/>
      <c r="CX54" s="253"/>
      <c r="CY54" s="253"/>
      <c r="CZ54" s="253"/>
      <c r="DA54" s="253"/>
      <c r="DB54" s="253"/>
      <c r="DC54" s="253"/>
      <c r="DD54" s="253"/>
      <c r="DE54" s="253"/>
      <c r="DF54" s="253"/>
      <c r="DG54" s="253"/>
      <c r="DH54" s="253"/>
      <c r="DI54" s="253"/>
      <c r="DJ54" s="253"/>
      <c r="DK54" s="253"/>
      <c r="DL54" s="253"/>
      <c r="DM54" s="253"/>
      <c r="DN54" s="253"/>
      <c r="DO54" s="253"/>
      <c r="DP54" s="253"/>
      <c r="DQ54" s="253"/>
      <c r="DR54" s="253"/>
      <c r="DS54" s="253"/>
      <c r="DT54" s="253"/>
      <c r="DU54" s="253"/>
      <c r="DV54" s="253"/>
      <c r="DW54" s="253"/>
      <c r="DX54" s="253"/>
      <c r="DY54" s="253"/>
      <c r="DZ54" s="253"/>
      <c r="EA54" s="253"/>
      <c r="EB54" s="253"/>
      <c r="EC54" s="253"/>
      <c r="ED54" s="253"/>
      <c r="EE54" s="253"/>
      <c r="EF54" s="253"/>
      <c r="EG54" s="253"/>
      <c r="EH54" s="253"/>
      <c r="EI54" s="253"/>
      <c r="EJ54" s="253"/>
      <c r="EK54" s="253"/>
      <c r="EL54" s="253"/>
      <c r="EM54" s="253"/>
      <c r="EN54" s="253"/>
      <c r="EO54" s="253"/>
      <c r="EP54" s="253"/>
      <c r="EQ54" s="253"/>
      <c r="ER54" s="253"/>
      <c r="ES54" s="253"/>
      <c r="ET54" s="253"/>
      <c r="EU54" s="253"/>
      <c r="EV54" s="253"/>
      <c r="EW54" s="253"/>
      <c r="EX54" s="253"/>
      <c r="EY54" s="253"/>
      <c r="EZ54" s="253"/>
      <c r="FA54" s="253"/>
      <c r="FB54" s="253"/>
      <c r="FC54" s="253"/>
      <c r="FD54" s="253"/>
      <c r="FE54" s="253"/>
      <c r="FF54" s="253"/>
      <c r="FG54" s="253"/>
      <c r="FH54" s="253"/>
      <c r="FI54" s="253"/>
      <c r="FJ54" s="253"/>
      <c r="FK54" s="253"/>
      <c r="FL54" s="253"/>
      <c r="FM54" s="262"/>
      <c r="FN54" s="257" t="s">
        <v>1216</v>
      </c>
      <c r="FO54" s="258" t="s">
        <v>389</v>
      </c>
      <c r="FP54" s="258" t="s">
        <v>431</v>
      </c>
      <c r="FQ54" s="258" t="s">
        <v>432</v>
      </c>
      <c r="FR54" s="259">
        <f t="shared" si="0"/>
        <v>0</v>
      </c>
      <c r="FS54" s="260" t="s">
        <v>433</v>
      </c>
      <c r="FT54" s="260"/>
    </row>
    <row r="55" spans="1:176">
      <c r="A55" s="251" t="s">
        <v>385</v>
      </c>
      <c r="B55" s="251" t="s">
        <v>411</v>
      </c>
      <c r="C55" s="251" t="s">
        <v>291</v>
      </c>
      <c r="D55" s="252" t="s">
        <v>434</v>
      </c>
      <c r="E55" s="251" t="s">
        <v>388</v>
      </c>
      <c r="F55" s="251" t="s">
        <v>1231</v>
      </c>
      <c r="G55" s="253"/>
      <c r="H55" s="253"/>
      <c r="I55" s="253"/>
      <c r="J55" s="253"/>
      <c r="K55" s="253"/>
      <c r="L55" s="253"/>
      <c r="M55" s="253"/>
      <c r="N55" s="253"/>
      <c r="O55" s="253"/>
      <c r="P55" s="253"/>
      <c r="Q55" s="253"/>
      <c r="R55" s="253"/>
      <c r="S55" s="253"/>
      <c r="T55" s="253"/>
      <c r="U55" s="253"/>
      <c r="V55" s="253"/>
      <c r="W55" s="253"/>
      <c r="X55" s="253"/>
      <c r="Y55" s="253"/>
      <c r="Z55" s="253"/>
      <c r="AA55" s="253"/>
      <c r="AB55" s="253"/>
      <c r="AC55" s="255">
        <f>300-300</f>
        <v>0</v>
      </c>
      <c r="AD55" s="253"/>
      <c r="AE55" s="253"/>
      <c r="AF55" s="253"/>
      <c r="AG55" s="253"/>
      <c r="AH55" s="253"/>
      <c r="AI55" s="253"/>
      <c r="AJ55" s="253"/>
      <c r="AK55" s="253"/>
      <c r="AL55" s="253"/>
      <c r="AM55" s="253"/>
      <c r="AN55" s="253"/>
      <c r="AO55" s="253"/>
      <c r="AP55" s="253"/>
      <c r="AQ55" s="253"/>
      <c r="AR55" s="253"/>
      <c r="AS55" s="253"/>
      <c r="AT55" s="253"/>
      <c r="AU55" s="253"/>
      <c r="AV55" s="253"/>
      <c r="AW55" s="253"/>
      <c r="AX55" s="253"/>
      <c r="AY55" s="253"/>
      <c r="AZ55" s="253"/>
      <c r="BA55" s="253"/>
      <c r="BB55" s="253"/>
      <c r="BC55" s="255">
        <f>500-500</f>
        <v>0</v>
      </c>
      <c r="BD55" s="253"/>
      <c r="BE55" s="253"/>
      <c r="BF55" s="253"/>
      <c r="BG55" s="253"/>
      <c r="BH55" s="253"/>
      <c r="BI55" s="253"/>
      <c r="BJ55" s="253"/>
      <c r="BK55" s="253"/>
      <c r="BL55" s="253"/>
      <c r="BM55" s="253"/>
      <c r="BN55" s="253"/>
      <c r="BO55" s="253"/>
      <c r="BP55" s="253"/>
      <c r="BQ55" s="253"/>
      <c r="BR55" s="253"/>
      <c r="BS55" s="253"/>
      <c r="BT55" s="253"/>
      <c r="BU55" s="253"/>
      <c r="BV55" s="253"/>
      <c r="BW55" s="253"/>
      <c r="BX55" s="253"/>
      <c r="BY55" s="253"/>
      <c r="BZ55" s="253"/>
      <c r="CA55" s="253"/>
      <c r="CB55" s="253"/>
      <c r="CC55" s="253"/>
      <c r="CD55" s="253"/>
      <c r="CE55" s="253"/>
      <c r="CF55" s="253"/>
      <c r="CG55" s="253"/>
      <c r="CH55" s="253"/>
      <c r="CI55" s="253"/>
      <c r="CJ55" s="253"/>
      <c r="CK55" s="253"/>
      <c r="CL55" s="253"/>
      <c r="CM55" s="253"/>
      <c r="CN55" s="253"/>
      <c r="CO55" s="253"/>
      <c r="CP55" s="253"/>
      <c r="CQ55" s="253"/>
      <c r="CR55" s="253"/>
      <c r="CS55" s="253"/>
      <c r="CT55" s="253"/>
      <c r="CU55" s="253"/>
      <c r="CV55" s="253"/>
      <c r="CW55" s="253"/>
      <c r="CX55" s="253"/>
      <c r="CY55" s="253"/>
      <c r="CZ55" s="253"/>
      <c r="DA55" s="253"/>
      <c r="DB55" s="253"/>
      <c r="DC55" s="253"/>
      <c r="DD55" s="253"/>
      <c r="DE55" s="253"/>
      <c r="DF55" s="253"/>
      <c r="DG55" s="253"/>
      <c r="DH55" s="253"/>
      <c r="DI55" s="253"/>
      <c r="DJ55" s="253"/>
      <c r="DK55" s="253"/>
      <c r="DL55" s="253"/>
      <c r="DM55" s="253"/>
      <c r="DN55" s="253"/>
      <c r="DO55" s="253"/>
      <c r="DP55" s="253"/>
      <c r="DQ55" s="253"/>
      <c r="DR55" s="253"/>
      <c r="DS55" s="253"/>
      <c r="DT55" s="253"/>
      <c r="DU55" s="253"/>
      <c r="DV55" s="253"/>
      <c r="DW55" s="253"/>
      <c r="DX55" s="253"/>
      <c r="DY55" s="253"/>
      <c r="DZ55" s="253"/>
      <c r="EA55" s="253"/>
      <c r="EB55" s="253"/>
      <c r="EC55" s="253"/>
      <c r="ED55" s="253"/>
      <c r="EE55" s="253"/>
      <c r="EF55" s="253"/>
      <c r="EG55" s="253"/>
      <c r="EH55" s="253"/>
      <c r="EI55" s="253"/>
      <c r="EJ55" s="253"/>
      <c r="EK55" s="253"/>
      <c r="EL55" s="253"/>
      <c r="EM55" s="253"/>
      <c r="EN55" s="253"/>
      <c r="EO55" s="253"/>
      <c r="EP55" s="253"/>
      <c r="EQ55" s="253"/>
      <c r="ER55" s="253"/>
      <c r="ES55" s="253"/>
      <c r="ET55" s="253"/>
      <c r="EU55" s="253"/>
      <c r="EV55" s="253"/>
      <c r="EW55" s="253"/>
      <c r="EX55" s="253"/>
      <c r="EY55" s="253"/>
      <c r="EZ55" s="253"/>
      <c r="FA55" s="253"/>
      <c r="FB55" s="253"/>
      <c r="FC55" s="253"/>
      <c r="FD55" s="253"/>
      <c r="FE55" s="253"/>
      <c r="FF55" s="253"/>
      <c r="FG55" s="253"/>
      <c r="FH55" s="253"/>
      <c r="FI55" s="253"/>
      <c r="FJ55" s="253"/>
      <c r="FK55" s="253"/>
      <c r="FL55" s="253"/>
      <c r="FM55" s="262"/>
      <c r="FN55" s="257" t="s">
        <v>1216</v>
      </c>
      <c r="FO55" s="258" t="s">
        <v>389</v>
      </c>
      <c r="FP55" s="258" t="s">
        <v>1082</v>
      </c>
      <c r="FQ55" s="258" t="s">
        <v>420</v>
      </c>
      <c r="FR55" s="259">
        <f t="shared" si="0"/>
        <v>0</v>
      </c>
      <c r="FS55" s="260" t="s">
        <v>421</v>
      </c>
      <c r="FT55" s="260"/>
    </row>
    <row r="56" spans="1:176">
      <c r="A56" s="251" t="s">
        <v>385</v>
      </c>
      <c r="B56" s="251" t="s">
        <v>411</v>
      </c>
      <c r="C56" s="251" t="s">
        <v>1</v>
      </c>
      <c r="D56" s="252" t="s">
        <v>434</v>
      </c>
      <c r="E56" s="251" t="s">
        <v>388</v>
      </c>
      <c r="F56" s="251" t="s">
        <v>1231</v>
      </c>
      <c r="G56" s="253"/>
      <c r="H56" s="253"/>
      <c r="I56" s="253"/>
      <c r="J56" s="253"/>
      <c r="K56" s="253"/>
      <c r="L56" s="253"/>
      <c r="M56" s="253"/>
      <c r="N56" s="253"/>
      <c r="O56" s="253"/>
      <c r="P56" s="253"/>
      <c r="Q56" s="253"/>
      <c r="R56" s="253"/>
      <c r="S56" s="253"/>
      <c r="T56" s="253"/>
      <c r="U56" s="253"/>
      <c r="V56" s="253"/>
      <c r="W56" s="253"/>
      <c r="X56" s="253"/>
      <c r="Y56" s="253"/>
      <c r="Z56" s="253"/>
      <c r="AA56" s="255">
        <f>200-200</f>
        <v>0</v>
      </c>
      <c r="AB56" s="253"/>
      <c r="AC56" s="253"/>
      <c r="AD56" s="253"/>
      <c r="AE56" s="253"/>
      <c r="AF56" s="253"/>
      <c r="AG56" s="253"/>
      <c r="AH56" s="253"/>
      <c r="AI56" s="253"/>
      <c r="AJ56" s="253"/>
      <c r="AK56" s="253"/>
      <c r="AL56" s="253"/>
      <c r="AM56" s="255">
        <f>300-300</f>
        <v>0</v>
      </c>
      <c r="AN56" s="253"/>
      <c r="AO56" s="253"/>
      <c r="AP56" s="253"/>
      <c r="AQ56" s="253"/>
      <c r="AR56" s="253"/>
      <c r="AS56" s="255">
        <f>300-300</f>
        <v>0</v>
      </c>
      <c r="AT56" s="253"/>
      <c r="AU56" s="253"/>
      <c r="AV56" s="253"/>
      <c r="AW56" s="253"/>
      <c r="AX56" s="253"/>
      <c r="AY56" s="255">
        <f>500-500</f>
        <v>0</v>
      </c>
      <c r="AZ56" s="253"/>
      <c r="BA56" s="253"/>
      <c r="BB56" s="253"/>
      <c r="BC56" s="253"/>
      <c r="BD56" s="253"/>
      <c r="BE56" s="253"/>
      <c r="BF56" s="253"/>
      <c r="BG56" s="253"/>
      <c r="BH56" s="253"/>
      <c r="BI56" s="253"/>
      <c r="BJ56" s="253"/>
      <c r="BK56" s="253"/>
      <c r="BL56" s="253"/>
      <c r="BM56" s="253"/>
      <c r="BN56" s="253"/>
      <c r="BO56" s="253"/>
      <c r="BP56" s="253"/>
      <c r="BQ56" s="253"/>
      <c r="BR56" s="253"/>
      <c r="BS56" s="253"/>
      <c r="BT56" s="253"/>
      <c r="BU56" s="253"/>
      <c r="BV56" s="253"/>
      <c r="BW56" s="253"/>
      <c r="BX56" s="253"/>
      <c r="BY56" s="253"/>
      <c r="BZ56" s="253"/>
      <c r="CA56" s="253"/>
      <c r="CB56" s="253"/>
      <c r="CC56" s="253"/>
      <c r="CD56" s="253"/>
      <c r="CE56" s="253"/>
      <c r="CF56" s="253"/>
      <c r="CG56" s="253"/>
      <c r="CH56" s="253"/>
      <c r="CI56" s="253"/>
      <c r="CJ56" s="253"/>
      <c r="CK56" s="253"/>
      <c r="CL56" s="253"/>
      <c r="CM56" s="253"/>
      <c r="CN56" s="253"/>
      <c r="CO56" s="253"/>
      <c r="CP56" s="253"/>
      <c r="CQ56" s="253"/>
      <c r="CR56" s="253"/>
      <c r="CS56" s="253"/>
      <c r="CT56" s="253"/>
      <c r="CU56" s="253"/>
      <c r="CV56" s="253"/>
      <c r="CW56" s="253"/>
      <c r="CX56" s="253"/>
      <c r="CY56" s="253"/>
      <c r="CZ56" s="253"/>
      <c r="DA56" s="253"/>
      <c r="DB56" s="253"/>
      <c r="DC56" s="253"/>
      <c r="DD56" s="253"/>
      <c r="DE56" s="253"/>
      <c r="DF56" s="253"/>
      <c r="DG56" s="253"/>
      <c r="DH56" s="253"/>
      <c r="DI56" s="253"/>
      <c r="DJ56" s="253"/>
      <c r="DK56" s="253"/>
      <c r="DL56" s="253"/>
      <c r="DM56" s="253"/>
      <c r="DN56" s="253"/>
      <c r="DO56" s="253"/>
      <c r="DP56" s="253"/>
      <c r="DQ56" s="253"/>
      <c r="DR56" s="253"/>
      <c r="DS56" s="253"/>
      <c r="DT56" s="253"/>
      <c r="DU56" s="253"/>
      <c r="DV56" s="253"/>
      <c r="DW56" s="253"/>
      <c r="DX56" s="253"/>
      <c r="DY56" s="253"/>
      <c r="DZ56" s="253"/>
      <c r="EA56" s="253"/>
      <c r="EB56" s="253"/>
      <c r="EC56" s="253"/>
      <c r="ED56" s="253"/>
      <c r="EE56" s="253"/>
      <c r="EF56" s="253"/>
      <c r="EG56" s="253"/>
      <c r="EH56" s="253"/>
      <c r="EI56" s="253"/>
      <c r="EJ56" s="253"/>
      <c r="EK56" s="253"/>
      <c r="EL56" s="253"/>
      <c r="EM56" s="253"/>
      <c r="EN56" s="253"/>
      <c r="EO56" s="253"/>
      <c r="EP56" s="253"/>
      <c r="EQ56" s="253"/>
      <c r="ER56" s="253"/>
      <c r="ES56" s="253"/>
      <c r="ET56" s="253"/>
      <c r="EU56" s="253"/>
      <c r="EV56" s="253"/>
      <c r="EW56" s="253"/>
      <c r="EX56" s="253"/>
      <c r="EY56" s="253"/>
      <c r="EZ56" s="253"/>
      <c r="FA56" s="253"/>
      <c r="FB56" s="253"/>
      <c r="FC56" s="253"/>
      <c r="FD56" s="253"/>
      <c r="FE56" s="253"/>
      <c r="FF56" s="253"/>
      <c r="FG56" s="253"/>
      <c r="FH56" s="253"/>
      <c r="FI56" s="253"/>
      <c r="FJ56" s="253"/>
      <c r="FK56" s="253"/>
      <c r="FL56" s="253"/>
      <c r="FM56" s="262"/>
      <c r="FN56" s="257" t="s">
        <v>1216</v>
      </c>
      <c r="FO56" s="258" t="s">
        <v>389</v>
      </c>
      <c r="FP56" s="258" t="s">
        <v>1082</v>
      </c>
      <c r="FQ56" s="258" t="s">
        <v>420</v>
      </c>
      <c r="FR56" s="259">
        <f t="shared" si="0"/>
        <v>0</v>
      </c>
      <c r="FS56" s="260" t="s">
        <v>421</v>
      </c>
      <c r="FT56" s="260"/>
    </row>
    <row r="57" spans="1:176">
      <c r="A57" s="251" t="s">
        <v>385</v>
      </c>
      <c r="B57" s="251" t="s">
        <v>411</v>
      </c>
      <c r="C57" s="251" t="s">
        <v>291</v>
      </c>
      <c r="D57" s="263" t="s">
        <v>434</v>
      </c>
      <c r="E57" s="251" t="s">
        <v>388</v>
      </c>
      <c r="F57" s="251" t="s">
        <v>1232</v>
      </c>
      <c r="G57" s="253"/>
      <c r="H57" s="253"/>
      <c r="I57" s="253"/>
      <c r="J57" s="253"/>
      <c r="K57" s="253"/>
      <c r="L57" s="253"/>
      <c r="M57" s="253"/>
      <c r="N57" s="253"/>
      <c r="O57" s="253"/>
      <c r="P57" s="253"/>
      <c r="Q57" s="253"/>
      <c r="R57" s="253"/>
      <c r="S57" s="253"/>
      <c r="T57" s="253"/>
      <c r="U57" s="253"/>
      <c r="V57" s="253"/>
      <c r="W57" s="253"/>
      <c r="X57" s="253"/>
      <c r="Y57" s="253"/>
      <c r="Z57" s="253"/>
      <c r="AA57" s="253"/>
      <c r="AB57" s="253"/>
      <c r="AC57" s="255">
        <f>300-300</f>
        <v>0</v>
      </c>
      <c r="AD57" s="253"/>
      <c r="AE57" s="253"/>
      <c r="AF57" s="253"/>
      <c r="AG57" s="253"/>
      <c r="AH57" s="253"/>
      <c r="AI57" s="253"/>
      <c r="AJ57" s="253"/>
      <c r="AK57" s="253"/>
      <c r="AL57" s="253"/>
      <c r="AM57" s="253"/>
      <c r="AN57" s="253"/>
      <c r="AO57" s="253"/>
      <c r="AP57" s="253"/>
      <c r="AQ57" s="253"/>
      <c r="AR57" s="253"/>
      <c r="AS57" s="253"/>
      <c r="AT57" s="253"/>
      <c r="AU57" s="253"/>
      <c r="AV57" s="253"/>
      <c r="AW57" s="253"/>
      <c r="AX57" s="253"/>
      <c r="AY57" s="253"/>
      <c r="AZ57" s="253"/>
      <c r="BA57" s="253"/>
      <c r="BB57" s="253"/>
      <c r="BC57" s="255">
        <f>500-500</f>
        <v>0</v>
      </c>
      <c r="BD57" s="253"/>
      <c r="BE57" s="253"/>
      <c r="BF57" s="253"/>
      <c r="BG57" s="253"/>
      <c r="BH57" s="253"/>
      <c r="BI57" s="253"/>
      <c r="BJ57" s="253"/>
      <c r="BK57" s="253"/>
      <c r="BL57" s="253"/>
      <c r="BM57" s="253"/>
      <c r="BN57" s="253"/>
      <c r="BO57" s="253"/>
      <c r="BP57" s="253"/>
      <c r="BQ57" s="253"/>
      <c r="BR57" s="253"/>
      <c r="BS57" s="253"/>
      <c r="BT57" s="253"/>
      <c r="BU57" s="253"/>
      <c r="BV57" s="253"/>
      <c r="BW57" s="253"/>
      <c r="BX57" s="253"/>
      <c r="BY57" s="253"/>
      <c r="BZ57" s="253"/>
      <c r="CA57" s="253"/>
      <c r="CB57" s="253"/>
      <c r="CC57" s="253"/>
      <c r="CD57" s="253"/>
      <c r="CE57" s="253"/>
      <c r="CF57" s="253"/>
      <c r="CG57" s="253"/>
      <c r="CH57" s="253"/>
      <c r="CI57" s="253"/>
      <c r="CJ57" s="253"/>
      <c r="CK57" s="253"/>
      <c r="CL57" s="253"/>
      <c r="CM57" s="253"/>
      <c r="CN57" s="253"/>
      <c r="CO57" s="253"/>
      <c r="CP57" s="253"/>
      <c r="CQ57" s="253"/>
      <c r="CR57" s="253"/>
      <c r="CS57" s="253"/>
      <c r="CT57" s="253"/>
      <c r="CU57" s="253"/>
      <c r="CV57" s="253"/>
      <c r="CW57" s="253"/>
      <c r="CX57" s="253"/>
      <c r="CY57" s="253"/>
      <c r="CZ57" s="253"/>
      <c r="DA57" s="253"/>
      <c r="DB57" s="253"/>
      <c r="DC57" s="253"/>
      <c r="DD57" s="253"/>
      <c r="DE57" s="253"/>
      <c r="DF57" s="253"/>
      <c r="DG57" s="253"/>
      <c r="DH57" s="253"/>
      <c r="DI57" s="253"/>
      <c r="DJ57" s="253"/>
      <c r="DK57" s="253"/>
      <c r="DL57" s="253"/>
      <c r="DM57" s="253"/>
      <c r="DN57" s="253"/>
      <c r="DO57" s="253"/>
      <c r="DP57" s="253"/>
      <c r="DQ57" s="253"/>
      <c r="DR57" s="253"/>
      <c r="DS57" s="253"/>
      <c r="DT57" s="253"/>
      <c r="DU57" s="253"/>
      <c r="DV57" s="253"/>
      <c r="DW57" s="253"/>
      <c r="DX57" s="253"/>
      <c r="DY57" s="253"/>
      <c r="DZ57" s="253"/>
      <c r="EA57" s="253"/>
      <c r="EB57" s="253"/>
      <c r="EC57" s="253"/>
      <c r="ED57" s="253"/>
      <c r="EE57" s="253"/>
      <c r="EF57" s="253"/>
      <c r="EG57" s="253"/>
      <c r="EH57" s="253"/>
      <c r="EI57" s="253"/>
      <c r="EJ57" s="253"/>
      <c r="EK57" s="253"/>
      <c r="EL57" s="253"/>
      <c r="EM57" s="253"/>
      <c r="EN57" s="253"/>
      <c r="EO57" s="253"/>
      <c r="EP57" s="253"/>
      <c r="EQ57" s="253"/>
      <c r="ER57" s="253"/>
      <c r="ES57" s="253"/>
      <c r="ET57" s="253"/>
      <c r="EU57" s="253"/>
      <c r="EV57" s="253"/>
      <c r="EW57" s="253"/>
      <c r="EX57" s="253"/>
      <c r="EY57" s="253"/>
      <c r="EZ57" s="253"/>
      <c r="FA57" s="253"/>
      <c r="FB57" s="253"/>
      <c r="FC57" s="253"/>
      <c r="FD57" s="253"/>
      <c r="FE57" s="253"/>
      <c r="FF57" s="253"/>
      <c r="FG57" s="253"/>
      <c r="FH57" s="253"/>
      <c r="FI57" s="253"/>
      <c r="FJ57" s="253"/>
      <c r="FK57" s="253"/>
      <c r="FL57" s="253"/>
      <c r="FM57" s="262"/>
      <c r="FN57" s="257" t="s">
        <v>1216</v>
      </c>
      <c r="FO57" s="258" t="s">
        <v>389</v>
      </c>
      <c r="FP57" s="258" t="s">
        <v>435</v>
      </c>
      <c r="FQ57" s="258" t="s">
        <v>420</v>
      </c>
      <c r="FR57" s="259">
        <f t="shared" si="0"/>
        <v>0</v>
      </c>
      <c r="FS57" s="260" t="s">
        <v>421</v>
      </c>
      <c r="FT57" s="260"/>
    </row>
    <row r="58" spans="1:176">
      <c r="A58" s="251" t="s">
        <v>385</v>
      </c>
      <c r="B58" s="251" t="s">
        <v>411</v>
      </c>
      <c r="C58" s="251" t="s">
        <v>1</v>
      </c>
      <c r="D58" s="263" t="s">
        <v>434</v>
      </c>
      <c r="E58" s="251" t="s">
        <v>388</v>
      </c>
      <c r="F58" s="251" t="s">
        <v>1232</v>
      </c>
      <c r="G58" s="253"/>
      <c r="H58" s="253"/>
      <c r="I58" s="253"/>
      <c r="J58" s="253"/>
      <c r="K58" s="253"/>
      <c r="L58" s="253"/>
      <c r="M58" s="253"/>
      <c r="N58" s="253"/>
      <c r="O58" s="253"/>
      <c r="P58" s="253"/>
      <c r="Q58" s="253"/>
      <c r="R58" s="253"/>
      <c r="S58" s="253"/>
      <c r="T58" s="253"/>
      <c r="U58" s="253"/>
      <c r="V58" s="253"/>
      <c r="W58" s="253"/>
      <c r="X58" s="253"/>
      <c r="Y58" s="253"/>
      <c r="Z58" s="253"/>
      <c r="AA58" s="255">
        <f>200-200</f>
        <v>0</v>
      </c>
      <c r="AB58" s="253"/>
      <c r="AC58" s="253"/>
      <c r="AD58" s="253"/>
      <c r="AE58" s="253"/>
      <c r="AF58" s="253"/>
      <c r="AG58" s="253"/>
      <c r="AH58" s="253"/>
      <c r="AI58" s="253"/>
      <c r="AJ58" s="253"/>
      <c r="AK58" s="253"/>
      <c r="AL58" s="253"/>
      <c r="AM58" s="255">
        <f>300-300</f>
        <v>0</v>
      </c>
      <c r="AN58" s="253"/>
      <c r="AO58" s="253"/>
      <c r="AP58" s="253"/>
      <c r="AQ58" s="253"/>
      <c r="AR58" s="253"/>
      <c r="AS58" s="255">
        <f>300-300</f>
        <v>0</v>
      </c>
      <c r="AT58" s="253"/>
      <c r="AU58" s="253"/>
      <c r="AV58" s="253"/>
      <c r="AW58" s="253"/>
      <c r="AX58" s="253"/>
      <c r="AY58" s="255">
        <f>500-500</f>
        <v>0</v>
      </c>
      <c r="AZ58" s="253"/>
      <c r="BA58" s="253"/>
      <c r="BB58" s="253"/>
      <c r="BC58" s="253"/>
      <c r="BD58" s="253"/>
      <c r="BE58" s="253"/>
      <c r="BF58" s="253"/>
      <c r="BG58" s="253"/>
      <c r="BH58" s="253"/>
      <c r="BI58" s="253"/>
      <c r="BJ58" s="253"/>
      <c r="BK58" s="253"/>
      <c r="BL58" s="253"/>
      <c r="BM58" s="253"/>
      <c r="BN58" s="253"/>
      <c r="BO58" s="253"/>
      <c r="BP58" s="253"/>
      <c r="BQ58" s="253"/>
      <c r="BR58" s="253"/>
      <c r="BS58" s="253"/>
      <c r="BT58" s="253"/>
      <c r="BU58" s="253"/>
      <c r="BV58" s="253"/>
      <c r="BW58" s="253"/>
      <c r="BX58" s="253"/>
      <c r="BY58" s="253"/>
      <c r="BZ58" s="253"/>
      <c r="CA58" s="253"/>
      <c r="CB58" s="253"/>
      <c r="CC58" s="253"/>
      <c r="CD58" s="253"/>
      <c r="CE58" s="253"/>
      <c r="CF58" s="253"/>
      <c r="CG58" s="253"/>
      <c r="CH58" s="253"/>
      <c r="CI58" s="253"/>
      <c r="CJ58" s="253"/>
      <c r="CK58" s="253"/>
      <c r="CL58" s="253"/>
      <c r="CM58" s="253"/>
      <c r="CN58" s="253"/>
      <c r="CO58" s="253"/>
      <c r="CP58" s="253"/>
      <c r="CQ58" s="253"/>
      <c r="CR58" s="253"/>
      <c r="CS58" s="253"/>
      <c r="CT58" s="253"/>
      <c r="CU58" s="253"/>
      <c r="CV58" s="253"/>
      <c r="CW58" s="253"/>
      <c r="CX58" s="253"/>
      <c r="CY58" s="253"/>
      <c r="CZ58" s="253"/>
      <c r="DA58" s="253"/>
      <c r="DB58" s="253"/>
      <c r="DC58" s="253"/>
      <c r="DD58" s="253"/>
      <c r="DE58" s="253"/>
      <c r="DF58" s="253"/>
      <c r="DG58" s="253"/>
      <c r="DH58" s="253"/>
      <c r="DI58" s="253"/>
      <c r="DJ58" s="253"/>
      <c r="DK58" s="253"/>
      <c r="DL58" s="253"/>
      <c r="DM58" s="253"/>
      <c r="DN58" s="253"/>
      <c r="DO58" s="253"/>
      <c r="DP58" s="253"/>
      <c r="DQ58" s="253"/>
      <c r="DR58" s="253"/>
      <c r="DS58" s="253"/>
      <c r="DT58" s="253"/>
      <c r="DU58" s="253"/>
      <c r="DV58" s="253"/>
      <c r="DW58" s="253"/>
      <c r="DX58" s="253"/>
      <c r="DY58" s="253"/>
      <c r="DZ58" s="253"/>
      <c r="EA58" s="253"/>
      <c r="EB58" s="253"/>
      <c r="EC58" s="253"/>
      <c r="ED58" s="253"/>
      <c r="EE58" s="253"/>
      <c r="EF58" s="253"/>
      <c r="EG58" s="253"/>
      <c r="EH58" s="253"/>
      <c r="EI58" s="253"/>
      <c r="EJ58" s="253"/>
      <c r="EK58" s="253"/>
      <c r="EL58" s="253"/>
      <c r="EM58" s="253"/>
      <c r="EN58" s="253"/>
      <c r="EO58" s="253"/>
      <c r="EP58" s="253"/>
      <c r="EQ58" s="253"/>
      <c r="ER58" s="253"/>
      <c r="ES58" s="253"/>
      <c r="ET58" s="253"/>
      <c r="EU58" s="253"/>
      <c r="EV58" s="253"/>
      <c r="EW58" s="253"/>
      <c r="EX58" s="253"/>
      <c r="EY58" s="253"/>
      <c r="EZ58" s="253"/>
      <c r="FA58" s="253"/>
      <c r="FB58" s="253"/>
      <c r="FC58" s="253"/>
      <c r="FD58" s="253"/>
      <c r="FE58" s="253"/>
      <c r="FF58" s="253"/>
      <c r="FG58" s="253"/>
      <c r="FH58" s="253"/>
      <c r="FI58" s="253"/>
      <c r="FJ58" s="253"/>
      <c r="FK58" s="253"/>
      <c r="FL58" s="253"/>
      <c r="FM58" s="262"/>
      <c r="FN58" s="257" t="s">
        <v>1216</v>
      </c>
      <c r="FO58" s="258" t="s">
        <v>389</v>
      </c>
      <c r="FP58" s="258" t="s">
        <v>435</v>
      </c>
      <c r="FQ58" s="258" t="s">
        <v>420</v>
      </c>
      <c r="FR58" s="259">
        <f t="shared" si="0"/>
        <v>0</v>
      </c>
      <c r="FS58" s="260" t="s">
        <v>421</v>
      </c>
      <c r="FT58" s="260"/>
    </row>
    <row r="59" spans="1:176">
      <c r="A59" s="251" t="s">
        <v>385</v>
      </c>
      <c r="B59" s="251" t="s">
        <v>411</v>
      </c>
      <c r="C59" s="251" t="s">
        <v>291</v>
      </c>
      <c r="D59" s="252" t="s">
        <v>434</v>
      </c>
      <c r="E59" s="251" t="s">
        <v>388</v>
      </c>
      <c r="F59" s="251" t="s">
        <v>1233</v>
      </c>
      <c r="G59" s="253"/>
      <c r="H59" s="253"/>
      <c r="I59" s="253"/>
      <c r="J59" s="253"/>
      <c r="K59" s="253"/>
      <c r="L59" s="253"/>
      <c r="M59" s="253"/>
      <c r="N59" s="255">
        <f>200-200</f>
        <v>0</v>
      </c>
      <c r="O59" s="253"/>
      <c r="P59" s="255">
        <f>100-100</f>
        <v>0</v>
      </c>
      <c r="Q59" s="253"/>
      <c r="R59" s="253"/>
      <c r="S59" s="253"/>
      <c r="T59" s="253"/>
      <c r="U59" s="253"/>
      <c r="V59" s="253"/>
      <c r="W59" s="253"/>
      <c r="X59" s="253"/>
      <c r="Y59" s="253"/>
      <c r="Z59" s="253"/>
      <c r="AA59" s="253"/>
      <c r="AB59" s="253"/>
      <c r="AC59" s="255">
        <f>100-100</f>
        <v>0</v>
      </c>
      <c r="AD59" s="253"/>
      <c r="AE59" s="253"/>
      <c r="AF59" s="253"/>
      <c r="AG59" s="253"/>
      <c r="AH59" s="253"/>
      <c r="AI59" s="253"/>
      <c r="AJ59" s="253"/>
      <c r="AK59" s="253"/>
      <c r="AL59" s="253"/>
      <c r="AM59" s="253"/>
      <c r="AN59" s="253"/>
      <c r="AO59" s="253"/>
      <c r="AP59" s="253"/>
      <c r="AQ59" s="253"/>
      <c r="AR59" s="253"/>
      <c r="AS59" s="253"/>
      <c r="AT59" s="253"/>
      <c r="AU59" s="253"/>
      <c r="AV59" s="253"/>
      <c r="AW59" s="253"/>
      <c r="AX59" s="253"/>
      <c r="AY59" s="253"/>
      <c r="AZ59" s="253"/>
      <c r="BA59" s="253"/>
      <c r="BB59" s="253"/>
      <c r="BC59" s="255">
        <f>100-100</f>
        <v>0</v>
      </c>
      <c r="BD59" s="253"/>
      <c r="BE59" s="253"/>
      <c r="BF59" s="253"/>
      <c r="BG59" s="253"/>
      <c r="BH59" s="253"/>
      <c r="BI59" s="253"/>
      <c r="BJ59" s="253"/>
      <c r="BK59" s="253"/>
      <c r="BL59" s="253"/>
      <c r="BM59" s="253"/>
      <c r="BN59" s="253"/>
      <c r="BO59" s="253"/>
      <c r="BP59" s="253"/>
      <c r="BQ59" s="253"/>
      <c r="BR59" s="253"/>
      <c r="BS59" s="253"/>
      <c r="BT59" s="253"/>
      <c r="BU59" s="253"/>
      <c r="BV59" s="253"/>
      <c r="BW59" s="253"/>
      <c r="BX59" s="253"/>
      <c r="BY59" s="253"/>
      <c r="BZ59" s="253"/>
      <c r="CA59" s="253"/>
      <c r="CB59" s="253"/>
      <c r="CC59" s="253"/>
      <c r="CD59" s="253"/>
      <c r="CE59" s="253"/>
      <c r="CF59" s="253"/>
      <c r="CG59" s="253"/>
      <c r="CH59" s="253"/>
      <c r="CI59" s="253"/>
      <c r="CJ59" s="253"/>
      <c r="CK59" s="253"/>
      <c r="CL59" s="253"/>
      <c r="CM59" s="253"/>
      <c r="CN59" s="253"/>
      <c r="CO59" s="253"/>
      <c r="CP59" s="253"/>
      <c r="CQ59" s="253"/>
      <c r="CR59" s="253"/>
      <c r="CS59" s="253"/>
      <c r="CT59" s="253"/>
      <c r="CU59" s="253"/>
      <c r="CV59" s="253"/>
      <c r="CW59" s="253"/>
      <c r="CX59" s="253"/>
      <c r="CY59" s="253"/>
      <c r="CZ59" s="253"/>
      <c r="DA59" s="253"/>
      <c r="DB59" s="253"/>
      <c r="DC59" s="253"/>
      <c r="DD59" s="253"/>
      <c r="DE59" s="253"/>
      <c r="DF59" s="253"/>
      <c r="DG59" s="253"/>
      <c r="DH59" s="253"/>
      <c r="DI59" s="253"/>
      <c r="DJ59" s="253"/>
      <c r="DK59" s="253"/>
      <c r="DL59" s="253"/>
      <c r="DM59" s="253"/>
      <c r="DN59" s="253"/>
      <c r="DO59" s="253"/>
      <c r="DP59" s="253"/>
      <c r="DQ59" s="253"/>
      <c r="DR59" s="253"/>
      <c r="DS59" s="253"/>
      <c r="DT59" s="253"/>
      <c r="DU59" s="253"/>
      <c r="DV59" s="253"/>
      <c r="DW59" s="255">
        <f>200-200</f>
        <v>0</v>
      </c>
      <c r="DX59" s="253"/>
      <c r="DY59" s="253"/>
      <c r="DZ59" s="253"/>
      <c r="EA59" s="253"/>
      <c r="EB59" s="253"/>
      <c r="EC59" s="255">
        <f>200-200</f>
        <v>0</v>
      </c>
      <c r="ED59" s="253"/>
      <c r="EE59" s="253"/>
      <c r="EF59" s="253"/>
      <c r="EG59" s="253"/>
      <c r="EH59" s="253"/>
      <c r="EI59" s="253"/>
      <c r="EJ59" s="253"/>
      <c r="EK59" s="253"/>
      <c r="EL59" s="253"/>
      <c r="EM59" s="253"/>
      <c r="EN59" s="253"/>
      <c r="EO59" s="253"/>
      <c r="EP59" s="253"/>
      <c r="EQ59" s="253"/>
      <c r="ER59" s="253"/>
      <c r="ES59" s="253"/>
      <c r="ET59" s="253"/>
      <c r="EU59" s="253"/>
      <c r="EV59" s="253"/>
      <c r="EW59" s="253"/>
      <c r="EX59" s="253"/>
      <c r="EY59" s="253"/>
      <c r="EZ59" s="253"/>
      <c r="FA59" s="253"/>
      <c r="FB59" s="253"/>
      <c r="FC59" s="253"/>
      <c r="FD59" s="253"/>
      <c r="FE59" s="253"/>
      <c r="FF59" s="253"/>
      <c r="FG59" s="253"/>
      <c r="FH59" s="253"/>
      <c r="FI59" s="253"/>
      <c r="FJ59" s="253"/>
      <c r="FK59" s="253"/>
      <c r="FL59" s="253"/>
      <c r="FM59" s="262"/>
      <c r="FN59" s="257" t="s">
        <v>1216</v>
      </c>
      <c r="FO59" s="258" t="s">
        <v>389</v>
      </c>
      <c r="FP59" s="258" t="s">
        <v>436</v>
      </c>
      <c r="FQ59" s="258" t="s">
        <v>420</v>
      </c>
      <c r="FR59" s="259">
        <f t="shared" si="0"/>
        <v>0</v>
      </c>
      <c r="FS59" s="260" t="s">
        <v>421</v>
      </c>
      <c r="FT59" s="260"/>
    </row>
    <row r="60" spans="1:176">
      <c r="A60" s="251" t="s">
        <v>385</v>
      </c>
      <c r="B60" s="251" t="s">
        <v>411</v>
      </c>
      <c r="C60" s="251" t="s">
        <v>1</v>
      </c>
      <c r="D60" s="252" t="s">
        <v>434</v>
      </c>
      <c r="E60" s="251" t="s">
        <v>388</v>
      </c>
      <c r="F60" s="251" t="s">
        <v>1233</v>
      </c>
      <c r="G60" s="253"/>
      <c r="H60" s="253"/>
      <c r="I60" s="253"/>
      <c r="J60" s="253"/>
      <c r="K60" s="253"/>
      <c r="L60" s="253"/>
      <c r="M60" s="253"/>
      <c r="N60" s="253"/>
      <c r="O60" s="253"/>
      <c r="P60" s="253"/>
      <c r="Q60" s="253"/>
      <c r="R60" s="253"/>
      <c r="S60" s="253"/>
      <c r="T60" s="255">
        <f>100-100</f>
        <v>0</v>
      </c>
      <c r="U60" s="253"/>
      <c r="V60" s="253"/>
      <c r="W60" s="255">
        <f>100-100</f>
        <v>0</v>
      </c>
      <c r="X60" s="253"/>
      <c r="Y60" s="253"/>
      <c r="Z60" s="253"/>
      <c r="AA60" s="253"/>
      <c r="AB60" s="253"/>
      <c r="AC60" s="253"/>
      <c r="AD60" s="253"/>
      <c r="AE60" s="253"/>
      <c r="AF60" s="253"/>
      <c r="AG60" s="253"/>
      <c r="AH60" s="253"/>
      <c r="AI60" s="253"/>
      <c r="AJ60" s="253"/>
      <c r="AK60" s="253"/>
      <c r="AL60" s="253"/>
      <c r="AM60" s="253"/>
      <c r="AN60" s="253"/>
      <c r="AO60" s="253"/>
      <c r="AP60" s="253"/>
      <c r="AQ60" s="253"/>
      <c r="AR60" s="253"/>
      <c r="AS60" s="255">
        <f>300-300</f>
        <v>0</v>
      </c>
      <c r="AT60" s="253"/>
      <c r="AU60" s="253"/>
      <c r="AV60" s="253"/>
      <c r="AW60" s="253"/>
      <c r="AX60" s="253"/>
      <c r="AY60" s="255">
        <f>10-10</f>
        <v>0</v>
      </c>
      <c r="AZ60" s="253"/>
      <c r="BA60" s="253"/>
      <c r="BB60" s="253"/>
      <c r="BC60" s="253"/>
      <c r="BD60" s="253"/>
      <c r="BE60" s="253"/>
      <c r="BF60" s="253"/>
      <c r="BG60" s="253"/>
      <c r="BH60" s="253"/>
      <c r="BI60" s="253"/>
      <c r="BJ60" s="253"/>
      <c r="BK60" s="253"/>
      <c r="BL60" s="253"/>
      <c r="BM60" s="253"/>
      <c r="BN60" s="253"/>
      <c r="BO60" s="253"/>
      <c r="BP60" s="253"/>
      <c r="BQ60" s="253"/>
      <c r="BR60" s="253"/>
      <c r="BS60" s="253"/>
      <c r="BT60" s="253"/>
      <c r="BU60" s="253"/>
      <c r="BV60" s="253"/>
      <c r="BW60" s="253"/>
      <c r="BX60" s="253"/>
      <c r="BY60" s="253"/>
      <c r="BZ60" s="253"/>
      <c r="CA60" s="253"/>
      <c r="CB60" s="253"/>
      <c r="CC60" s="253"/>
      <c r="CD60" s="253"/>
      <c r="CE60" s="253"/>
      <c r="CF60" s="253"/>
      <c r="CG60" s="253"/>
      <c r="CH60" s="253"/>
      <c r="CI60" s="253"/>
      <c r="CJ60" s="253"/>
      <c r="CK60" s="253"/>
      <c r="CL60" s="253"/>
      <c r="CM60" s="253"/>
      <c r="CN60" s="253"/>
      <c r="CO60" s="253"/>
      <c r="CP60" s="253"/>
      <c r="CQ60" s="253"/>
      <c r="CR60" s="253"/>
      <c r="CS60" s="253"/>
      <c r="CT60" s="253"/>
      <c r="CU60" s="253"/>
      <c r="CV60" s="253"/>
      <c r="CW60" s="253"/>
      <c r="CX60" s="253"/>
      <c r="CY60" s="253"/>
      <c r="CZ60" s="253"/>
      <c r="DA60" s="253"/>
      <c r="DB60" s="253"/>
      <c r="DC60" s="253"/>
      <c r="DD60" s="253"/>
      <c r="DE60" s="253"/>
      <c r="DF60" s="253"/>
      <c r="DG60" s="253"/>
      <c r="DH60" s="253"/>
      <c r="DI60" s="253"/>
      <c r="DJ60" s="253"/>
      <c r="DK60" s="253"/>
      <c r="DL60" s="253"/>
      <c r="DM60" s="253"/>
      <c r="DN60" s="253"/>
      <c r="DO60" s="253"/>
      <c r="DP60" s="253"/>
      <c r="DQ60" s="253"/>
      <c r="DR60" s="253"/>
      <c r="DS60" s="253"/>
      <c r="DT60" s="253"/>
      <c r="DU60" s="253"/>
      <c r="DV60" s="253"/>
      <c r="DW60" s="253"/>
      <c r="DX60" s="253"/>
      <c r="DY60" s="253"/>
      <c r="DZ60" s="253"/>
      <c r="EA60" s="253"/>
      <c r="EB60" s="253"/>
      <c r="EC60" s="253"/>
      <c r="ED60" s="253"/>
      <c r="EE60" s="253"/>
      <c r="EF60" s="253"/>
      <c r="EG60" s="253"/>
      <c r="EH60" s="253"/>
      <c r="EI60" s="253"/>
      <c r="EJ60" s="253"/>
      <c r="EK60" s="253"/>
      <c r="EL60" s="253"/>
      <c r="EM60" s="253"/>
      <c r="EN60" s="253"/>
      <c r="EO60" s="253"/>
      <c r="EP60" s="253"/>
      <c r="EQ60" s="253"/>
      <c r="ER60" s="253"/>
      <c r="ES60" s="253"/>
      <c r="ET60" s="253"/>
      <c r="EU60" s="253"/>
      <c r="EV60" s="253"/>
      <c r="EW60" s="253"/>
      <c r="EX60" s="253"/>
      <c r="EY60" s="253"/>
      <c r="EZ60" s="253"/>
      <c r="FA60" s="253"/>
      <c r="FB60" s="253"/>
      <c r="FC60" s="253"/>
      <c r="FD60" s="253"/>
      <c r="FE60" s="253"/>
      <c r="FF60" s="253"/>
      <c r="FG60" s="253"/>
      <c r="FH60" s="253"/>
      <c r="FI60" s="253"/>
      <c r="FJ60" s="253"/>
      <c r="FK60" s="253"/>
      <c r="FL60" s="253"/>
      <c r="FM60" s="262"/>
      <c r="FN60" s="257" t="s">
        <v>1216</v>
      </c>
      <c r="FO60" s="258" t="s">
        <v>389</v>
      </c>
      <c r="FP60" s="258" t="s">
        <v>436</v>
      </c>
      <c r="FQ60" s="258" t="s">
        <v>420</v>
      </c>
      <c r="FR60" s="259">
        <f t="shared" si="0"/>
        <v>0</v>
      </c>
      <c r="FS60" s="260" t="s">
        <v>421</v>
      </c>
      <c r="FT60" s="260"/>
    </row>
    <row r="61" spans="1:176">
      <c r="A61" s="251" t="s">
        <v>385</v>
      </c>
      <c r="B61" s="251" t="s">
        <v>411</v>
      </c>
      <c r="C61" s="251" t="s">
        <v>291</v>
      </c>
      <c r="D61" s="252" t="s">
        <v>437</v>
      </c>
      <c r="E61" s="251" t="s">
        <v>388</v>
      </c>
      <c r="F61" s="251" t="s">
        <v>1234</v>
      </c>
      <c r="G61" s="253"/>
      <c r="H61" s="255">
        <f>200-200</f>
        <v>0</v>
      </c>
      <c r="I61" s="253"/>
      <c r="J61" s="255">
        <f>200-200</f>
        <v>0</v>
      </c>
      <c r="K61" s="253"/>
      <c r="L61" s="253"/>
      <c r="M61" s="255">
        <f>200-200</f>
        <v>0</v>
      </c>
      <c r="N61" s="255">
        <f>150-150</f>
        <v>0</v>
      </c>
      <c r="O61" s="253"/>
      <c r="P61" s="253"/>
      <c r="Q61" s="253"/>
      <c r="R61" s="253"/>
      <c r="S61" s="253"/>
      <c r="T61" s="253"/>
      <c r="U61" s="253"/>
      <c r="V61" s="253"/>
      <c r="W61" s="253"/>
      <c r="X61" s="253"/>
      <c r="Y61" s="253"/>
      <c r="Z61" s="253"/>
      <c r="AA61" s="253"/>
      <c r="AB61" s="253"/>
      <c r="AC61" s="255">
        <f>100-100</f>
        <v>0</v>
      </c>
      <c r="AD61" s="253"/>
      <c r="AE61" s="255">
        <f>250-250</f>
        <v>0</v>
      </c>
      <c r="AF61" s="255">
        <f>200-200</f>
        <v>0</v>
      </c>
      <c r="AG61" s="253"/>
      <c r="AH61" s="253"/>
      <c r="AI61" s="253"/>
      <c r="AJ61" s="253"/>
      <c r="AK61" s="255">
        <f>150-150</f>
        <v>0</v>
      </c>
      <c r="AL61" s="253"/>
      <c r="AM61" s="253"/>
      <c r="AN61" s="253"/>
      <c r="AO61" s="253"/>
      <c r="AP61" s="253"/>
      <c r="AQ61" s="253"/>
      <c r="AR61" s="253"/>
      <c r="AS61" s="253"/>
      <c r="AT61" s="253"/>
      <c r="AU61" s="253"/>
      <c r="AV61" s="253"/>
      <c r="AW61" s="253"/>
      <c r="AX61" s="253"/>
      <c r="AY61" s="253"/>
      <c r="AZ61" s="253"/>
      <c r="BA61" s="253"/>
      <c r="BB61" s="253"/>
      <c r="BC61" s="255">
        <f>150-150</f>
        <v>0</v>
      </c>
      <c r="BD61" s="253"/>
      <c r="BE61" s="253"/>
      <c r="BF61" s="253"/>
      <c r="BG61" s="253"/>
      <c r="BH61" s="253"/>
      <c r="BI61" s="253"/>
      <c r="BJ61" s="253"/>
      <c r="BK61" s="253"/>
      <c r="BL61" s="253"/>
      <c r="BM61" s="253"/>
      <c r="BN61" s="253"/>
      <c r="BO61" s="253"/>
      <c r="BP61" s="253"/>
      <c r="BQ61" s="253"/>
      <c r="BR61" s="253"/>
      <c r="BS61" s="253"/>
      <c r="BT61" s="253"/>
      <c r="BU61" s="253"/>
      <c r="BV61" s="253"/>
      <c r="BW61" s="253"/>
      <c r="BX61" s="253"/>
      <c r="BY61" s="253"/>
      <c r="BZ61" s="253"/>
      <c r="CA61" s="253"/>
      <c r="CB61" s="253"/>
      <c r="CC61" s="253"/>
      <c r="CD61" s="253"/>
      <c r="CE61" s="253"/>
      <c r="CF61" s="253"/>
      <c r="CG61" s="253"/>
      <c r="CH61" s="253"/>
      <c r="CI61" s="253"/>
      <c r="CJ61" s="253"/>
      <c r="CK61" s="253"/>
      <c r="CL61" s="253"/>
      <c r="CM61" s="253"/>
      <c r="CN61" s="253"/>
      <c r="CO61" s="253"/>
      <c r="CP61" s="253"/>
      <c r="CQ61" s="253"/>
      <c r="CR61" s="253"/>
      <c r="CS61" s="253"/>
      <c r="CT61" s="253"/>
      <c r="CU61" s="253"/>
      <c r="CV61" s="253"/>
      <c r="CW61" s="253"/>
      <c r="CX61" s="253"/>
      <c r="CY61" s="253"/>
      <c r="CZ61" s="253"/>
      <c r="DA61" s="253"/>
      <c r="DB61" s="253"/>
      <c r="DC61" s="253"/>
      <c r="DD61" s="253"/>
      <c r="DE61" s="253"/>
      <c r="DF61" s="253"/>
      <c r="DG61" s="253"/>
      <c r="DH61" s="253"/>
      <c r="DI61" s="253"/>
      <c r="DJ61" s="253"/>
      <c r="DK61" s="253"/>
      <c r="DL61" s="253"/>
      <c r="DM61" s="253"/>
      <c r="DN61" s="253"/>
      <c r="DO61" s="253"/>
      <c r="DP61" s="253"/>
      <c r="DQ61" s="253"/>
      <c r="DR61" s="253"/>
      <c r="DS61" s="253"/>
      <c r="DT61" s="253"/>
      <c r="DU61" s="253"/>
      <c r="DV61" s="253"/>
      <c r="DW61" s="253"/>
      <c r="DX61" s="253"/>
      <c r="DY61" s="253"/>
      <c r="DZ61" s="253"/>
      <c r="EA61" s="253"/>
      <c r="EB61" s="253"/>
      <c r="EC61" s="253"/>
      <c r="ED61" s="253"/>
      <c r="EE61" s="253"/>
      <c r="EF61" s="253"/>
      <c r="EG61" s="253"/>
      <c r="EH61" s="253"/>
      <c r="EI61" s="253"/>
      <c r="EJ61" s="253"/>
      <c r="EK61" s="253"/>
      <c r="EL61" s="253"/>
      <c r="EM61" s="253"/>
      <c r="EN61" s="253"/>
      <c r="EO61" s="253"/>
      <c r="EP61" s="253"/>
      <c r="EQ61" s="253"/>
      <c r="ER61" s="253"/>
      <c r="ES61" s="253"/>
      <c r="ET61" s="253"/>
      <c r="EU61" s="253"/>
      <c r="EV61" s="253"/>
      <c r="EW61" s="253"/>
      <c r="EX61" s="253"/>
      <c r="EY61" s="253"/>
      <c r="EZ61" s="253"/>
      <c r="FA61" s="253"/>
      <c r="FB61" s="253"/>
      <c r="FC61" s="253"/>
      <c r="FD61" s="253"/>
      <c r="FE61" s="253"/>
      <c r="FF61" s="253"/>
      <c r="FG61" s="253"/>
      <c r="FH61" s="253"/>
      <c r="FI61" s="253"/>
      <c r="FJ61" s="253"/>
      <c r="FK61" s="253"/>
      <c r="FL61" s="253"/>
      <c r="FM61" s="262"/>
      <c r="FN61" s="257" t="s">
        <v>1216</v>
      </c>
      <c r="FO61" s="258" t="s">
        <v>389</v>
      </c>
      <c r="FP61" s="258" t="s">
        <v>438</v>
      </c>
      <c r="FQ61" s="258" t="s">
        <v>439</v>
      </c>
      <c r="FR61" s="259">
        <f t="shared" si="0"/>
        <v>0</v>
      </c>
      <c r="FS61" s="260" t="s">
        <v>421</v>
      </c>
      <c r="FT61" s="260"/>
    </row>
    <row r="62" spans="1:176">
      <c r="A62" s="251" t="s">
        <v>385</v>
      </c>
      <c r="B62" s="251" t="s">
        <v>411</v>
      </c>
      <c r="C62" s="251" t="s">
        <v>1</v>
      </c>
      <c r="D62" s="252" t="s">
        <v>437</v>
      </c>
      <c r="E62" s="251" t="s">
        <v>388</v>
      </c>
      <c r="F62" s="251" t="s">
        <v>1234</v>
      </c>
      <c r="G62" s="253"/>
      <c r="H62" s="253"/>
      <c r="I62" s="253"/>
      <c r="J62" s="253"/>
      <c r="K62" s="253"/>
      <c r="L62" s="253"/>
      <c r="M62" s="253"/>
      <c r="N62" s="253"/>
      <c r="O62" s="253"/>
      <c r="P62" s="253"/>
      <c r="Q62" s="253"/>
      <c r="R62" s="253"/>
      <c r="S62" s="253"/>
      <c r="T62" s="255">
        <f>100-100</f>
        <v>0</v>
      </c>
      <c r="U62" s="253"/>
      <c r="V62" s="253"/>
      <c r="W62" s="255">
        <f>100-100</f>
        <v>0</v>
      </c>
      <c r="X62" s="255">
        <f>100-100</f>
        <v>0</v>
      </c>
      <c r="Y62" s="253"/>
      <c r="Z62" s="255">
        <f>400-400</f>
        <v>0</v>
      </c>
      <c r="AA62" s="253"/>
      <c r="AB62" s="253"/>
      <c r="AC62" s="253"/>
      <c r="AD62" s="255">
        <f>150-150</f>
        <v>0</v>
      </c>
      <c r="AE62" s="253"/>
      <c r="AF62" s="253"/>
      <c r="AG62" s="253"/>
      <c r="AH62" s="253"/>
      <c r="AI62" s="253"/>
      <c r="AJ62" s="253"/>
      <c r="AK62" s="253"/>
      <c r="AL62" s="253"/>
      <c r="AM62" s="255">
        <f>100-100</f>
        <v>0</v>
      </c>
      <c r="AN62" s="253"/>
      <c r="AO62" s="253"/>
      <c r="AP62" s="253"/>
      <c r="AQ62" s="253"/>
      <c r="AR62" s="253"/>
      <c r="AS62" s="255">
        <f>200-200</f>
        <v>0</v>
      </c>
      <c r="AT62" s="253"/>
      <c r="AU62" s="253"/>
      <c r="AV62" s="253"/>
      <c r="AW62" s="253"/>
      <c r="AX62" s="253"/>
      <c r="AY62" s="255">
        <f>20-20</f>
        <v>0</v>
      </c>
      <c r="AZ62" s="253"/>
      <c r="BA62" s="253"/>
      <c r="BB62" s="253"/>
      <c r="BC62" s="253"/>
      <c r="BD62" s="253"/>
      <c r="BE62" s="253"/>
      <c r="BF62" s="253"/>
      <c r="BG62" s="253"/>
      <c r="BH62" s="253"/>
      <c r="BI62" s="253"/>
      <c r="BJ62" s="253"/>
      <c r="BK62" s="253"/>
      <c r="BL62" s="253"/>
      <c r="BM62" s="253"/>
      <c r="BN62" s="253"/>
      <c r="BO62" s="253"/>
      <c r="BP62" s="253"/>
      <c r="BQ62" s="253"/>
      <c r="BR62" s="253"/>
      <c r="BS62" s="253"/>
      <c r="BT62" s="253"/>
      <c r="BU62" s="253"/>
      <c r="BV62" s="253"/>
      <c r="BW62" s="253"/>
      <c r="BX62" s="253"/>
      <c r="BY62" s="253"/>
      <c r="BZ62" s="253"/>
      <c r="CA62" s="253"/>
      <c r="CB62" s="253"/>
      <c r="CC62" s="253"/>
      <c r="CD62" s="253"/>
      <c r="CE62" s="253"/>
      <c r="CF62" s="253"/>
      <c r="CG62" s="253"/>
      <c r="CH62" s="253"/>
      <c r="CI62" s="253"/>
      <c r="CJ62" s="253"/>
      <c r="CK62" s="253"/>
      <c r="CL62" s="253"/>
      <c r="CM62" s="253"/>
      <c r="CN62" s="253"/>
      <c r="CO62" s="253"/>
      <c r="CP62" s="253"/>
      <c r="CQ62" s="253"/>
      <c r="CR62" s="253"/>
      <c r="CS62" s="253"/>
      <c r="CT62" s="253"/>
      <c r="CU62" s="253"/>
      <c r="CV62" s="253"/>
      <c r="CW62" s="253"/>
      <c r="CX62" s="253"/>
      <c r="CY62" s="253"/>
      <c r="CZ62" s="253"/>
      <c r="DA62" s="253"/>
      <c r="DB62" s="253"/>
      <c r="DC62" s="253"/>
      <c r="DD62" s="253"/>
      <c r="DE62" s="253"/>
      <c r="DF62" s="253"/>
      <c r="DG62" s="253"/>
      <c r="DH62" s="253"/>
      <c r="DI62" s="253"/>
      <c r="DJ62" s="253"/>
      <c r="DK62" s="253"/>
      <c r="DL62" s="253"/>
      <c r="DM62" s="253"/>
      <c r="DN62" s="253"/>
      <c r="DO62" s="253"/>
      <c r="DP62" s="253"/>
      <c r="DQ62" s="253"/>
      <c r="DR62" s="253"/>
      <c r="DS62" s="253"/>
      <c r="DT62" s="253"/>
      <c r="DU62" s="253"/>
      <c r="DV62" s="253"/>
      <c r="DW62" s="253"/>
      <c r="DX62" s="253"/>
      <c r="DY62" s="253"/>
      <c r="DZ62" s="255">
        <f>200-200</f>
        <v>0</v>
      </c>
      <c r="EA62" s="253"/>
      <c r="EB62" s="253"/>
      <c r="EC62" s="253"/>
      <c r="ED62" s="253"/>
      <c r="EE62" s="253"/>
      <c r="EF62" s="253"/>
      <c r="EG62" s="253"/>
      <c r="EH62" s="253"/>
      <c r="EI62" s="253"/>
      <c r="EJ62" s="253"/>
      <c r="EK62" s="253"/>
      <c r="EL62" s="253"/>
      <c r="EM62" s="253"/>
      <c r="EN62" s="253"/>
      <c r="EO62" s="253"/>
      <c r="EP62" s="253"/>
      <c r="EQ62" s="253"/>
      <c r="ER62" s="253"/>
      <c r="ES62" s="253"/>
      <c r="ET62" s="253"/>
      <c r="EU62" s="253"/>
      <c r="EV62" s="253"/>
      <c r="EW62" s="253"/>
      <c r="EX62" s="253"/>
      <c r="EY62" s="253"/>
      <c r="EZ62" s="253"/>
      <c r="FA62" s="253"/>
      <c r="FB62" s="253"/>
      <c r="FC62" s="253"/>
      <c r="FD62" s="253"/>
      <c r="FE62" s="253"/>
      <c r="FF62" s="253"/>
      <c r="FG62" s="253"/>
      <c r="FH62" s="253"/>
      <c r="FI62" s="253"/>
      <c r="FJ62" s="253"/>
      <c r="FK62" s="253"/>
      <c r="FL62" s="253"/>
      <c r="FM62" s="262"/>
      <c r="FN62" s="257" t="s">
        <v>1216</v>
      </c>
      <c r="FO62" s="258" t="s">
        <v>389</v>
      </c>
      <c r="FP62" s="258" t="s">
        <v>438</v>
      </c>
      <c r="FQ62" s="258" t="s">
        <v>439</v>
      </c>
      <c r="FR62" s="259">
        <f t="shared" si="0"/>
        <v>0</v>
      </c>
      <c r="FS62" s="260" t="s">
        <v>421</v>
      </c>
      <c r="FT62" s="260"/>
    </row>
    <row r="63" spans="1:176">
      <c r="A63" s="251" t="s">
        <v>385</v>
      </c>
      <c r="B63" s="251" t="s">
        <v>411</v>
      </c>
      <c r="C63" s="251" t="s">
        <v>291</v>
      </c>
      <c r="D63" s="252" t="s">
        <v>440</v>
      </c>
      <c r="E63" s="251" t="s">
        <v>388</v>
      </c>
      <c r="F63" s="251"/>
      <c r="G63" s="253"/>
      <c r="H63" s="255">
        <f>500-500</f>
        <v>0</v>
      </c>
      <c r="I63" s="253"/>
      <c r="J63" s="255">
        <f>500-500</f>
        <v>0</v>
      </c>
      <c r="K63" s="253"/>
      <c r="L63" s="253"/>
      <c r="M63" s="255">
        <f>440-440</f>
        <v>0</v>
      </c>
      <c r="N63" s="255">
        <f>460-460</f>
        <v>0</v>
      </c>
      <c r="O63" s="253"/>
      <c r="P63" s="255">
        <f>500-500</f>
        <v>0</v>
      </c>
      <c r="Q63" s="253"/>
      <c r="R63" s="253"/>
      <c r="S63" s="255">
        <f>500-500</f>
        <v>0</v>
      </c>
      <c r="T63" s="253"/>
      <c r="U63" s="253"/>
      <c r="V63" s="253"/>
      <c r="W63" s="253"/>
      <c r="X63" s="253"/>
      <c r="Y63" s="253"/>
      <c r="Z63" s="253"/>
      <c r="AA63" s="253"/>
      <c r="AB63" s="255">
        <f>500-500</f>
        <v>0</v>
      </c>
      <c r="AC63" s="255">
        <f>480-480</f>
        <v>0</v>
      </c>
      <c r="AD63" s="253"/>
      <c r="AE63" s="255">
        <f>500-500</f>
        <v>0</v>
      </c>
      <c r="AF63" s="255">
        <f>500-500</f>
        <v>0</v>
      </c>
      <c r="AG63" s="253"/>
      <c r="AH63" s="253"/>
      <c r="AI63" s="253"/>
      <c r="AJ63" s="253"/>
      <c r="AK63" s="255">
        <f>420-420</f>
        <v>0</v>
      </c>
      <c r="AL63" s="253"/>
      <c r="AM63" s="253"/>
      <c r="AN63" s="253"/>
      <c r="AO63" s="253"/>
      <c r="AP63" s="253"/>
      <c r="AQ63" s="253"/>
      <c r="AR63" s="253"/>
      <c r="AS63" s="253"/>
      <c r="AT63" s="253"/>
      <c r="AU63" s="253"/>
      <c r="AV63" s="253"/>
      <c r="AW63" s="253"/>
      <c r="AX63" s="253"/>
      <c r="AY63" s="253"/>
      <c r="AZ63" s="253"/>
      <c r="BA63" s="253"/>
      <c r="BB63" s="253"/>
      <c r="BC63" s="255">
        <f>500-500</f>
        <v>0</v>
      </c>
      <c r="BD63" s="253"/>
      <c r="BE63" s="253"/>
      <c r="BF63" s="253"/>
      <c r="BG63" s="253"/>
      <c r="BH63" s="253"/>
      <c r="BI63" s="253"/>
      <c r="BJ63" s="253"/>
      <c r="BK63" s="253"/>
      <c r="BL63" s="253"/>
      <c r="BM63" s="253"/>
      <c r="BN63" s="253"/>
      <c r="BO63" s="253"/>
      <c r="BP63" s="253"/>
      <c r="BQ63" s="253"/>
      <c r="BR63" s="253"/>
      <c r="BS63" s="253"/>
      <c r="BT63" s="253"/>
      <c r="BU63" s="253"/>
      <c r="BV63" s="253"/>
      <c r="BW63" s="253"/>
      <c r="BX63" s="253"/>
      <c r="BY63" s="253"/>
      <c r="BZ63" s="253"/>
      <c r="CA63" s="253"/>
      <c r="CB63" s="253"/>
      <c r="CC63" s="253"/>
      <c r="CD63" s="253"/>
      <c r="CE63" s="253"/>
      <c r="CF63" s="253"/>
      <c r="CG63" s="253"/>
      <c r="CH63" s="253"/>
      <c r="CI63" s="253"/>
      <c r="CJ63" s="253"/>
      <c r="CK63" s="253"/>
      <c r="CL63" s="253"/>
      <c r="CM63" s="253"/>
      <c r="CN63" s="253"/>
      <c r="CO63" s="253"/>
      <c r="CP63" s="253"/>
      <c r="CQ63" s="253"/>
      <c r="CR63" s="253"/>
      <c r="CS63" s="253"/>
      <c r="CT63" s="253"/>
      <c r="CU63" s="253"/>
      <c r="CV63" s="253"/>
      <c r="CW63" s="253"/>
      <c r="CX63" s="253"/>
      <c r="CY63" s="253"/>
      <c r="CZ63" s="253"/>
      <c r="DA63" s="253"/>
      <c r="DB63" s="253"/>
      <c r="DC63" s="253"/>
      <c r="DD63" s="253"/>
      <c r="DE63" s="253"/>
      <c r="DF63" s="253"/>
      <c r="DG63" s="253"/>
      <c r="DH63" s="253"/>
      <c r="DI63" s="253"/>
      <c r="DJ63" s="253"/>
      <c r="DK63" s="253"/>
      <c r="DL63" s="253"/>
      <c r="DM63" s="253"/>
      <c r="DN63" s="253"/>
      <c r="DO63" s="253"/>
      <c r="DP63" s="253"/>
      <c r="DQ63" s="253"/>
      <c r="DR63" s="253"/>
      <c r="DS63" s="253"/>
      <c r="DT63" s="253"/>
      <c r="DU63" s="253"/>
      <c r="DV63" s="253"/>
      <c r="DW63" s="253"/>
      <c r="DX63" s="253"/>
      <c r="DY63" s="254">
        <f>20-20+20</f>
        <v>20</v>
      </c>
      <c r="DZ63" s="253"/>
      <c r="EA63" s="255">
        <f>500-500</f>
        <v>0</v>
      </c>
      <c r="EB63" s="255">
        <f>500-500</f>
        <v>0</v>
      </c>
      <c r="EC63" s="253"/>
      <c r="ED63" s="253"/>
      <c r="EE63" s="253"/>
      <c r="EF63" s="253"/>
      <c r="EG63" s="253"/>
      <c r="EH63" s="253"/>
      <c r="EI63" s="253"/>
      <c r="EJ63" s="253"/>
      <c r="EK63" s="253"/>
      <c r="EL63" s="253"/>
      <c r="EM63" s="253"/>
      <c r="EN63" s="253"/>
      <c r="EO63" s="253"/>
      <c r="EP63" s="253"/>
      <c r="EQ63" s="253"/>
      <c r="ER63" s="253"/>
      <c r="ES63" s="253"/>
      <c r="ET63" s="253"/>
      <c r="EU63" s="253"/>
      <c r="EV63" s="253"/>
      <c r="EW63" s="253"/>
      <c r="EX63" s="253"/>
      <c r="EY63" s="253"/>
      <c r="EZ63" s="253"/>
      <c r="FA63" s="253"/>
      <c r="FB63" s="253"/>
      <c r="FC63" s="253"/>
      <c r="FD63" s="253"/>
      <c r="FE63" s="253"/>
      <c r="FF63" s="253"/>
      <c r="FG63" s="253"/>
      <c r="FH63" s="253"/>
      <c r="FI63" s="253"/>
      <c r="FJ63" s="253"/>
      <c r="FK63" s="253"/>
      <c r="FL63" s="253"/>
      <c r="FM63" s="262"/>
      <c r="FN63" s="257" t="s">
        <v>1216</v>
      </c>
      <c r="FO63" s="258" t="s">
        <v>389</v>
      </c>
      <c r="FP63" s="258"/>
      <c r="FQ63" s="258" t="s">
        <v>423</v>
      </c>
      <c r="FR63" s="259">
        <f t="shared" si="0"/>
        <v>20</v>
      </c>
      <c r="FS63" s="260" t="s">
        <v>424</v>
      </c>
      <c r="FT63" s="260"/>
    </row>
    <row r="64" spans="1:176">
      <c r="A64" s="251" t="s">
        <v>385</v>
      </c>
      <c r="B64" s="251" t="s">
        <v>411</v>
      </c>
      <c r="C64" s="251" t="s">
        <v>1</v>
      </c>
      <c r="D64" s="252" t="s">
        <v>440</v>
      </c>
      <c r="E64" s="251" t="s">
        <v>388</v>
      </c>
      <c r="F64" s="251"/>
      <c r="G64" s="253"/>
      <c r="H64" s="253"/>
      <c r="I64" s="253"/>
      <c r="J64" s="253"/>
      <c r="K64" s="254">
        <f>400-400+400</f>
        <v>400</v>
      </c>
      <c r="L64" s="253"/>
      <c r="M64" s="253"/>
      <c r="N64" s="253"/>
      <c r="O64" s="253"/>
      <c r="P64" s="253"/>
      <c r="Q64" s="253"/>
      <c r="R64" s="255">
        <f>500-500</f>
        <v>0</v>
      </c>
      <c r="S64" s="253"/>
      <c r="T64" s="255">
        <f>440-440</f>
        <v>0</v>
      </c>
      <c r="U64" s="255">
        <f>500-500</f>
        <v>0</v>
      </c>
      <c r="V64" s="255">
        <f>500-500</f>
        <v>0</v>
      </c>
      <c r="W64" s="255">
        <f>500-500</f>
        <v>0</v>
      </c>
      <c r="X64" s="255">
        <f>500-500</f>
        <v>0</v>
      </c>
      <c r="Y64" s="253"/>
      <c r="Z64" s="255">
        <f>500-500</f>
        <v>0</v>
      </c>
      <c r="AA64" s="255">
        <f>500-500</f>
        <v>0</v>
      </c>
      <c r="AB64" s="253"/>
      <c r="AC64" s="253"/>
      <c r="AD64" s="255">
        <f>500-500</f>
        <v>0</v>
      </c>
      <c r="AE64" s="253"/>
      <c r="AF64" s="253"/>
      <c r="AG64" s="255">
        <f>500-500</f>
        <v>0</v>
      </c>
      <c r="AH64" s="255">
        <f>500-500</f>
        <v>0</v>
      </c>
      <c r="AI64" s="253"/>
      <c r="AJ64" s="253"/>
      <c r="AK64" s="253"/>
      <c r="AL64" s="253"/>
      <c r="AM64" s="255">
        <f>500-500</f>
        <v>0</v>
      </c>
      <c r="AN64" s="253"/>
      <c r="AO64" s="253"/>
      <c r="AP64" s="253"/>
      <c r="AQ64" s="253"/>
      <c r="AR64" s="253"/>
      <c r="AS64" s="255">
        <f>500-500</f>
        <v>0</v>
      </c>
      <c r="AT64" s="253"/>
      <c r="AU64" s="253"/>
      <c r="AV64" s="253"/>
      <c r="AW64" s="253"/>
      <c r="AX64" s="253"/>
      <c r="AY64" s="255">
        <f>500-500</f>
        <v>0</v>
      </c>
      <c r="AZ64" s="253"/>
      <c r="BA64" s="253"/>
      <c r="BB64" s="253"/>
      <c r="BC64" s="253"/>
      <c r="BD64" s="253"/>
      <c r="BE64" s="253"/>
      <c r="BF64" s="253"/>
      <c r="BG64" s="253"/>
      <c r="BH64" s="253"/>
      <c r="BI64" s="253"/>
      <c r="BJ64" s="253"/>
      <c r="BK64" s="255">
        <f>500-500</f>
        <v>0</v>
      </c>
      <c r="BL64" s="255">
        <f>500-500</f>
        <v>0</v>
      </c>
      <c r="BM64" s="255">
        <f>500-500</f>
        <v>0</v>
      </c>
      <c r="BN64" s="255">
        <f>450-450</f>
        <v>0</v>
      </c>
      <c r="BO64" s="255">
        <f>500-500</f>
        <v>0</v>
      </c>
      <c r="BP64" s="255">
        <f>500-500</f>
        <v>0</v>
      </c>
      <c r="BQ64" s="255">
        <f>500-500</f>
        <v>0</v>
      </c>
      <c r="BR64" s="255">
        <f>500-500</f>
        <v>0</v>
      </c>
      <c r="BS64" s="255">
        <f>500-500</f>
        <v>0</v>
      </c>
      <c r="BT64" s="253"/>
      <c r="BU64" s="255">
        <f>500-500</f>
        <v>0</v>
      </c>
      <c r="BV64" s="255">
        <f>500-500</f>
        <v>0</v>
      </c>
      <c r="BW64" s="255">
        <f>500-500</f>
        <v>0</v>
      </c>
      <c r="BX64" s="255">
        <f>500-500</f>
        <v>0</v>
      </c>
      <c r="BY64" s="255">
        <f>440-440</f>
        <v>0</v>
      </c>
      <c r="BZ64" s="255">
        <f>500-500</f>
        <v>0</v>
      </c>
      <c r="CA64" s="255">
        <f>500-500</f>
        <v>0</v>
      </c>
      <c r="CB64" s="255">
        <f>470-470</f>
        <v>0</v>
      </c>
      <c r="CC64" s="255">
        <f>490-490</f>
        <v>0</v>
      </c>
      <c r="CD64" s="255">
        <f t="shared" ref="CD64:CJ65" si="4">500-500</f>
        <v>0</v>
      </c>
      <c r="CE64" s="253"/>
      <c r="CF64" s="253"/>
      <c r="CG64" s="255">
        <f t="shared" si="4"/>
        <v>0</v>
      </c>
      <c r="CH64" s="255">
        <f t="shared" si="4"/>
        <v>0</v>
      </c>
      <c r="CI64" s="255">
        <f t="shared" si="4"/>
        <v>0</v>
      </c>
      <c r="CJ64" s="255">
        <f t="shared" si="4"/>
        <v>0</v>
      </c>
      <c r="CK64" s="255">
        <f>490-490</f>
        <v>0</v>
      </c>
      <c r="CL64" s="253"/>
      <c r="CM64" s="253"/>
      <c r="CN64" s="253"/>
      <c r="CO64" s="253"/>
      <c r="CP64" s="253"/>
      <c r="CQ64" s="253"/>
      <c r="CR64" s="253"/>
      <c r="CS64" s="255">
        <f>500-500</f>
        <v>0</v>
      </c>
      <c r="CT64" s="255">
        <f>500-500</f>
        <v>0</v>
      </c>
      <c r="CU64" s="253"/>
      <c r="CV64" s="253"/>
      <c r="CW64" s="255">
        <f>100-100</f>
        <v>0</v>
      </c>
      <c r="CX64" s="255">
        <f>100-100</f>
        <v>0</v>
      </c>
      <c r="CY64" s="255">
        <f>100-100</f>
        <v>0</v>
      </c>
      <c r="CZ64" s="255">
        <f>90-90</f>
        <v>0</v>
      </c>
      <c r="DA64" s="255">
        <f>100-100</f>
        <v>0</v>
      </c>
      <c r="DB64" s="255">
        <f>100-100</f>
        <v>0</v>
      </c>
      <c r="DC64" s="255">
        <f>95-95</f>
        <v>0</v>
      </c>
      <c r="DD64" s="253"/>
      <c r="DE64" s="253"/>
      <c r="DF64" s="253"/>
      <c r="DG64" s="253"/>
      <c r="DH64" s="253"/>
      <c r="DI64" s="253"/>
      <c r="DJ64" s="253"/>
      <c r="DK64" s="253"/>
      <c r="DL64" s="255">
        <f>500-500</f>
        <v>0</v>
      </c>
      <c r="DM64" s="253"/>
      <c r="DN64" s="253"/>
      <c r="DO64" s="253"/>
      <c r="DP64" s="253"/>
      <c r="DQ64" s="253"/>
      <c r="DR64" s="253"/>
      <c r="DS64" s="253"/>
      <c r="DT64" s="253"/>
      <c r="DU64" s="253"/>
      <c r="DV64" s="253"/>
      <c r="DW64" s="253"/>
      <c r="DX64" s="253"/>
      <c r="DY64" s="253"/>
      <c r="DZ64" s="255">
        <f>500-500</f>
        <v>0</v>
      </c>
      <c r="EA64" s="253"/>
      <c r="EB64" s="253"/>
      <c r="EC64" s="253"/>
      <c r="ED64" s="255">
        <f>500-500</f>
        <v>0</v>
      </c>
      <c r="EE64" s="255">
        <f>500-500</f>
        <v>0</v>
      </c>
      <c r="EF64" s="253"/>
      <c r="EG64" s="253"/>
      <c r="EH64" s="255">
        <f>500-500</f>
        <v>0</v>
      </c>
      <c r="EI64" s="255">
        <f>500-500</f>
        <v>0</v>
      </c>
      <c r="EJ64" s="255">
        <f>500-500</f>
        <v>0</v>
      </c>
      <c r="EK64" s="255">
        <f>500-500</f>
        <v>0</v>
      </c>
      <c r="EL64" s="255">
        <f>500-500</f>
        <v>0</v>
      </c>
      <c r="EM64" s="253"/>
      <c r="EN64" s="253"/>
      <c r="EO64" s="255">
        <f>500-500</f>
        <v>0</v>
      </c>
      <c r="EP64" s="255">
        <f>500-500</f>
        <v>0</v>
      </c>
      <c r="EQ64" s="255">
        <f>500-500</f>
        <v>0</v>
      </c>
      <c r="ER64" s="255">
        <f>500-500</f>
        <v>0</v>
      </c>
      <c r="ES64" s="253"/>
      <c r="ET64" s="255">
        <f>500-500</f>
        <v>0</v>
      </c>
      <c r="EU64" s="255">
        <f>500-500</f>
        <v>0</v>
      </c>
      <c r="EV64" s="255">
        <f>500-500</f>
        <v>0</v>
      </c>
      <c r="EW64" s="253"/>
      <c r="EX64" s="255">
        <f>500-500</f>
        <v>0</v>
      </c>
      <c r="EY64" s="255">
        <f>500-500</f>
        <v>0</v>
      </c>
      <c r="EZ64" s="255">
        <f>500-500</f>
        <v>0</v>
      </c>
      <c r="FA64" s="253"/>
      <c r="FB64" s="255">
        <f>500-500</f>
        <v>0</v>
      </c>
      <c r="FC64" s="255">
        <f>500-500</f>
        <v>0</v>
      </c>
      <c r="FD64" s="255">
        <f>500-500</f>
        <v>0</v>
      </c>
      <c r="FE64" s="253"/>
      <c r="FF64" s="255">
        <f>500-500</f>
        <v>0</v>
      </c>
      <c r="FG64" s="253"/>
      <c r="FH64" s="253"/>
      <c r="FI64" s="255">
        <f>500-500</f>
        <v>0</v>
      </c>
      <c r="FJ64" s="255">
        <f>500-500</f>
        <v>0</v>
      </c>
      <c r="FK64" s="253"/>
      <c r="FL64" s="253"/>
      <c r="FM64" s="262"/>
      <c r="FN64" s="257" t="s">
        <v>1216</v>
      </c>
      <c r="FO64" s="258" t="s">
        <v>389</v>
      </c>
      <c r="FP64" s="258"/>
      <c r="FQ64" s="258" t="s">
        <v>423</v>
      </c>
      <c r="FR64" s="259">
        <f t="shared" si="0"/>
        <v>400</v>
      </c>
      <c r="FS64" s="260" t="s">
        <v>424</v>
      </c>
      <c r="FT64" s="260"/>
    </row>
    <row r="65" spans="1:176">
      <c r="A65" s="251" t="s">
        <v>385</v>
      </c>
      <c r="B65" s="251" t="s">
        <v>411</v>
      </c>
      <c r="C65" s="251" t="s">
        <v>293</v>
      </c>
      <c r="D65" s="252" t="s">
        <v>440</v>
      </c>
      <c r="E65" s="251" t="s">
        <v>388</v>
      </c>
      <c r="F65" s="251"/>
      <c r="G65" s="253"/>
      <c r="H65" s="253"/>
      <c r="I65" s="255">
        <f>500-500</f>
        <v>0</v>
      </c>
      <c r="J65" s="253"/>
      <c r="K65" s="253"/>
      <c r="L65" s="253"/>
      <c r="M65" s="253"/>
      <c r="N65" s="253"/>
      <c r="O65" s="253"/>
      <c r="P65" s="253"/>
      <c r="Q65" s="253"/>
      <c r="R65" s="253"/>
      <c r="S65" s="253"/>
      <c r="T65" s="253"/>
      <c r="U65" s="253"/>
      <c r="V65" s="253"/>
      <c r="W65" s="253"/>
      <c r="X65" s="253"/>
      <c r="Y65" s="253"/>
      <c r="Z65" s="253"/>
      <c r="AA65" s="253"/>
      <c r="AB65" s="253"/>
      <c r="AC65" s="253"/>
      <c r="AD65" s="253"/>
      <c r="AE65" s="253"/>
      <c r="AF65" s="253"/>
      <c r="AG65" s="253"/>
      <c r="AH65" s="253"/>
      <c r="AI65" s="253"/>
      <c r="AJ65" s="253"/>
      <c r="AK65" s="253"/>
      <c r="AL65" s="253"/>
      <c r="AM65" s="253"/>
      <c r="AN65" s="253"/>
      <c r="AO65" s="253"/>
      <c r="AP65" s="253"/>
      <c r="AQ65" s="253"/>
      <c r="AR65" s="253"/>
      <c r="AS65" s="253"/>
      <c r="AT65" s="253"/>
      <c r="AU65" s="253"/>
      <c r="AV65" s="253"/>
      <c r="AW65" s="253"/>
      <c r="AX65" s="253"/>
      <c r="AY65" s="253"/>
      <c r="AZ65" s="253"/>
      <c r="BA65" s="253"/>
      <c r="BB65" s="253"/>
      <c r="BC65" s="253"/>
      <c r="BD65" s="253"/>
      <c r="BE65" s="253"/>
      <c r="BF65" s="253"/>
      <c r="BG65" s="253"/>
      <c r="BH65" s="253"/>
      <c r="BI65" s="253"/>
      <c r="BJ65" s="253"/>
      <c r="BK65" s="253"/>
      <c r="BL65" s="253"/>
      <c r="BM65" s="253"/>
      <c r="BN65" s="253"/>
      <c r="BO65" s="253"/>
      <c r="BP65" s="253"/>
      <c r="BQ65" s="253"/>
      <c r="BR65" s="253"/>
      <c r="BS65" s="253"/>
      <c r="BT65" s="253"/>
      <c r="BU65" s="253"/>
      <c r="BV65" s="253"/>
      <c r="BW65" s="253"/>
      <c r="BX65" s="253"/>
      <c r="BY65" s="253"/>
      <c r="BZ65" s="253"/>
      <c r="CA65" s="253"/>
      <c r="CB65" s="253"/>
      <c r="CC65" s="253"/>
      <c r="CD65" s="253"/>
      <c r="CE65" s="255">
        <f t="shared" si="4"/>
        <v>0</v>
      </c>
      <c r="CF65" s="255">
        <f t="shared" si="4"/>
        <v>0</v>
      </c>
      <c r="CG65" s="253"/>
      <c r="CH65" s="253"/>
      <c r="CI65" s="253"/>
      <c r="CJ65" s="253"/>
      <c r="CK65" s="253"/>
      <c r="CL65" s="255">
        <f>470-470</f>
        <v>0</v>
      </c>
      <c r="CM65" s="253"/>
      <c r="CN65" s="253"/>
      <c r="CO65" s="253"/>
      <c r="CP65" s="253"/>
      <c r="CQ65" s="253"/>
      <c r="CR65" s="253"/>
      <c r="CS65" s="253"/>
      <c r="CT65" s="253"/>
      <c r="CU65" s="253"/>
      <c r="CV65" s="253"/>
      <c r="CW65" s="253"/>
      <c r="CX65" s="253"/>
      <c r="CY65" s="253"/>
      <c r="CZ65" s="253"/>
      <c r="DA65" s="253"/>
      <c r="DB65" s="253"/>
      <c r="DC65" s="253"/>
      <c r="DD65" s="255">
        <f>93-93</f>
        <v>0</v>
      </c>
      <c r="DE65" s="253"/>
      <c r="DF65" s="253"/>
      <c r="DG65" s="253"/>
      <c r="DH65" s="253"/>
      <c r="DI65" s="253"/>
      <c r="DJ65" s="253"/>
      <c r="DK65" s="253"/>
      <c r="DL65" s="253"/>
      <c r="DM65" s="253"/>
      <c r="DN65" s="253"/>
      <c r="DO65" s="253"/>
      <c r="DP65" s="253"/>
      <c r="DQ65" s="253"/>
      <c r="DR65" s="253"/>
      <c r="DS65" s="253"/>
      <c r="DT65" s="253"/>
      <c r="DU65" s="253"/>
      <c r="DV65" s="253"/>
      <c r="DW65" s="253"/>
      <c r="DX65" s="253"/>
      <c r="DY65" s="253"/>
      <c r="DZ65" s="253"/>
      <c r="EA65" s="253"/>
      <c r="EB65" s="253"/>
      <c r="EC65" s="253"/>
      <c r="ED65" s="253"/>
      <c r="EE65" s="253"/>
      <c r="EF65" s="253"/>
      <c r="EG65" s="253"/>
      <c r="EH65" s="253"/>
      <c r="EI65" s="253"/>
      <c r="EJ65" s="253"/>
      <c r="EK65" s="253"/>
      <c r="EL65" s="253"/>
      <c r="EM65" s="253"/>
      <c r="EN65" s="253"/>
      <c r="EO65" s="253"/>
      <c r="EP65" s="253"/>
      <c r="EQ65" s="253"/>
      <c r="ER65" s="253"/>
      <c r="ES65" s="255">
        <f>500-500</f>
        <v>0</v>
      </c>
      <c r="ET65" s="253"/>
      <c r="EU65" s="253"/>
      <c r="EV65" s="253"/>
      <c r="EW65" s="255">
        <f>500-500</f>
        <v>0</v>
      </c>
      <c r="EX65" s="253"/>
      <c r="EY65" s="253"/>
      <c r="EZ65" s="253"/>
      <c r="FA65" s="255">
        <f>500-500</f>
        <v>0</v>
      </c>
      <c r="FB65" s="253"/>
      <c r="FC65" s="253"/>
      <c r="FD65" s="253"/>
      <c r="FE65" s="255">
        <f>500-500</f>
        <v>0</v>
      </c>
      <c r="FF65" s="253"/>
      <c r="FG65" s="253"/>
      <c r="FH65" s="253"/>
      <c r="FI65" s="253"/>
      <c r="FJ65" s="253"/>
      <c r="FK65" s="253"/>
      <c r="FL65" s="253"/>
      <c r="FM65" s="262"/>
      <c r="FN65" s="257" t="s">
        <v>1216</v>
      </c>
      <c r="FO65" s="258" t="s">
        <v>389</v>
      </c>
      <c r="FP65" s="258"/>
      <c r="FQ65" s="258" t="s">
        <v>423</v>
      </c>
      <c r="FR65" s="259">
        <f t="shared" si="0"/>
        <v>0</v>
      </c>
      <c r="FS65" s="260" t="s">
        <v>424</v>
      </c>
      <c r="FT65" s="260"/>
    </row>
    <row r="66" spans="1:176">
      <c r="A66" s="251" t="s">
        <v>385</v>
      </c>
      <c r="B66" s="251" t="s">
        <v>411</v>
      </c>
      <c r="C66" s="251" t="s">
        <v>291</v>
      </c>
      <c r="D66" s="252" t="s">
        <v>441</v>
      </c>
      <c r="E66" s="251" t="s">
        <v>388</v>
      </c>
      <c r="F66" s="251"/>
      <c r="G66" s="253"/>
      <c r="H66" s="253"/>
      <c r="I66" s="253"/>
      <c r="J66" s="253"/>
      <c r="K66" s="253"/>
      <c r="L66" s="253"/>
      <c r="M66" s="255">
        <f>50-50</f>
        <v>0</v>
      </c>
      <c r="N66" s="255">
        <f>50-50</f>
        <v>0</v>
      </c>
      <c r="O66" s="253"/>
      <c r="P66" s="255">
        <f>100-100</f>
        <v>0</v>
      </c>
      <c r="Q66" s="253"/>
      <c r="R66" s="253"/>
      <c r="S66" s="255">
        <f>20-20</f>
        <v>0</v>
      </c>
      <c r="T66" s="253"/>
      <c r="U66" s="253"/>
      <c r="V66" s="253"/>
      <c r="W66" s="253"/>
      <c r="X66" s="253"/>
      <c r="Y66" s="253"/>
      <c r="Z66" s="253"/>
      <c r="AA66" s="253"/>
      <c r="AB66" s="255">
        <f>100-100</f>
        <v>0</v>
      </c>
      <c r="AC66" s="255">
        <f>200-200</f>
        <v>0</v>
      </c>
      <c r="AD66" s="253"/>
      <c r="AE66" s="255">
        <f>300-300</f>
        <v>0</v>
      </c>
      <c r="AF66" s="255">
        <f>300-300</f>
        <v>0</v>
      </c>
      <c r="AG66" s="253"/>
      <c r="AH66" s="253"/>
      <c r="AI66" s="253"/>
      <c r="AJ66" s="253"/>
      <c r="AK66" s="255">
        <f>100-100</f>
        <v>0</v>
      </c>
      <c r="AL66" s="253"/>
      <c r="AM66" s="253"/>
      <c r="AN66" s="253"/>
      <c r="AO66" s="253"/>
      <c r="AP66" s="253"/>
      <c r="AQ66" s="253"/>
      <c r="AR66" s="253"/>
      <c r="AS66" s="253"/>
      <c r="AT66" s="253"/>
      <c r="AU66" s="253"/>
      <c r="AV66" s="253"/>
      <c r="AW66" s="253"/>
      <c r="AX66" s="253"/>
      <c r="AY66" s="253"/>
      <c r="AZ66" s="253"/>
      <c r="BA66" s="253"/>
      <c r="BB66" s="253"/>
      <c r="BC66" s="255">
        <f>300-300</f>
        <v>0</v>
      </c>
      <c r="BD66" s="253"/>
      <c r="BE66" s="253"/>
      <c r="BF66" s="253"/>
      <c r="BG66" s="253"/>
      <c r="BH66" s="253"/>
      <c r="BI66" s="253"/>
      <c r="BJ66" s="253"/>
      <c r="BK66" s="253"/>
      <c r="BL66" s="253"/>
      <c r="BM66" s="253"/>
      <c r="BN66" s="253"/>
      <c r="BO66" s="253"/>
      <c r="BP66" s="253"/>
      <c r="BQ66" s="253"/>
      <c r="BR66" s="253"/>
      <c r="BS66" s="253"/>
      <c r="BT66" s="253"/>
      <c r="BU66" s="253"/>
      <c r="BV66" s="253"/>
      <c r="BW66" s="253"/>
      <c r="BX66" s="253"/>
      <c r="BY66" s="253"/>
      <c r="BZ66" s="253"/>
      <c r="CA66" s="253"/>
      <c r="CB66" s="253"/>
      <c r="CC66" s="253"/>
      <c r="CD66" s="253"/>
      <c r="CE66" s="253"/>
      <c r="CF66" s="253"/>
      <c r="CG66" s="253"/>
      <c r="CH66" s="253"/>
      <c r="CI66" s="253"/>
      <c r="CJ66" s="253"/>
      <c r="CK66" s="253"/>
      <c r="CL66" s="253"/>
      <c r="CM66" s="253"/>
      <c r="CN66" s="253"/>
      <c r="CO66" s="253"/>
      <c r="CP66" s="253"/>
      <c r="CQ66" s="253"/>
      <c r="CR66" s="253"/>
      <c r="CS66" s="253"/>
      <c r="CT66" s="253"/>
      <c r="CU66" s="253"/>
      <c r="CV66" s="253"/>
      <c r="CW66" s="253"/>
      <c r="CX66" s="253"/>
      <c r="CY66" s="253"/>
      <c r="CZ66" s="253"/>
      <c r="DA66" s="253"/>
      <c r="DB66" s="253"/>
      <c r="DC66" s="253"/>
      <c r="DD66" s="253"/>
      <c r="DE66" s="253"/>
      <c r="DF66" s="253"/>
      <c r="DG66" s="253"/>
      <c r="DH66" s="253"/>
      <c r="DI66" s="253"/>
      <c r="DJ66" s="253"/>
      <c r="DK66" s="253"/>
      <c r="DL66" s="253"/>
      <c r="DM66" s="253"/>
      <c r="DN66" s="253"/>
      <c r="DO66" s="253"/>
      <c r="DP66" s="253"/>
      <c r="DQ66" s="253"/>
      <c r="DR66" s="253"/>
      <c r="DS66" s="253"/>
      <c r="DT66" s="253"/>
      <c r="DU66" s="253"/>
      <c r="DV66" s="253"/>
      <c r="DW66" s="253"/>
      <c r="DX66" s="253"/>
      <c r="DY66" s="253"/>
      <c r="DZ66" s="253"/>
      <c r="EA66" s="253"/>
      <c r="EB66" s="253"/>
      <c r="EC66" s="253"/>
      <c r="ED66" s="253"/>
      <c r="EE66" s="253"/>
      <c r="EF66" s="253"/>
      <c r="EG66" s="253"/>
      <c r="EH66" s="253"/>
      <c r="EI66" s="253"/>
      <c r="EJ66" s="253"/>
      <c r="EK66" s="253"/>
      <c r="EL66" s="253"/>
      <c r="EM66" s="253"/>
      <c r="EN66" s="253"/>
      <c r="EO66" s="253"/>
      <c r="EP66" s="253"/>
      <c r="EQ66" s="253"/>
      <c r="ER66" s="253"/>
      <c r="ES66" s="253"/>
      <c r="ET66" s="253"/>
      <c r="EU66" s="253"/>
      <c r="EV66" s="253"/>
      <c r="EW66" s="253"/>
      <c r="EX66" s="253"/>
      <c r="EY66" s="253"/>
      <c r="EZ66" s="253"/>
      <c r="FA66" s="253"/>
      <c r="FB66" s="253"/>
      <c r="FC66" s="253"/>
      <c r="FD66" s="253"/>
      <c r="FE66" s="253"/>
      <c r="FF66" s="253"/>
      <c r="FG66" s="253"/>
      <c r="FH66" s="253"/>
      <c r="FI66" s="253"/>
      <c r="FJ66" s="253"/>
      <c r="FK66" s="253"/>
      <c r="FL66" s="253"/>
      <c r="FM66" s="262"/>
      <c r="FN66" s="257" t="s">
        <v>1216</v>
      </c>
      <c r="FO66" s="258" t="s">
        <v>389</v>
      </c>
      <c r="FP66" s="258"/>
      <c r="FQ66" s="258" t="s">
        <v>423</v>
      </c>
      <c r="FR66" s="259">
        <f t="shared" si="0"/>
        <v>0</v>
      </c>
      <c r="FS66" s="260" t="s">
        <v>424</v>
      </c>
      <c r="FT66" s="260"/>
    </row>
    <row r="67" spans="1:176">
      <c r="A67" s="251" t="s">
        <v>385</v>
      </c>
      <c r="B67" s="251" t="s">
        <v>411</v>
      </c>
      <c r="C67" s="251" t="s">
        <v>1</v>
      </c>
      <c r="D67" s="252" t="s">
        <v>441</v>
      </c>
      <c r="E67" s="251" t="s">
        <v>388</v>
      </c>
      <c r="F67" s="251"/>
      <c r="G67" s="253"/>
      <c r="H67" s="253"/>
      <c r="I67" s="253"/>
      <c r="J67" s="253"/>
      <c r="K67" s="253"/>
      <c r="L67" s="253"/>
      <c r="M67" s="253"/>
      <c r="N67" s="253"/>
      <c r="O67" s="255">
        <f>50-50</f>
        <v>0</v>
      </c>
      <c r="P67" s="253"/>
      <c r="Q67" s="253"/>
      <c r="R67" s="255">
        <f>20-20</f>
        <v>0</v>
      </c>
      <c r="S67" s="253"/>
      <c r="T67" s="255">
        <f>100-100</f>
        <v>0</v>
      </c>
      <c r="U67" s="255">
        <f>100-100</f>
        <v>0</v>
      </c>
      <c r="V67" s="253"/>
      <c r="W67" s="255">
        <f>100-100</f>
        <v>0</v>
      </c>
      <c r="X67" s="255">
        <f>100-100</f>
        <v>0</v>
      </c>
      <c r="Y67" s="255">
        <f>200-200</f>
        <v>0</v>
      </c>
      <c r="Z67" s="255">
        <f>200-200</f>
        <v>0</v>
      </c>
      <c r="AA67" s="255">
        <f>100-100</f>
        <v>0</v>
      </c>
      <c r="AB67" s="253"/>
      <c r="AC67" s="253"/>
      <c r="AD67" s="255">
        <f>100-100</f>
        <v>0</v>
      </c>
      <c r="AE67" s="253"/>
      <c r="AF67" s="253"/>
      <c r="AG67" s="255">
        <f>100-100</f>
        <v>0</v>
      </c>
      <c r="AH67" s="253"/>
      <c r="AI67" s="253"/>
      <c r="AJ67" s="253"/>
      <c r="AK67" s="253"/>
      <c r="AL67" s="253"/>
      <c r="AM67" s="255">
        <f>100-100</f>
        <v>0</v>
      </c>
      <c r="AN67" s="253"/>
      <c r="AO67" s="253"/>
      <c r="AP67" s="253"/>
      <c r="AQ67" s="253"/>
      <c r="AR67" s="253"/>
      <c r="AS67" s="255">
        <f>500-500</f>
        <v>0</v>
      </c>
      <c r="AT67" s="253"/>
      <c r="AU67" s="253"/>
      <c r="AV67" s="253"/>
      <c r="AW67" s="253"/>
      <c r="AX67" s="253"/>
      <c r="AY67" s="255">
        <f>200-200</f>
        <v>0</v>
      </c>
      <c r="AZ67" s="253"/>
      <c r="BA67" s="253"/>
      <c r="BB67" s="253"/>
      <c r="BC67" s="253"/>
      <c r="BD67" s="253"/>
      <c r="BE67" s="253"/>
      <c r="BF67" s="253"/>
      <c r="BG67" s="253"/>
      <c r="BH67" s="253"/>
      <c r="BI67" s="253"/>
      <c r="BJ67" s="253"/>
      <c r="BK67" s="253"/>
      <c r="BL67" s="255">
        <f>300-300</f>
        <v>0</v>
      </c>
      <c r="BM67" s="255">
        <f>300-300</f>
        <v>0</v>
      </c>
      <c r="BN67" s="255">
        <f>300-300</f>
        <v>0</v>
      </c>
      <c r="BO67" s="255">
        <f>300-300</f>
        <v>0</v>
      </c>
      <c r="BP67" s="253"/>
      <c r="BQ67" s="255">
        <f>300-300</f>
        <v>0</v>
      </c>
      <c r="BR67" s="255">
        <f>300-300</f>
        <v>0</v>
      </c>
      <c r="BS67" s="255">
        <f>300-300</f>
        <v>0</v>
      </c>
      <c r="BT67" s="253"/>
      <c r="BU67" s="255">
        <f>300-300</f>
        <v>0</v>
      </c>
      <c r="BV67" s="255">
        <f>300-300</f>
        <v>0</v>
      </c>
      <c r="BW67" s="253"/>
      <c r="BX67" s="255">
        <f>300-300</f>
        <v>0</v>
      </c>
      <c r="BY67" s="255">
        <f>200-200</f>
        <v>0</v>
      </c>
      <c r="BZ67" s="255">
        <f>200-200</f>
        <v>0</v>
      </c>
      <c r="CA67" s="255">
        <f>200-200</f>
        <v>0</v>
      </c>
      <c r="CB67" s="255">
        <f>300-300</f>
        <v>0</v>
      </c>
      <c r="CC67" s="255">
        <f>200-200</f>
        <v>0</v>
      </c>
      <c r="CD67" s="255">
        <f>100-100</f>
        <v>0</v>
      </c>
      <c r="CE67" s="253"/>
      <c r="CF67" s="253"/>
      <c r="CG67" s="255">
        <f>50-50</f>
        <v>0</v>
      </c>
      <c r="CH67" s="255">
        <f>100-100</f>
        <v>0</v>
      </c>
      <c r="CI67" s="255">
        <f>100-100</f>
        <v>0</v>
      </c>
      <c r="CJ67" s="255">
        <f>200-200</f>
        <v>0</v>
      </c>
      <c r="CK67" s="253"/>
      <c r="CL67" s="253"/>
      <c r="CM67" s="253"/>
      <c r="CN67" s="253"/>
      <c r="CO67" s="253"/>
      <c r="CP67" s="253"/>
      <c r="CQ67" s="253"/>
      <c r="CR67" s="253"/>
      <c r="CS67" s="253"/>
      <c r="CT67" s="255">
        <f>100-100</f>
        <v>0</v>
      </c>
      <c r="CU67" s="253"/>
      <c r="CV67" s="253"/>
      <c r="CW67" s="255">
        <f>50-50</f>
        <v>0</v>
      </c>
      <c r="CX67" s="253"/>
      <c r="CY67" s="253"/>
      <c r="CZ67" s="253"/>
      <c r="DA67" s="255">
        <f>20-20</f>
        <v>0</v>
      </c>
      <c r="DB67" s="255">
        <f>20-20</f>
        <v>0</v>
      </c>
      <c r="DC67" s="255">
        <f>20-20</f>
        <v>0</v>
      </c>
      <c r="DD67" s="253"/>
      <c r="DE67" s="253"/>
      <c r="DF67" s="253"/>
      <c r="DG67" s="253"/>
      <c r="DH67" s="253"/>
      <c r="DI67" s="253"/>
      <c r="DJ67" s="253"/>
      <c r="DK67" s="253"/>
      <c r="DL67" s="255">
        <f>10-10</f>
        <v>0</v>
      </c>
      <c r="DM67" s="253"/>
      <c r="DN67" s="253"/>
      <c r="DO67" s="253"/>
      <c r="DP67" s="253"/>
      <c r="DQ67" s="253"/>
      <c r="DR67" s="253"/>
      <c r="DS67" s="253"/>
      <c r="DT67" s="253"/>
      <c r="DU67" s="253"/>
      <c r="DV67" s="253"/>
      <c r="DW67" s="253"/>
      <c r="DX67" s="253"/>
      <c r="DY67" s="253"/>
      <c r="DZ67" s="253"/>
      <c r="EA67" s="253"/>
      <c r="EB67" s="253"/>
      <c r="EC67" s="253"/>
      <c r="ED67" s="255">
        <f>50-50</f>
        <v>0</v>
      </c>
      <c r="EE67" s="255">
        <f>50-50</f>
        <v>0</v>
      </c>
      <c r="EF67" s="253"/>
      <c r="EG67" s="253"/>
      <c r="EH67" s="255">
        <f>100-100</f>
        <v>0</v>
      </c>
      <c r="EI67" s="255">
        <f>50-50</f>
        <v>0</v>
      </c>
      <c r="EJ67" s="253"/>
      <c r="EK67" s="253"/>
      <c r="EL67" s="253"/>
      <c r="EM67" s="255">
        <f>50-50</f>
        <v>0</v>
      </c>
      <c r="EN67" s="255">
        <f>50-50</f>
        <v>0</v>
      </c>
      <c r="EO67" s="255">
        <f>50-50</f>
        <v>0</v>
      </c>
      <c r="EP67" s="255">
        <f>50-50</f>
        <v>0</v>
      </c>
      <c r="EQ67" s="255">
        <f>50-50</f>
        <v>0</v>
      </c>
      <c r="ER67" s="253"/>
      <c r="ES67" s="253"/>
      <c r="ET67" s="253"/>
      <c r="EU67" s="255">
        <f>50-50</f>
        <v>0</v>
      </c>
      <c r="EV67" s="255">
        <f>30-30</f>
        <v>0</v>
      </c>
      <c r="EW67" s="253"/>
      <c r="EX67" s="255">
        <f>30-30</f>
        <v>0</v>
      </c>
      <c r="EY67" s="255">
        <f>30-30</f>
        <v>0</v>
      </c>
      <c r="EZ67" s="255">
        <f>30-30</f>
        <v>0</v>
      </c>
      <c r="FA67" s="253"/>
      <c r="FB67" s="255">
        <f>30-30</f>
        <v>0</v>
      </c>
      <c r="FC67" s="255">
        <f>20-20</f>
        <v>0</v>
      </c>
      <c r="FD67" s="253"/>
      <c r="FE67" s="253"/>
      <c r="FF67" s="255">
        <f>20-20</f>
        <v>0</v>
      </c>
      <c r="FG67" s="253"/>
      <c r="FH67" s="253"/>
      <c r="FI67" s="253"/>
      <c r="FJ67" s="253"/>
      <c r="FK67" s="253"/>
      <c r="FL67" s="253"/>
      <c r="FM67" s="262"/>
      <c r="FN67" s="257" t="s">
        <v>1216</v>
      </c>
      <c r="FO67" s="258" t="s">
        <v>389</v>
      </c>
      <c r="FP67" s="258"/>
      <c r="FQ67" s="258" t="s">
        <v>423</v>
      </c>
      <c r="FR67" s="259">
        <f t="shared" si="0"/>
        <v>0</v>
      </c>
      <c r="FS67" s="260" t="s">
        <v>424</v>
      </c>
      <c r="FT67" s="260"/>
    </row>
    <row r="68" spans="1:176">
      <c r="A68" s="251" t="s">
        <v>385</v>
      </c>
      <c r="B68" s="251" t="s">
        <v>411</v>
      </c>
      <c r="C68" s="251" t="s">
        <v>293</v>
      </c>
      <c r="D68" s="252" t="s">
        <v>441</v>
      </c>
      <c r="E68" s="251" t="s">
        <v>388</v>
      </c>
      <c r="F68" s="251"/>
      <c r="G68" s="253"/>
      <c r="H68" s="253"/>
      <c r="I68" s="253"/>
      <c r="J68" s="253"/>
      <c r="K68" s="253"/>
      <c r="L68" s="253"/>
      <c r="M68" s="253"/>
      <c r="N68" s="253"/>
      <c r="O68" s="253"/>
      <c r="P68" s="253"/>
      <c r="Q68" s="253"/>
      <c r="R68" s="253"/>
      <c r="S68" s="253"/>
      <c r="T68" s="253"/>
      <c r="U68" s="253"/>
      <c r="V68" s="253"/>
      <c r="W68" s="253"/>
      <c r="X68" s="253"/>
      <c r="Y68" s="253"/>
      <c r="Z68" s="253"/>
      <c r="AA68" s="253"/>
      <c r="AB68" s="253"/>
      <c r="AC68" s="253"/>
      <c r="AD68" s="253"/>
      <c r="AE68" s="253"/>
      <c r="AF68" s="253"/>
      <c r="AG68" s="253"/>
      <c r="AH68" s="253"/>
      <c r="AI68" s="253"/>
      <c r="AJ68" s="253"/>
      <c r="AK68" s="253"/>
      <c r="AL68" s="253"/>
      <c r="AM68" s="253"/>
      <c r="AN68" s="253"/>
      <c r="AO68" s="253"/>
      <c r="AP68" s="253"/>
      <c r="AQ68" s="253"/>
      <c r="AR68" s="253"/>
      <c r="AS68" s="253"/>
      <c r="AT68" s="253"/>
      <c r="AU68" s="253"/>
      <c r="AV68" s="253"/>
      <c r="AW68" s="253"/>
      <c r="AX68" s="253"/>
      <c r="AY68" s="253"/>
      <c r="AZ68" s="253"/>
      <c r="BA68" s="253"/>
      <c r="BB68" s="253"/>
      <c r="BC68" s="253"/>
      <c r="BD68" s="253"/>
      <c r="BE68" s="253"/>
      <c r="BF68" s="253"/>
      <c r="BG68" s="253"/>
      <c r="BH68" s="253"/>
      <c r="BI68" s="253"/>
      <c r="BJ68" s="253"/>
      <c r="BK68" s="253"/>
      <c r="BL68" s="253"/>
      <c r="BM68" s="253"/>
      <c r="BN68" s="253"/>
      <c r="BO68" s="253"/>
      <c r="BP68" s="253"/>
      <c r="BQ68" s="253"/>
      <c r="BR68" s="253"/>
      <c r="BS68" s="253"/>
      <c r="BT68" s="253"/>
      <c r="BU68" s="253"/>
      <c r="BV68" s="253"/>
      <c r="BW68" s="253"/>
      <c r="BX68" s="253"/>
      <c r="BY68" s="253"/>
      <c r="BZ68" s="253"/>
      <c r="CA68" s="253"/>
      <c r="CB68" s="253"/>
      <c r="CC68" s="253"/>
      <c r="CD68" s="253"/>
      <c r="CE68" s="253"/>
      <c r="CF68" s="253"/>
      <c r="CG68" s="253"/>
      <c r="CH68" s="253"/>
      <c r="CI68" s="253"/>
      <c r="CJ68" s="253"/>
      <c r="CK68" s="253"/>
      <c r="CL68" s="253"/>
      <c r="CM68" s="253"/>
      <c r="CN68" s="253"/>
      <c r="CO68" s="253"/>
      <c r="CP68" s="253"/>
      <c r="CQ68" s="253"/>
      <c r="CR68" s="253"/>
      <c r="CS68" s="253"/>
      <c r="CT68" s="253"/>
      <c r="CU68" s="253"/>
      <c r="CV68" s="253"/>
      <c r="CW68" s="253"/>
      <c r="CX68" s="253"/>
      <c r="CY68" s="253"/>
      <c r="CZ68" s="253"/>
      <c r="DA68" s="253"/>
      <c r="DB68" s="253"/>
      <c r="DC68" s="253"/>
      <c r="DD68" s="253"/>
      <c r="DE68" s="253"/>
      <c r="DF68" s="253"/>
      <c r="DG68" s="253"/>
      <c r="DH68" s="253"/>
      <c r="DI68" s="253"/>
      <c r="DJ68" s="253"/>
      <c r="DK68" s="253"/>
      <c r="DL68" s="253"/>
      <c r="DM68" s="253"/>
      <c r="DN68" s="253"/>
      <c r="DO68" s="253"/>
      <c r="DP68" s="253"/>
      <c r="DQ68" s="253"/>
      <c r="DR68" s="253"/>
      <c r="DS68" s="253"/>
      <c r="DT68" s="253"/>
      <c r="DU68" s="253"/>
      <c r="DV68" s="253"/>
      <c r="DW68" s="253"/>
      <c r="DX68" s="253"/>
      <c r="DY68" s="253"/>
      <c r="DZ68" s="253"/>
      <c r="EA68" s="253"/>
      <c r="EB68" s="253"/>
      <c r="EC68" s="253"/>
      <c r="ED68" s="253"/>
      <c r="EE68" s="253"/>
      <c r="EF68" s="253"/>
      <c r="EG68" s="253"/>
      <c r="EH68" s="253"/>
      <c r="EI68" s="253"/>
      <c r="EJ68" s="253"/>
      <c r="EK68" s="253"/>
      <c r="EL68" s="253"/>
      <c r="EM68" s="253"/>
      <c r="EN68" s="253"/>
      <c r="EO68" s="253"/>
      <c r="EP68" s="253"/>
      <c r="EQ68" s="253"/>
      <c r="ER68" s="253"/>
      <c r="ES68" s="253"/>
      <c r="ET68" s="253"/>
      <c r="EU68" s="253"/>
      <c r="EV68" s="253"/>
      <c r="EW68" s="255">
        <f>30-30</f>
        <v>0</v>
      </c>
      <c r="EX68" s="253"/>
      <c r="EY68" s="253"/>
      <c r="EZ68" s="253"/>
      <c r="FA68" s="255">
        <f>30-30</f>
        <v>0</v>
      </c>
      <c r="FB68" s="253"/>
      <c r="FC68" s="253"/>
      <c r="FD68" s="253"/>
      <c r="FE68" s="255">
        <f>20-20</f>
        <v>0</v>
      </c>
      <c r="FF68" s="253"/>
      <c r="FG68" s="253"/>
      <c r="FH68" s="253"/>
      <c r="FI68" s="253"/>
      <c r="FJ68" s="253"/>
      <c r="FK68" s="253"/>
      <c r="FL68" s="253"/>
      <c r="FM68" s="262"/>
      <c r="FN68" s="257" t="s">
        <v>1216</v>
      </c>
      <c r="FO68" s="258" t="s">
        <v>389</v>
      </c>
      <c r="FP68" s="258"/>
      <c r="FQ68" s="258" t="s">
        <v>423</v>
      </c>
      <c r="FR68" s="259">
        <f t="shared" si="0"/>
        <v>0</v>
      </c>
      <c r="FS68" s="260" t="s">
        <v>424</v>
      </c>
      <c r="FT68" s="260"/>
    </row>
    <row r="69" spans="1:176">
      <c r="A69" s="251" t="s">
        <v>392</v>
      </c>
      <c r="B69" s="251" t="s">
        <v>411</v>
      </c>
      <c r="C69" s="251" t="s">
        <v>291</v>
      </c>
      <c r="D69" s="252" t="s">
        <v>851</v>
      </c>
      <c r="E69" s="251" t="s">
        <v>388</v>
      </c>
      <c r="F69" s="251" t="s">
        <v>1235</v>
      </c>
      <c r="G69" s="253"/>
      <c r="H69" s="255">
        <f>200-200</f>
        <v>0</v>
      </c>
      <c r="I69" s="253"/>
      <c r="J69" s="255">
        <f>200-200</f>
        <v>0</v>
      </c>
      <c r="K69" s="253"/>
      <c r="L69" s="253"/>
      <c r="M69" s="255">
        <f>200-200</f>
        <v>0</v>
      </c>
      <c r="N69" s="255">
        <f>150-150</f>
        <v>0</v>
      </c>
      <c r="O69" s="253"/>
      <c r="P69" s="253"/>
      <c r="Q69" s="253"/>
      <c r="R69" s="253"/>
      <c r="S69" s="253"/>
      <c r="T69" s="253"/>
      <c r="U69" s="253"/>
      <c r="V69" s="253"/>
      <c r="W69" s="253"/>
      <c r="X69" s="253"/>
      <c r="Y69" s="253"/>
      <c r="Z69" s="253"/>
      <c r="AA69" s="253"/>
      <c r="AB69" s="253"/>
      <c r="AC69" s="255">
        <f>100-100</f>
        <v>0</v>
      </c>
      <c r="AD69" s="253"/>
      <c r="AE69" s="255">
        <f>250-250</f>
        <v>0</v>
      </c>
      <c r="AF69" s="255">
        <f>200-200</f>
        <v>0</v>
      </c>
      <c r="AG69" s="253"/>
      <c r="AH69" s="253"/>
      <c r="AI69" s="253"/>
      <c r="AJ69" s="253"/>
      <c r="AK69" s="255">
        <f>150-150</f>
        <v>0</v>
      </c>
      <c r="AL69" s="253"/>
      <c r="AM69" s="253"/>
      <c r="AN69" s="253"/>
      <c r="AO69" s="253"/>
      <c r="AP69" s="253"/>
      <c r="AQ69" s="253"/>
      <c r="AR69" s="253"/>
      <c r="AS69" s="253"/>
      <c r="AT69" s="253"/>
      <c r="AU69" s="253"/>
      <c r="AV69" s="253"/>
      <c r="AW69" s="253"/>
      <c r="AX69" s="253"/>
      <c r="AY69" s="253"/>
      <c r="AZ69" s="253"/>
      <c r="BA69" s="253"/>
      <c r="BB69" s="253"/>
      <c r="BC69" s="255">
        <f>150-150</f>
        <v>0</v>
      </c>
      <c r="BD69" s="253"/>
      <c r="BE69" s="253"/>
      <c r="BF69" s="253"/>
      <c r="BG69" s="253"/>
      <c r="BH69" s="253"/>
      <c r="BI69" s="253"/>
      <c r="BJ69" s="253"/>
      <c r="BK69" s="253"/>
      <c r="BL69" s="253"/>
      <c r="BM69" s="253"/>
      <c r="BN69" s="253"/>
      <c r="BO69" s="253"/>
      <c r="BP69" s="253"/>
      <c r="BQ69" s="253"/>
      <c r="BR69" s="253"/>
      <c r="BS69" s="253"/>
      <c r="BT69" s="253"/>
      <c r="BU69" s="253"/>
      <c r="BV69" s="253"/>
      <c r="BW69" s="253"/>
      <c r="BX69" s="253"/>
      <c r="BY69" s="253"/>
      <c r="BZ69" s="253"/>
      <c r="CA69" s="253"/>
      <c r="CB69" s="253"/>
      <c r="CC69" s="253"/>
      <c r="CD69" s="253"/>
      <c r="CE69" s="253"/>
      <c r="CF69" s="253"/>
      <c r="CG69" s="253"/>
      <c r="CH69" s="253"/>
      <c r="CI69" s="253"/>
      <c r="CJ69" s="253"/>
      <c r="CK69" s="253"/>
      <c r="CL69" s="253"/>
      <c r="CM69" s="253"/>
      <c r="CN69" s="253"/>
      <c r="CO69" s="253"/>
      <c r="CP69" s="253"/>
      <c r="CQ69" s="253"/>
      <c r="CR69" s="253"/>
      <c r="CS69" s="253"/>
      <c r="CT69" s="253"/>
      <c r="CU69" s="253"/>
      <c r="CV69" s="253"/>
      <c r="CW69" s="253"/>
      <c r="CX69" s="253"/>
      <c r="CY69" s="253"/>
      <c r="CZ69" s="253"/>
      <c r="DA69" s="253"/>
      <c r="DB69" s="253"/>
      <c r="DC69" s="253"/>
      <c r="DD69" s="253"/>
      <c r="DE69" s="253"/>
      <c r="DF69" s="253"/>
      <c r="DG69" s="253"/>
      <c r="DH69" s="253"/>
      <c r="DI69" s="253"/>
      <c r="DJ69" s="253"/>
      <c r="DK69" s="253"/>
      <c r="DL69" s="253"/>
      <c r="DM69" s="253"/>
      <c r="DN69" s="253"/>
      <c r="DO69" s="253"/>
      <c r="DP69" s="253"/>
      <c r="DQ69" s="253"/>
      <c r="DR69" s="253"/>
      <c r="DS69" s="253"/>
      <c r="DT69" s="253"/>
      <c r="DU69" s="253"/>
      <c r="DV69" s="253"/>
      <c r="DW69" s="253"/>
      <c r="DX69" s="253"/>
      <c r="DY69" s="253"/>
      <c r="DZ69" s="253"/>
      <c r="EA69" s="253"/>
      <c r="EB69" s="253"/>
      <c r="EC69" s="253"/>
      <c r="ED69" s="253"/>
      <c r="EE69" s="253"/>
      <c r="EF69" s="253"/>
      <c r="EG69" s="253"/>
      <c r="EH69" s="253"/>
      <c r="EI69" s="253"/>
      <c r="EJ69" s="253"/>
      <c r="EK69" s="253"/>
      <c r="EL69" s="253"/>
      <c r="EM69" s="253"/>
      <c r="EN69" s="253"/>
      <c r="EO69" s="253"/>
      <c r="EP69" s="253"/>
      <c r="EQ69" s="253"/>
      <c r="ER69" s="253"/>
      <c r="ES69" s="253"/>
      <c r="ET69" s="253"/>
      <c r="EU69" s="253"/>
      <c r="EV69" s="253"/>
      <c r="EW69" s="253"/>
      <c r="EX69" s="253"/>
      <c r="EY69" s="253"/>
      <c r="EZ69" s="253"/>
      <c r="FA69" s="253"/>
      <c r="FB69" s="253"/>
      <c r="FC69" s="253"/>
      <c r="FD69" s="253"/>
      <c r="FE69" s="253"/>
      <c r="FF69" s="253"/>
      <c r="FG69" s="253"/>
      <c r="FH69" s="253"/>
      <c r="FI69" s="253"/>
      <c r="FJ69" s="253"/>
      <c r="FK69" s="253"/>
      <c r="FL69" s="253"/>
      <c r="FM69" s="262"/>
      <c r="FN69" s="257" t="s">
        <v>1216</v>
      </c>
      <c r="FO69" s="258" t="s">
        <v>389</v>
      </c>
      <c r="FP69" s="258" t="s">
        <v>855</v>
      </c>
      <c r="FQ69" s="258" t="s">
        <v>439</v>
      </c>
      <c r="FR69" s="259">
        <f t="shared" si="0"/>
        <v>0</v>
      </c>
      <c r="FS69" s="260" t="s">
        <v>421</v>
      </c>
      <c r="FT69" s="260"/>
    </row>
    <row r="70" spans="1:176">
      <c r="A70" s="251" t="s">
        <v>392</v>
      </c>
      <c r="B70" s="251" t="s">
        <v>411</v>
      </c>
      <c r="C70" s="251" t="s">
        <v>1</v>
      </c>
      <c r="D70" s="252" t="s">
        <v>851</v>
      </c>
      <c r="E70" s="251" t="s">
        <v>388</v>
      </c>
      <c r="F70" s="251" t="s">
        <v>1235</v>
      </c>
      <c r="G70" s="253"/>
      <c r="H70" s="253"/>
      <c r="I70" s="253"/>
      <c r="J70" s="253"/>
      <c r="K70" s="253"/>
      <c r="L70" s="253"/>
      <c r="M70" s="253"/>
      <c r="N70" s="253"/>
      <c r="O70" s="253"/>
      <c r="P70" s="253"/>
      <c r="Q70" s="253"/>
      <c r="R70" s="253"/>
      <c r="S70" s="253"/>
      <c r="T70" s="255">
        <f>100-100</f>
        <v>0</v>
      </c>
      <c r="U70" s="253"/>
      <c r="V70" s="253"/>
      <c r="W70" s="255">
        <f>100-100</f>
        <v>0</v>
      </c>
      <c r="X70" s="255">
        <f>100-100</f>
        <v>0</v>
      </c>
      <c r="Y70" s="253"/>
      <c r="Z70" s="255">
        <f>400-400</f>
        <v>0</v>
      </c>
      <c r="AA70" s="253"/>
      <c r="AB70" s="253"/>
      <c r="AC70" s="253"/>
      <c r="AD70" s="255">
        <f>150-150</f>
        <v>0</v>
      </c>
      <c r="AE70" s="253"/>
      <c r="AF70" s="253"/>
      <c r="AG70" s="253"/>
      <c r="AH70" s="253"/>
      <c r="AI70" s="253"/>
      <c r="AJ70" s="253"/>
      <c r="AK70" s="253"/>
      <c r="AL70" s="253"/>
      <c r="AM70" s="255">
        <f>100-100</f>
        <v>0</v>
      </c>
      <c r="AN70" s="253"/>
      <c r="AO70" s="253"/>
      <c r="AP70" s="253"/>
      <c r="AQ70" s="253"/>
      <c r="AR70" s="253"/>
      <c r="AS70" s="255">
        <f>200-200</f>
        <v>0</v>
      </c>
      <c r="AT70" s="253"/>
      <c r="AU70" s="253"/>
      <c r="AV70" s="253"/>
      <c r="AW70" s="253"/>
      <c r="AX70" s="253"/>
      <c r="AY70" s="255">
        <f>20-20</f>
        <v>0</v>
      </c>
      <c r="AZ70" s="253"/>
      <c r="BA70" s="253"/>
      <c r="BB70" s="253"/>
      <c r="BC70" s="253"/>
      <c r="BD70" s="253"/>
      <c r="BE70" s="253"/>
      <c r="BF70" s="253"/>
      <c r="BG70" s="253"/>
      <c r="BH70" s="253"/>
      <c r="BI70" s="253"/>
      <c r="BJ70" s="253"/>
      <c r="BK70" s="253"/>
      <c r="BL70" s="253"/>
      <c r="BM70" s="253"/>
      <c r="BN70" s="253"/>
      <c r="BO70" s="253"/>
      <c r="BP70" s="253"/>
      <c r="BQ70" s="253"/>
      <c r="BR70" s="253"/>
      <c r="BS70" s="253"/>
      <c r="BT70" s="253"/>
      <c r="BU70" s="253"/>
      <c r="BV70" s="253"/>
      <c r="BW70" s="253"/>
      <c r="BX70" s="253"/>
      <c r="BY70" s="253"/>
      <c r="BZ70" s="253"/>
      <c r="CA70" s="253"/>
      <c r="CB70" s="253"/>
      <c r="CC70" s="253"/>
      <c r="CD70" s="253"/>
      <c r="CE70" s="253"/>
      <c r="CF70" s="253"/>
      <c r="CG70" s="253"/>
      <c r="CH70" s="253"/>
      <c r="CI70" s="253"/>
      <c r="CJ70" s="253"/>
      <c r="CK70" s="253"/>
      <c r="CL70" s="253"/>
      <c r="CM70" s="253"/>
      <c r="CN70" s="253"/>
      <c r="CO70" s="253"/>
      <c r="CP70" s="253"/>
      <c r="CQ70" s="253"/>
      <c r="CR70" s="253"/>
      <c r="CS70" s="253"/>
      <c r="CT70" s="253"/>
      <c r="CU70" s="253"/>
      <c r="CV70" s="253"/>
      <c r="CW70" s="253"/>
      <c r="CX70" s="253"/>
      <c r="CY70" s="253"/>
      <c r="CZ70" s="253"/>
      <c r="DA70" s="253"/>
      <c r="DB70" s="253"/>
      <c r="DC70" s="253"/>
      <c r="DD70" s="253"/>
      <c r="DE70" s="253"/>
      <c r="DF70" s="253"/>
      <c r="DG70" s="253"/>
      <c r="DH70" s="253"/>
      <c r="DI70" s="253"/>
      <c r="DJ70" s="253"/>
      <c r="DK70" s="253"/>
      <c r="DL70" s="253"/>
      <c r="DM70" s="253"/>
      <c r="DN70" s="253"/>
      <c r="DO70" s="253"/>
      <c r="DP70" s="253"/>
      <c r="DQ70" s="253"/>
      <c r="DR70" s="253"/>
      <c r="DS70" s="253"/>
      <c r="DT70" s="253"/>
      <c r="DU70" s="253"/>
      <c r="DV70" s="253"/>
      <c r="DW70" s="253"/>
      <c r="DX70" s="253"/>
      <c r="DY70" s="253"/>
      <c r="DZ70" s="255">
        <f>200-200</f>
        <v>0</v>
      </c>
      <c r="EA70" s="253"/>
      <c r="EB70" s="253"/>
      <c r="EC70" s="253"/>
      <c r="ED70" s="253"/>
      <c r="EE70" s="253"/>
      <c r="EF70" s="253"/>
      <c r="EG70" s="253"/>
      <c r="EH70" s="253"/>
      <c r="EI70" s="253"/>
      <c r="EJ70" s="253"/>
      <c r="EK70" s="253"/>
      <c r="EL70" s="253"/>
      <c r="EM70" s="253"/>
      <c r="EN70" s="253"/>
      <c r="EO70" s="253"/>
      <c r="EP70" s="253"/>
      <c r="EQ70" s="253"/>
      <c r="ER70" s="253"/>
      <c r="ES70" s="253"/>
      <c r="ET70" s="253"/>
      <c r="EU70" s="253"/>
      <c r="EV70" s="253"/>
      <c r="EW70" s="253"/>
      <c r="EX70" s="253"/>
      <c r="EY70" s="253"/>
      <c r="EZ70" s="253"/>
      <c r="FA70" s="253"/>
      <c r="FB70" s="253"/>
      <c r="FC70" s="253"/>
      <c r="FD70" s="253"/>
      <c r="FE70" s="253"/>
      <c r="FF70" s="253"/>
      <c r="FG70" s="253"/>
      <c r="FH70" s="253"/>
      <c r="FI70" s="253"/>
      <c r="FJ70" s="253"/>
      <c r="FK70" s="253"/>
      <c r="FL70" s="253"/>
      <c r="FM70" s="262"/>
      <c r="FN70" s="257" t="s">
        <v>1216</v>
      </c>
      <c r="FO70" s="258" t="s">
        <v>389</v>
      </c>
      <c r="FP70" s="258" t="s">
        <v>855</v>
      </c>
      <c r="FQ70" s="258" t="s">
        <v>439</v>
      </c>
      <c r="FR70" s="259">
        <f t="shared" si="0"/>
        <v>0</v>
      </c>
      <c r="FS70" s="260" t="s">
        <v>421</v>
      </c>
      <c r="FT70" s="260"/>
    </row>
    <row r="71" spans="1:176">
      <c r="A71" s="251" t="s">
        <v>385</v>
      </c>
      <c r="B71" s="251" t="s">
        <v>411</v>
      </c>
      <c r="C71" s="251" t="s">
        <v>291</v>
      </c>
      <c r="D71" s="252" t="s">
        <v>856</v>
      </c>
      <c r="E71" s="251" t="s">
        <v>388</v>
      </c>
      <c r="F71" s="251" t="s">
        <v>1236</v>
      </c>
      <c r="G71" s="253"/>
      <c r="H71" s="253"/>
      <c r="I71" s="253"/>
      <c r="J71" s="253"/>
      <c r="K71" s="253"/>
      <c r="L71" s="253"/>
      <c r="M71" s="253"/>
      <c r="N71" s="253"/>
      <c r="O71" s="253"/>
      <c r="P71" s="253"/>
      <c r="Q71" s="253"/>
      <c r="R71" s="253"/>
      <c r="S71" s="253"/>
      <c r="T71" s="253"/>
      <c r="U71" s="253"/>
      <c r="V71" s="253"/>
      <c r="W71" s="253"/>
      <c r="X71" s="253"/>
      <c r="Y71" s="253"/>
      <c r="Z71" s="253"/>
      <c r="AA71" s="253"/>
      <c r="AB71" s="253"/>
      <c r="AC71" s="255">
        <f>100-100</f>
        <v>0</v>
      </c>
      <c r="AD71" s="253"/>
      <c r="AE71" s="253"/>
      <c r="AF71" s="253"/>
      <c r="AG71" s="253"/>
      <c r="AH71" s="253"/>
      <c r="AI71" s="253"/>
      <c r="AJ71" s="253"/>
      <c r="AK71" s="253"/>
      <c r="AL71" s="253"/>
      <c r="AM71" s="253"/>
      <c r="AN71" s="253"/>
      <c r="AO71" s="253"/>
      <c r="AP71" s="253"/>
      <c r="AQ71" s="253"/>
      <c r="AR71" s="253"/>
      <c r="AS71" s="253"/>
      <c r="AT71" s="253"/>
      <c r="AU71" s="253"/>
      <c r="AV71" s="253"/>
      <c r="AW71" s="253"/>
      <c r="AX71" s="253"/>
      <c r="AY71" s="253"/>
      <c r="AZ71" s="253"/>
      <c r="BA71" s="253"/>
      <c r="BB71" s="253"/>
      <c r="BC71" s="253"/>
      <c r="BD71" s="253"/>
      <c r="BE71" s="253"/>
      <c r="BF71" s="253"/>
      <c r="BG71" s="253"/>
      <c r="BH71" s="253"/>
      <c r="BI71" s="253"/>
      <c r="BJ71" s="253"/>
      <c r="BK71" s="253"/>
      <c r="BL71" s="253"/>
      <c r="BM71" s="253"/>
      <c r="BN71" s="253"/>
      <c r="BO71" s="253"/>
      <c r="BP71" s="253"/>
      <c r="BQ71" s="253"/>
      <c r="BR71" s="253"/>
      <c r="BS71" s="253"/>
      <c r="BT71" s="253"/>
      <c r="BU71" s="253"/>
      <c r="BV71" s="253"/>
      <c r="BW71" s="253"/>
      <c r="BX71" s="253"/>
      <c r="BY71" s="253"/>
      <c r="BZ71" s="253"/>
      <c r="CA71" s="253"/>
      <c r="CB71" s="253"/>
      <c r="CC71" s="253"/>
      <c r="CD71" s="253"/>
      <c r="CE71" s="253"/>
      <c r="CF71" s="253"/>
      <c r="CG71" s="253"/>
      <c r="CH71" s="253"/>
      <c r="CI71" s="253"/>
      <c r="CJ71" s="253"/>
      <c r="CK71" s="253"/>
      <c r="CL71" s="253"/>
      <c r="CM71" s="253"/>
      <c r="CN71" s="253"/>
      <c r="CO71" s="253"/>
      <c r="CP71" s="253"/>
      <c r="CQ71" s="253"/>
      <c r="CR71" s="253"/>
      <c r="CS71" s="253"/>
      <c r="CT71" s="253"/>
      <c r="CU71" s="253"/>
      <c r="CV71" s="253"/>
      <c r="CW71" s="253"/>
      <c r="CX71" s="253"/>
      <c r="CY71" s="253"/>
      <c r="CZ71" s="253"/>
      <c r="DA71" s="253"/>
      <c r="DB71" s="253"/>
      <c r="DC71" s="253"/>
      <c r="DD71" s="253"/>
      <c r="DE71" s="253"/>
      <c r="DF71" s="253"/>
      <c r="DG71" s="253"/>
      <c r="DH71" s="253"/>
      <c r="DI71" s="253"/>
      <c r="DJ71" s="253"/>
      <c r="DK71" s="253"/>
      <c r="DL71" s="253"/>
      <c r="DM71" s="253"/>
      <c r="DN71" s="253"/>
      <c r="DO71" s="253"/>
      <c r="DP71" s="253"/>
      <c r="DQ71" s="253"/>
      <c r="DR71" s="253"/>
      <c r="DS71" s="253"/>
      <c r="DT71" s="253"/>
      <c r="DU71" s="253"/>
      <c r="DV71" s="253"/>
      <c r="DW71" s="253"/>
      <c r="DX71" s="253"/>
      <c r="DY71" s="253"/>
      <c r="DZ71" s="253"/>
      <c r="EA71" s="253"/>
      <c r="EB71" s="253"/>
      <c r="EC71" s="253"/>
      <c r="ED71" s="253"/>
      <c r="EE71" s="253"/>
      <c r="EF71" s="253"/>
      <c r="EG71" s="253"/>
      <c r="EH71" s="253"/>
      <c r="EI71" s="253"/>
      <c r="EJ71" s="253"/>
      <c r="EK71" s="253"/>
      <c r="EL71" s="253"/>
      <c r="EM71" s="253"/>
      <c r="EN71" s="253"/>
      <c r="EO71" s="253"/>
      <c r="EP71" s="253"/>
      <c r="EQ71" s="253"/>
      <c r="ER71" s="253"/>
      <c r="ES71" s="253"/>
      <c r="ET71" s="253"/>
      <c r="EU71" s="253"/>
      <c r="EV71" s="253"/>
      <c r="EW71" s="253"/>
      <c r="EX71" s="253"/>
      <c r="EY71" s="253"/>
      <c r="EZ71" s="253"/>
      <c r="FA71" s="253"/>
      <c r="FB71" s="253"/>
      <c r="FC71" s="253"/>
      <c r="FD71" s="253"/>
      <c r="FE71" s="253"/>
      <c r="FF71" s="253"/>
      <c r="FG71" s="253"/>
      <c r="FH71" s="253"/>
      <c r="FI71" s="253"/>
      <c r="FJ71" s="253"/>
      <c r="FK71" s="253"/>
      <c r="FL71" s="253"/>
      <c r="FM71" s="262"/>
      <c r="FN71" s="257" t="s">
        <v>1216</v>
      </c>
      <c r="FO71" s="258" t="s">
        <v>389</v>
      </c>
      <c r="FP71" s="258" t="s">
        <v>858</v>
      </c>
      <c r="FQ71" s="258" t="s">
        <v>420</v>
      </c>
      <c r="FR71" s="259">
        <f t="shared" ref="FR71:FR85" si="5">SUM(G71:FL71)</f>
        <v>0</v>
      </c>
      <c r="FS71" s="260" t="s">
        <v>433</v>
      </c>
      <c r="FT71" s="260"/>
    </row>
    <row r="72" spans="1:176">
      <c r="A72" s="251" t="s">
        <v>385</v>
      </c>
      <c r="B72" s="251" t="s">
        <v>411</v>
      </c>
      <c r="C72" s="251" t="s">
        <v>1</v>
      </c>
      <c r="D72" s="252" t="s">
        <v>856</v>
      </c>
      <c r="E72" s="251" t="s">
        <v>388</v>
      </c>
      <c r="F72" s="251" t="s">
        <v>1236</v>
      </c>
      <c r="G72" s="253"/>
      <c r="H72" s="253"/>
      <c r="I72" s="253"/>
      <c r="J72" s="253"/>
      <c r="K72" s="254">
        <f>200-200+200</f>
        <v>200</v>
      </c>
      <c r="L72" s="253"/>
      <c r="M72" s="253"/>
      <c r="N72" s="253"/>
      <c r="O72" s="253"/>
      <c r="P72" s="253"/>
      <c r="Q72" s="253"/>
      <c r="R72" s="253"/>
      <c r="S72" s="253"/>
      <c r="T72" s="255">
        <f>100-100</f>
        <v>0</v>
      </c>
      <c r="U72" s="253"/>
      <c r="V72" s="253"/>
      <c r="W72" s="253"/>
      <c r="X72" s="253"/>
      <c r="Y72" s="253"/>
      <c r="Z72" s="253"/>
      <c r="AA72" s="253"/>
      <c r="AB72" s="253"/>
      <c r="AC72" s="253"/>
      <c r="AD72" s="253"/>
      <c r="AE72" s="253"/>
      <c r="AF72" s="253"/>
      <c r="AG72" s="253"/>
      <c r="AH72" s="253"/>
      <c r="AI72" s="253"/>
      <c r="AJ72" s="253"/>
      <c r="AK72" s="253"/>
      <c r="AL72" s="253"/>
      <c r="AM72" s="253"/>
      <c r="AN72" s="253"/>
      <c r="AO72" s="253"/>
      <c r="AP72" s="253"/>
      <c r="AQ72" s="253"/>
      <c r="AR72" s="253"/>
      <c r="AS72" s="255">
        <f>100-100</f>
        <v>0</v>
      </c>
      <c r="AT72" s="253"/>
      <c r="AU72" s="253"/>
      <c r="AV72" s="253"/>
      <c r="AW72" s="253"/>
      <c r="AX72" s="253"/>
      <c r="AY72" s="253"/>
      <c r="AZ72" s="253"/>
      <c r="BA72" s="253"/>
      <c r="BB72" s="253"/>
      <c r="BC72" s="253"/>
      <c r="BD72" s="253"/>
      <c r="BE72" s="253"/>
      <c r="BF72" s="253"/>
      <c r="BG72" s="253"/>
      <c r="BH72" s="253"/>
      <c r="BI72" s="253"/>
      <c r="BJ72" s="253"/>
      <c r="BK72" s="253"/>
      <c r="BL72" s="253"/>
      <c r="BM72" s="253"/>
      <c r="BN72" s="253"/>
      <c r="BO72" s="253"/>
      <c r="BP72" s="253"/>
      <c r="BQ72" s="253"/>
      <c r="BR72" s="253"/>
      <c r="BS72" s="253"/>
      <c r="BT72" s="253"/>
      <c r="BU72" s="253"/>
      <c r="BV72" s="253"/>
      <c r="BW72" s="253"/>
      <c r="BX72" s="253"/>
      <c r="BY72" s="253"/>
      <c r="BZ72" s="253"/>
      <c r="CA72" s="253"/>
      <c r="CB72" s="253"/>
      <c r="CC72" s="253"/>
      <c r="CD72" s="253"/>
      <c r="CE72" s="253"/>
      <c r="CF72" s="253"/>
      <c r="CG72" s="253"/>
      <c r="CH72" s="253"/>
      <c r="CI72" s="253"/>
      <c r="CJ72" s="253"/>
      <c r="CK72" s="253"/>
      <c r="CL72" s="253"/>
      <c r="CM72" s="253"/>
      <c r="CN72" s="253"/>
      <c r="CO72" s="253"/>
      <c r="CP72" s="253"/>
      <c r="CQ72" s="253"/>
      <c r="CR72" s="253"/>
      <c r="CS72" s="253"/>
      <c r="CT72" s="253"/>
      <c r="CU72" s="253"/>
      <c r="CV72" s="253"/>
      <c r="CW72" s="253"/>
      <c r="CX72" s="253"/>
      <c r="CY72" s="253"/>
      <c r="CZ72" s="253"/>
      <c r="DA72" s="253"/>
      <c r="DB72" s="253"/>
      <c r="DC72" s="253"/>
      <c r="DD72" s="253"/>
      <c r="DE72" s="253"/>
      <c r="DF72" s="253"/>
      <c r="DG72" s="253"/>
      <c r="DH72" s="253"/>
      <c r="DI72" s="253"/>
      <c r="DJ72" s="253"/>
      <c r="DK72" s="253"/>
      <c r="DL72" s="253"/>
      <c r="DM72" s="253"/>
      <c r="DN72" s="253"/>
      <c r="DO72" s="253"/>
      <c r="DP72" s="253"/>
      <c r="DQ72" s="253"/>
      <c r="DR72" s="253"/>
      <c r="DS72" s="253"/>
      <c r="DT72" s="253"/>
      <c r="DU72" s="253"/>
      <c r="DV72" s="253"/>
      <c r="DW72" s="253"/>
      <c r="DX72" s="253"/>
      <c r="DY72" s="253"/>
      <c r="DZ72" s="253"/>
      <c r="EA72" s="253"/>
      <c r="EB72" s="253"/>
      <c r="EC72" s="253"/>
      <c r="ED72" s="253"/>
      <c r="EE72" s="253"/>
      <c r="EF72" s="253"/>
      <c r="EG72" s="253"/>
      <c r="EH72" s="253"/>
      <c r="EI72" s="253"/>
      <c r="EJ72" s="253"/>
      <c r="EK72" s="253"/>
      <c r="EL72" s="253"/>
      <c r="EM72" s="253"/>
      <c r="EN72" s="253"/>
      <c r="EO72" s="253"/>
      <c r="EP72" s="253"/>
      <c r="EQ72" s="253"/>
      <c r="ER72" s="253"/>
      <c r="ES72" s="253"/>
      <c r="ET72" s="253"/>
      <c r="EU72" s="253"/>
      <c r="EV72" s="253"/>
      <c r="EW72" s="253"/>
      <c r="EX72" s="253"/>
      <c r="EY72" s="253"/>
      <c r="EZ72" s="253"/>
      <c r="FA72" s="253"/>
      <c r="FB72" s="253"/>
      <c r="FC72" s="253"/>
      <c r="FD72" s="253"/>
      <c r="FE72" s="253"/>
      <c r="FF72" s="253"/>
      <c r="FG72" s="253"/>
      <c r="FH72" s="253"/>
      <c r="FI72" s="253"/>
      <c r="FJ72" s="253"/>
      <c r="FK72" s="253"/>
      <c r="FL72" s="253"/>
      <c r="FM72" s="262"/>
      <c r="FN72" s="257" t="s">
        <v>1216</v>
      </c>
      <c r="FO72" s="258" t="s">
        <v>389</v>
      </c>
      <c r="FP72" s="258" t="s">
        <v>858</v>
      </c>
      <c r="FQ72" s="258" t="s">
        <v>420</v>
      </c>
      <c r="FR72" s="259">
        <f t="shared" si="5"/>
        <v>200</v>
      </c>
      <c r="FS72" s="260" t="s">
        <v>433</v>
      </c>
      <c r="FT72" s="260"/>
    </row>
    <row r="73" spans="1:176">
      <c r="A73" s="251" t="s">
        <v>385</v>
      </c>
      <c r="B73" s="251" t="s">
        <v>411</v>
      </c>
      <c r="C73" s="251" t="s">
        <v>291</v>
      </c>
      <c r="D73" s="252" t="s">
        <v>1237</v>
      </c>
      <c r="E73" s="251" t="s">
        <v>388</v>
      </c>
      <c r="F73" s="251"/>
      <c r="G73" s="253"/>
      <c r="H73" s="253"/>
      <c r="I73" s="253"/>
      <c r="J73" s="253"/>
      <c r="K73" s="253"/>
      <c r="L73" s="253"/>
      <c r="M73" s="253"/>
      <c r="N73" s="253"/>
      <c r="O73" s="253"/>
      <c r="P73" s="253"/>
      <c r="Q73" s="253"/>
      <c r="R73" s="253"/>
      <c r="S73" s="253"/>
      <c r="T73" s="253"/>
      <c r="U73" s="253"/>
      <c r="V73" s="253"/>
      <c r="W73" s="253"/>
      <c r="X73" s="253"/>
      <c r="Y73" s="253"/>
      <c r="Z73" s="253"/>
      <c r="AA73" s="253"/>
      <c r="AB73" s="253"/>
      <c r="AC73" s="253"/>
      <c r="AD73" s="253"/>
      <c r="AE73" s="255">
        <f>100-100</f>
        <v>0</v>
      </c>
      <c r="AF73" s="255">
        <f>100-100</f>
        <v>0</v>
      </c>
      <c r="AG73" s="253"/>
      <c r="AH73" s="253"/>
      <c r="AI73" s="253"/>
      <c r="AJ73" s="253"/>
      <c r="AK73" s="253"/>
      <c r="AL73" s="253"/>
      <c r="AM73" s="253"/>
      <c r="AN73" s="253"/>
      <c r="AO73" s="255">
        <f>100-100</f>
        <v>0</v>
      </c>
      <c r="AP73" s="253"/>
      <c r="AQ73" s="253"/>
      <c r="AR73" s="253"/>
      <c r="AS73" s="253"/>
      <c r="AT73" s="253"/>
      <c r="AU73" s="253"/>
      <c r="AV73" s="253"/>
      <c r="AW73" s="253"/>
      <c r="AX73" s="253"/>
      <c r="AY73" s="253"/>
      <c r="AZ73" s="253"/>
      <c r="BA73" s="253"/>
      <c r="BB73" s="253"/>
      <c r="BC73" s="253"/>
      <c r="BD73" s="253"/>
      <c r="BE73" s="253"/>
      <c r="BF73" s="253"/>
      <c r="BG73" s="253"/>
      <c r="BH73" s="253"/>
      <c r="BI73" s="253"/>
      <c r="BJ73" s="253"/>
      <c r="BK73" s="253"/>
      <c r="BL73" s="253"/>
      <c r="BM73" s="253"/>
      <c r="BN73" s="253"/>
      <c r="BO73" s="253"/>
      <c r="BP73" s="253"/>
      <c r="BQ73" s="253"/>
      <c r="BR73" s="253"/>
      <c r="BS73" s="253"/>
      <c r="BT73" s="253"/>
      <c r="BU73" s="253"/>
      <c r="BV73" s="253"/>
      <c r="BW73" s="253"/>
      <c r="BX73" s="253"/>
      <c r="BY73" s="253"/>
      <c r="BZ73" s="253"/>
      <c r="CA73" s="253"/>
      <c r="CB73" s="253"/>
      <c r="CC73" s="253"/>
      <c r="CD73" s="253"/>
      <c r="CE73" s="253"/>
      <c r="CF73" s="253"/>
      <c r="CG73" s="253"/>
      <c r="CH73" s="253"/>
      <c r="CI73" s="253"/>
      <c r="CJ73" s="253"/>
      <c r="CK73" s="253"/>
      <c r="CL73" s="253"/>
      <c r="CM73" s="253"/>
      <c r="CN73" s="253"/>
      <c r="CO73" s="253"/>
      <c r="CP73" s="253"/>
      <c r="CQ73" s="253"/>
      <c r="CR73" s="253"/>
      <c r="CS73" s="253"/>
      <c r="CT73" s="253"/>
      <c r="CU73" s="253"/>
      <c r="CV73" s="253"/>
      <c r="CW73" s="253"/>
      <c r="CX73" s="253"/>
      <c r="CY73" s="253"/>
      <c r="CZ73" s="253"/>
      <c r="DA73" s="253"/>
      <c r="DB73" s="253"/>
      <c r="DC73" s="253"/>
      <c r="DD73" s="253"/>
      <c r="DE73" s="253"/>
      <c r="DF73" s="253"/>
      <c r="DG73" s="253"/>
      <c r="DH73" s="253"/>
      <c r="DI73" s="253"/>
      <c r="DJ73" s="253"/>
      <c r="DK73" s="253"/>
      <c r="DL73" s="253"/>
      <c r="DM73" s="253"/>
      <c r="DN73" s="253"/>
      <c r="DO73" s="253"/>
      <c r="DP73" s="253"/>
      <c r="DQ73" s="253"/>
      <c r="DR73" s="253"/>
      <c r="DS73" s="253"/>
      <c r="DT73" s="253"/>
      <c r="DU73" s="253"/>
      <c r="DV73" s="253"/>
      <c r="DW73" s="253"/>
      <c r="DX73" s="253"/>
      <c r="DY73" s="253"/>
      <c r="DZ73" s="253"/>
      <c r="EA73" s="253"/>
      <c r="EB73" s="253"/>
      <c r="EC73" s="253"/>
      <c r="ED73" s="253"/>
      <c r="EE73" s="253"/>
      <c r="EF73" s="253"/>
      <c r="EG73" s="253"/>
      <c r="EH73" s="253"/>
      <c r="EI73" s="253"/>
      <c r="EJ73" s="253"/>
      <c r="EK73" s="253"/>
      <c r="EL73" s="253"/>
      <c r="EM73" s="253"/>
      <c r="EN73" s="253"/>
      <c r="EO73" s="253"/>
      <c r="EP73" s="253"/>
      <c r="EQ73" s="253"/>
      <c r="ER73" s="253"/>
      <c r="ES73" s="253"/>
      <c r="ET73" s="253"/>
      <c r="EU73" s="253"/>
      <c r="EV73" s="253"/>
      <c r="EW73" s="253"/>
      <c r="EX73" s="253"/>
      <c r="EY73" s="253"/>
      <c r="EZ73" s="253"/>
      <c r="FA73" s="253"/>
      <c r="FB73" s="253"/>
      <c r="FC73" s="253"/>
      <c r="FD73" s="253"/>
      <c r="FE73" s="253"/>
      <c r="FF73" s="253"/>
      <c r="FG73" s="253"/>
      <c r="FH73" s="253"/>
      <c r="FI73" s="253"/>
      <c r="FJ73" s="253"/>
      <c r="FK73" s="253"/>
      <c r="FL73" s="253"/>
      <c r="FM73" s="262"/>
      <c r="FN73" s="257" t="s">
        <v>1216</v>
      </c>
      <c r="FO73" s="258" t="s">
        <v>389</v>
      </c>
      <c r="FP73" s="258"/>
      <c r="FQ73" s="258" t="s">
        <v>416</v>
      </c>
      <c r="FR73" s="259">
        <f t="shared" si="5"/>
        <v>0</v>
      </c>
      <c r="FS73" s="260" t="s">
        <v>414</v>
      </c>
      <c r="FT73" s="260"/>
    </row>
    <row r="74" spans="1:176">
      <c r="A74" s="251" t="s">
        <v>385</v>
      </c>
      <c r="B74" s="251" t="s">
        <v>411</v>
      </c>
      <c r="C74" s="251" t="s">
        <v>1</v>
      </c>
      <c r="D74" s="252" t="s">
        <v>1237</v>
      </c>
      <c r="E74" s="251" t="s">
        <v>388</v>
      </c>
      <c r="F74" s="251"/>
      <c r="G74" s="253"/>
      <c r="H74" s="253"/>
      <c r="I74" s="253"/>
      <c r="J74" s="253"/>
      <c r="K74" s="253"/>
      <c r="L74" s="253"/>
      <c r="M74" s="253"/>
      <c r="N74" s="253"/>
      <c r="O74" s="253"/>
      <c r="P74" s="253"/>
      <c r="Q74" s="253"/>
      <c r="R74" s="253"/>
      <c r="S74" s="253"/>
      <c r="T74" s="253"/>
      <c r="U74" s="253"/>
      <c r="V74" s="253"/>
      <c r="W74" s="253"/>
      <c r="X74" s="253"/>
      <c r="Y74" s="253"/>
      <c r="Z74" s="255">
        <f>100-100</f>
        <v>0</v>
      </c>
      <c r="AA74" s="253"/>
      <c r="AB74" s="253"/>
      <c r="AC74" s="253"/>
      <c r="AD74" s="253"/>
      <c r="AE74" s="253"/>
      <c r="AF74" s="253"/>
      <c r="AG74" s="253"/>
      <c r="AH74" s="253"/>
      <c r="AI74" s="253"/>
      <c r="AJ74" s="253"/>
      <c r="AK74" s="253"/>
      <c r="AL74" s="253"/>
      <c r="AM74" s="253"/>
      <c r="AN74" s="253"/>
      <c r="AO74" s="253"/>
      <c r="AP74" s="255">
        <f>50-50</f>
        <v>0</v>
      </c>
      <c r="AQ74" s="253"/>
      <c r="AR74" s="253"/>
      <c r="AS74" s="255">
        <f>100-100</f>
        <v>0</v>
      </c>
      <c r="AT74" s="253"/>
      <c r="AU74" s="253"/>
      <c r="AV74" s="253"/>
      <c r="AW74" s="253"/>
      <c r="AX74" s="253"/>
      <c r="AY74" s="253"/>
      <c r="AZ74" s="253"/>
      <c r="BA74" s="253"/>
      <c r="BB74" s="253"/>
      <c r="BC74" s="253"/>
      <c r="BD74" s="253"/>
      <c r="BE74" s="253"/>
      <c r="BF74" s="253"/>
      <c r="BG74" s="253"/>
      <c r="BH74" s="253"/>
      <c r="BI74" s="253"/>
      <c r="BJ74" s="253"/>
      <c r="BK74" s="253"/>
      <c r="BL74" s="253"/>
      <c r="BM74" s="253"/>
      <c r="BN74" s="253"/>
      <c r="BO74" s="253"/>
      <c r="BP74" s="253"/>
      <c r="BQ74" s="253"/>
      <c r="BR74" s="253"/>
      <c r="BS74" s="253"/>
      <c r="BT74" s="253"/>
      <c r="BU74" s="253"/>
      <c r="BV74" s="253"/>
      <c r="BW74" s="253"/>
      <c r="BX74" s="253"/>
      <c r="BY74" s="253"/>
      <c r="BZ74" s="253"/>
      <c r="CA74" s="253"/>
      <c r="CB74" s="253"/>
      <c r="CC74" s="253"/>
      <c r="CD74" s="253"/>
      <c r="CE74" s="253"/>
      <c r="CF74" s="253"/>
      <c r="CG74" s="253"/>
      <c r="CH74" s="253"/>
      <c r="CI74" s="253"/>
      <c r="CJ74" s="253"/>
      <c r="CK74" s="253"/>
      <c r="CL74" s="253"/>
      <c r="CM74" s="253"/>
      <c r="CN74" s="253"/>
      <c r="CO74" s="253"/>
      <c r="CP74" s="253"/>
      <c r="CQ74" s="253"/>
      <c r="CR74" s="253"/>
      <c r="CS74" s="253"/>
      <c r="CT74" s="253"/>
      <c r="CU74" s="253"/>
      <c r="CV74" s="253"/>
      <c r="CW74" s="253"/>
      <c r="CX74" s="253"/>
      <c r="CY74" s="253"/>
      <c r="CZ74" s="253"/>
      <c r="DA74" s="253"/>
      <c r="DB74" s="253"/>
      <c r="DC74" s="253"/>
      <c r="DD74" s="253"/>
      <c r="DE74" s="253"/>
      <c r="DF74" s="253"/>
      <c r="DG74" s="253"/>
      <c r="DH74" s="253"/>
      <c r="DI74" s="253"/>
      <c r="DJ74" s="253"/>
      <c r="DK74" s="253"/>
      <c r="DL74" s="253"/>
      <c r="DM74" s="253"/>
      <c r="DN74" s="253"/>
      <c r="DO74" s="253"/>
      <c r="DP74" s="253"/>
      <c r="DQ74" s="253"/>
      <c r="DR74" s="253"/>
      <c r="DS74" s="253"/>
      <c r="DT74" s="253"/>
      <c r="DU74" s="253"/>
      <c r="DV74" s="253"/>
      <c r="DW74" s="253"/>
      <c r="DX74" s="253"/>
      <c r="DY74" s="253"/>
      <c r="DZ74" s="253"/>
      <c r="EA74" s="253"/>
      <c r="EB74" s="253"/>
      <c r="EC74" s="253"/>
      <c r="ED74" s="253"/>
      <c r="EE74" s="253"/>
      <c r="EF74" s="253"/>
      <c r="EG74" s="253"/>
      <c r="EH74" s="253"/>
      <c r="EI74" s="253"/>
      <c r="EJ74" s="253"/>
      <c r="EK74" s="253"/>
      <c r="EL74" s="253"/>
      <c r="EM74" s="253"/>
      <c r="EN74" s="253"/>
      <c r="EO74" s="253"/>
      <c r="EP74" s="253"/>
      <c r="EQ74" s="253"/>
      <c r="ER74" s="253"/>
      <c r="ES74" s="253"/>
      <c r="ET74" s="253"/>
      <c r="EU74" s="253"/>
      <c r="EV74" s="253"/>
      <c r="EW74" s="253"/>
      <c r="EX74" s="253"/>
      <c r="EY74" s="253"/>
      <c r="EZ74" s="253"/>
      <c r="FA74" s="253"/>
      <c r="FB74" s="253"/>
      <c r="FC74" s="253"/>
      <c r="FD74" s="253"/>
      <c r="FE74" s="253"/>
      <c r="FF74" s="253"/>
      <c r="FG74" s="253"/>
      <c r="FH74" s="253"/>
      <c r="FI74" s="253"/>
      <c r="FJ74" s="253"/>
      <c r="FK74" s="253"/>
      <c r="FL74" s="253"/>
      <c r="FM74" s="262"/>
      <c r="FN74" s="257" t="s">
        <v>1216</v>
      </c>
      <c r="FO74" s="258" t="s">
        <v>389</v>
      </c>
      <c r="FP74" s="258"/>
      <c r="FQ74" s="258" t="s">
        <v>416</v>
      </c>
      <c r="FR74" s="259">
        <f t="shared" si="5"/>
        <v>0</v>
      </c>
      <c r="FS74" s="260" t="s">
        <v>414</v>
      </c>
      <c r="FT74" s="260"/>
    </row>
    <row r="75" spans="1:176">
      <c r="A75" s="251" t="s">
        <v>385</v>
      </c>
      <c r="B75" s="251" t="s">
        <v>411</v>
      </c>
      <c r="C75" s="251" t="s">
        <v>291</v>
      </c>
      <c r="D75" s="252" t="s">
        <v>918</v>
      </c>
      <c r="E75" s="251" t="s">
        <v>388</v>
      </c>
      <c r="F75" s="251" t="s">
        <v>1238</v>
      </c>
      <c r="G75" s="253"/>
      <c r="H75" s="253"/>
      <c r="I75" s="253"/>
      <c r="J75" s="253"/>
      <c r="K75" s="253"/>
      <c r="L75" s="253"/>
      <c r="M75" s="253"/>
      <c r="N75" s="253"/>
      <c r="O75" s="253"/>
      <c r="P75" s="253"/>
      <c r="Q75" s="253"/>
      <c r="R75" s="253"/>
      <c r="S75" s="253"/>
      <c r="T75" s="253"/>
      <c r="U75" s="253"/>
      <c r="V75" s="253"/>
      <c r="W75" s="253"/>
      <c r="X75" s="253"/>
      <c r="Y75" s="253"/>
      <c r="Z75" s="253"/>
      <c r="AA75" s="253"/>
      <c r="AB75" s="253"/>
      <c r="AC75" s="255">
        <f>300-300</f>
        <v>0</v>
      </c>
      <c r="AD75" s="253"/>
      <c r="AE75" s="253"/>
      <c r="AF75" s="253"/>
      <c r="AG75" s="253"/>
      <c r="AH75" s="253"/>
      <c r="AI75" s="253"/>
      <c r="AJ75" s="253"/>
      <c r="AK75" s="253"/>
      <c r="AL75" s="253"/>
      <c r="AM75" s="253"/>
      <c r="AN75" s="253"/>
      <c r="AO75" s="253"/>
      <c r="AP75" s="253"/>
      <c r="AQ75" s="253"/>
      <c r="AR75" s="253"/>
      <c r="AS75" s="253"/>
      <c r="AT75" s="253"/>
      <c r="AU75" s="253"/>
      <c r="AV75" s="253"/>
      <c r="AW75" s="253"/>
      <c r="AX75" s="253"/>
      <c r="AY75" s="253"/>
      <c r="AZ75" s="253"/>
      <c r="BA75" s="253"/>
      <c r="BB75" s="253"/>
      <c r="BC75" s="255">
        <f>500-500</f>
        <v>0</v>
      </c>
      <c r="BD75" s="253"/>
      <c r="BE75" s="253"/>
      <c r="BF75" s="253"/>
      <c r="BG75" s="253"/>
      <c r="BH75" s="253"/>
      <c r="BI75" s="253"/>
      <c r="BJ75" s="253"/>
      <c r="BK75" s="253"/>
      <c r="BL75" s="253"/>
      <c r="BM75" s="253"/>
      <c r="BN75" s="253"/>
      <c r="BO75" s="253"/>
      <c r="BP75" s="253"/>
      <c r="BQ75" s="253"/>
      <c r="BR75" s="253"/>
      <c r="BS75" s="253"/>
      <c r="BT75" s="253"/>
      <c r="BU75" s="253"/>
      <c r="BV75" s="253"/>
      <c r="BW75" s="253"/>
      <c r="BX75" s="253"/>
      <c r="BY75" s="253"/>
      <c r="BZ75" s="253"/>
      <c r="CA75" s="253"/>
      <c r="CB75" s="253"/>
      <c r="CC75" s="253"/>
      <c r="CD75" s="253"/>
      <c r="CE75" s="253"/>
      <c r="CF75" s="253"/>
      <c r="CG75" s="253"/>
      <c r="CH75" s="253"/>
      <c r="CI75" s="253"/>
      <c r="CJ75" s="253"/>
      <c r="CK75" s="253"/>
      <c r="CL75" s="253"/>
      <c r="CM75" s="253"/>
      <c r="CN75" s="253"/>
      <c r="CO75" s="253"/>
      <c r="CP75" s="253"/>
      <c r="CQ75" s="253"/>
      <c r="CR75" s="253"/>
      <c r="CS75" s="253"/>
      <c r="CT75" s="253"/>
      <c r="CU75" s="253"/>
      <c r="CV75" s="253"/>
      <c r="CW75" s="253"/>
      <c r="CX75" s="253"/>
      <c r="CY75" s="253"/>
      <c r="CZ75" s="253"/>
      <c r="DA75" s="253"/>
      <c r="DB75" s="253"/>
      <c r="DC75" s="253"/>
      <c r="DD75" s="253"/>
      <c r="DE75" s="253"/>
      <c r="DF75" s="253"/>
      <c r="DG75" s="253"/>
      <c r="DH75" s="253"/>
      <c r="DI75" s="253"/>
      <c r="DJ75" s="253"/>
      <c r="DK75" s="253"/>
      <c r="DL75" s="253"/>
      <c r="DM75" s="253"/>
      <c r="DN75" s="253"/>
      <c r="DO75" s="253"/>
      <c r="DP75" s="253"/>
      <c r="DQ75" s="253"/>
      <c r="DR75" s="253"/>
      <c r="DS75" s="253"/>
      <c r="DT75" s="253"/>
      <c r="DU75" s="253"/>
      <c r="DV75" s="253"/>
      <c r="DW75" s="253"/>
      <c r="DX75" s="253"/>
      <c r="DY75" s="253"/>
      <c r="DZ75" s="253"/>
      <c r="EA75" s="253"/>
      <c r="EB75" s="253"/>
      <c r="EC75" s="253"/>
      <c r="ED75" s="253"/>
      <c r="EE75" s="253"/>
      <c r="EF75" s="253"/>
      <c r="EG75" s="253"/>
      <c r="EH75" s="253"/>
      <c r="EI75" s="253"/>
      <c r="EJ75" s="253"/>
      <c r="EK75" s="253"/>
      <c r="EL75" s="253"/>
      <c r="EM75" s="253"/>
      <c r="EN75" s="253"/>
      <c r="EO75" s="253"/>
      <c r="EP75" s="253"/>
      <c r="EQ75" s="253"/>
      <c r="ER75" s="253"/>
      <c r="ES75" s="253"/>
      <c r="ET75" s="253"/>
      <c r="EU75" s="253"/>
      <c r="EV75" s="253"/>
      <c r="EW75" s="253"/>
      <c r="EX75" s="253"/>
      <c r="EY75" s="253"/>
      <c r="EZ75" s="253"/>
      <c r="FA75" s="253"/>
      <c r="FB75" s="253"/>
      <c r="FC75" s="253"/>
      <c r="FD75" s="253"/>
      <c r="FE75" s="253"/>
      <c r="FF75" s="253"/>
      <c r="FG75" s="253"/>
      <c r="FH75" s="253"/>
      <c r="FI75" s="253"/>
      <c r="FJ75" s="253"/>
      <c r="FK75" s="253"/>
      <c r="FL75" s="253"/>
      <c r="FM75" s="262"/>
      <c r="FN75" s="257" t="s">
        <v>1216</v>
      </c>
      <c r="FO75" s="258" t="s">
        <v>389</v>
      </c>
      <c r="FP75" s="258" t="s">
        <v>1087</v>
      </c>
      <c r="FQ75" s="258" t="s">
        <v>445</v>
      </c>
      <c r="FR75" s="259">
        <f t="shared" si="5"/>
        <v>0</v>
      </c>
      <c r="FS75" s="260" t="s">
        <v>433</v>
      </c>
      <c r="FT75" s="260"/>
    </row>
    <row r="76" spans="1:176">
      <c r="A76" s="251" t="s">
        <v>385</v>
      </c>
      <c r="B76" s="251" t="s">
        <v>411</v>
      </c>
      <c r="C76" s="251" t="s">
        <v>1</v>
      </c>
      <c r="D76" s="252" t="s">
        <v>918</v>
      </c>
      <c r="E76" s="251" t="s">
        <v>388</v>
      </c>
      <c r="F76" s="251" t="s">
        <v>1238</v>
      </c>
      <c r="G76" s="253"/>
      <c r="H76" s="253"/>
      <c r="I76" s="253"/>
      <c r="J76" s="253"/>
      <c r="K76" s="253"/>
      <c r="L76" s="253"/>
      <c r="M76" s="253"/>
      <c r="N76" s="253"/>
      <c r="O76" s="253"/>
      <c r="P76" s="253"/>
      <c r="Q76" s="253"/>
      <c r="R76" s="253"/>
      <c r="S76" s="253"/>
      <c r="T76" s="253"/>
      <c r="U76" s="253"/>
      <c r="V76" s="253"/>
      <c r="W76" s="253"/>
      <c r="X76" s="253"/>
      <c r="Y76" s="253"/>
      <c r="Z76" s="253"/>
      <c r="AA76" s="255">
        <f>200-200</f>
        <v>0</v>
      </c>
      <c r="AB76" s="253"/>
      <c r="AC76" s="253"/>
      <c r="AD76" s="253"/>
      <c r="AE76" s="253"/>
      <c r="AF76" s="253"/>
      <c r="AG76" s="253"/>
      <c r="AH76" s="253"/>
      <c r="AI76" s="253"/>
      <c r="AJ76" s="253"/>
      <c r="AK76" s="253"/>
      <c r="AL76" s="253"/>
      <c r="AM76" s="255">
        <f>300-300</f>
        <v>0</v>
      </c>
      <c r="AN76" s="253"/>
      <c r="AO76" s="253"/>
      <c r="AP76" s="253"/>
      <c r="AQ76" s="253"/>
      <c r="AR76" s="253"/>
      <c r="AS76" s="255">
        <f>300-300</f>
        <v>0</v>
      </c>
      <c r="AT76" s="253"/>
      <c r="AU76" s="253"/>
      <c r="AV76" s="253"/>
      <c r="AW76" s="253"/>
      <c r="AX76" s="253"/>
      <c r="AY76" s="255">
        <f>500-500</f>
        <v>0</v>
      </c>
      <c r="AZ76" s="253"/>
      <c r="BA76" s="253"/>
      <c r="BB76" s="253"/>
      <c r="BC76" s="253"/>
      <c r="BD76" s="253"/>
      <c r="BE76" s="253"/>
      <c r="BF76" s="253"/>
      <c r="BG76" s="253"/>
      <c r="BH76" s="253"/>
      <c r="BI76" s="253"/>
      <c r="BJ76" s="253"/>
      <c r="BK76" s="253"/>
      <c r="BL76" s="253"/>
      <c r="BM76" s="253"/>
      <c r="BN76" s="253"/>
      <c r="BO76" s="253"/>
      <c r="BP76" s="253"/>
      <c r="BQ76" s="253"/>
      <c r="BR76" s="253"/>
      <c r="BS76" s="253"/>
      <c r="BT76" s="253"/>
      <c r="BU76" s="253"/>
      <c r="BV76" s="253"/>
      <c r="BW76" s="253"/>
      <c r="BX76" s="253"/>
      <c r="BY76" s="253"/>
      <c r="BZ76" s="253"/>
      <c r="CA76" s="253"/>
      <c r="CB76" s="253"/>
      <c r="CC76" s="253"/>
      <c r="CD76" s="253"/>
      <c r="CE76" s="253"/>
      <c r="CF76" s="253"/>
      <c r="CG76" s="253"/>
      <c r="CH76" s="253"/>
      <c r="CI76" s="253"/>
      <c r="CJ76" s="253"/>
      <c r="CK76" s="253"/>
      <c r="CL76" s="253"/>
      <c r="CM76" s="253"/>
      <c r="CN76" s="253"/>
      <c r="CO76" s="253"/>
      <c r="CP76" s="253"/>
      <c r="CQ76" s="253"/>
      <c r="CR76" s="253"/>
      <c r="CS76" s="253"/>
      <c r="CT76" s="253"/>
      <c r="CU76" s="253"/>
      <c r="CV76" s="253"/>
      <c r="CW76" s="253"/>
      <c r="CX76" s="253"/>
      <c r="CY76" s="253"/>
      <c r="CZ76" s="253"/>
      <c r="DA76" s="253"/>
      <c r="DB76" s="253"/>
      <c r="DC76" s="253"/>
      <c r="DD76" s="253"/>
      <c r="DE76" s="253"/>
      <c r="DF76" s="253"/>
      <c r="DG76" s="253"/>
      <c r="DH76" s="253"/>
      <c r="DI76" s="253"/>
      <c r="DJ76" s="253"/>
      <c r="DK76" s="253"/>
      <c r="DL76" s="253"/>
      <c r="DM76" s="253"/>
      <c r="DN76" s="253"/>
      <c r="DO76" s="253"/>
      <c r="DP76" s="253"/>
      <c r="DQ76" s="253"/>
      <c r="DR76" s="253"/>
      <c r="DS76" s="253"/>
      <c r="DT76" s="253"/>
      <c r="DU76" s="253"/>
      <c r="DV76" s="253"/>
      <c r="DW76" s="253"/>
      <c r="DX76" s="253"/>
      <c r="DY76" s="253"/>
      <c r="DZ76" s="253"/>
      <c r="EA76" s="253"/>
      <c r="EB76" s="253"/>
      <c r="EC76" s="253"/>
      <c r="ED76" s="253"/>
      <c r="EE76" s="253"/>
      <c r="EF76" s="253"/>
      <c r="EG76" s="253"/>
      <c r="EH76" s="253"/>
      <c r="EI76" s="253"/>
      <c r="EJ76" s="253"/>
      <c r="EK76" s="253"/>
      <c r="EL76" s="253"/>
      <c r="EM76" s="253"/>
      <c r="EN76" s="253"/>
      <c r="EO76" s="253"/>
      <c r="EP76" s="253"/>
      <c r="EQ76" s="253"/>
      <c r="ER76" s="253"/>
      <c r="ES76" s="253"/>
      <c r="ET76" s="253"/>
      <c r="EU76" s="253"/>
      <c r="EV76" s="253"/>
      <c r="EW76" s="253"/>
      <c r="EX76" s="253"/>
      <c r="EY76" s="253"/>
      <c r="EZ76" s="253"/>
      <c r="FA76" s="253"/>
      <c r="FB76" s="253"/>
      <c r="FC76" s="253"/>
      <c r="FD76" s="253"/>
      <c r="FE76" s="253"/>
      <c r="FF76" s="253"/>
      <c r="FG76" s="253"/>
      <c r="FH76" s="253"/>
      <c r="FI76" s="253"/>
      <c r="FJ76" s="253"/>
      <c r="FK76" s="253"/>
      <c r="FL76" s="253"/>
      <c r="FM76" s="262"/>
      <c r="FN76" s="257" t="s">
        <v>1216</v>
      </c>
      <c r="FO76" s="258" t="s">
        <v>389</v>
      </c>
      <c r="FP76" s="258" t="s">
        <v>1087</v>
      </c>
      <c r="FQ76" s="258" t="s">
        <v>445</v>
      </c>
      <c r="FR76" s="259">
        <f t="shared" si="5"/>
        <v>0</v>
      </c>
      <c r="FS76" s="260" t="s">
        <v>433</v>
      </c>
      <c r="FT76" s="260"/>
    </row>
    <row r="77" spans="1:176">
      <c r="A77" s="251" t="s">
        <v>385</v>
      </c>
      <c r="B77" s="251" t="s">
        <v>411</v>
      </c>
      <c r="C77" s="251" t="s">
        <v>291</v>
      </c>
      <c r="D77" s="252" t="s">
        <v>446</v>
      </c>
      <c r="E77" s="251" t="s">
        <v>388</v>
      </c>
      <c r="F77" s="251" t="s">
        <v>1239</v>
      </c>
      <c r="G77" s="253"/>
      <c r="H77" s="253"/>
      <c r="I77" s="253"/>
      <c r="J77" s="253"/>
      <c r="K77" s="253"/>
      <c r="L77" s="253"/>
      <c r="M77" s="253"/>
      <c r="N77" s="255">
        <f>500-500</f>
        <v>0</v>
      </c>
      <c r="O77" s="253"/>
      <c r="P77" s="253"/>
      <c r="Q77" s="253"/>
      <c r="R77" s="253"/>
      <c r="S77" s="253"/>
      <c r="T77" s="253"/>
      <c r="U77" s="253"/>
      <c r="V77" s="253"/>
      <c r="W77" s="253"/>
      <c r="X77" s="253"/>
      <c r="Y77" s="253"/>
      <c r="Z77" s="253"/>
      <c r="AA77" s="253"/>
      <c r="AB77" s="253"/>
      <c r="AC77" s="255">
        <f>1000-1000</f>
        <v>0</v>
      </c>
      <c r="AD77" s="253"/>
      <c r="AE77" s="255">
        <f>1000-1000</f>
        <v>0</v>
      </c>
      <c r="AF77" s="255">
        <f>1000-1000</f>
        <v>0</v>
      </c>
      <c r="AG77" s="253"/>
      <c r="AH77" s="253"/>
      <c r="AI77" s="253"/>
      <c r="AJ77" s="253"/>
      <c r="AK77" s="253"/>
      <c r="AL77" s="253"/>
      <c r="AM77" s="253"/>
      <c r="AN77" s="253"/>
      <c r="AO77" s="253"/>
      <c r="AP77" s="253"/>
      <c r="AQ77" s="253"/>
      <c r="AR77" s="253"/>
      <c r="AS77" s="253"/>
      <c r="AT77" s="253"/>
      <c r="AU77" s="253"/>
      <c r="AV77" s="253"/>
      <c r="AW77" s="253"/>
      <c r="AX77" s="253"/>
      <c r="AY77" s="253"/>
      <c r="AZ77" s="253"/>
      <c r="BA77" s="253"/>
      <c r="BB77" s="253"/>
      <c r="BC77" s="255">
        <f>1000-1000</f>
        <v>0</v>
      </c>
      <c r="BD77" s="253"/>
      <c r="BE77" s="253"/>
      <c r="BF77" s="253"/>
      <c r="BG77" s="253"/>
      <c r="BH77" s="253"/>
      <c r="BI77" s="253"/>
      <c r="BJ77" s="253"/>
      <c r="BK77" s="253"/>
      <c r="BL77" s="253"/>
      <c r="BM77" s="253"/>
      <c r="BN77" s="253"/>
      <c r="BO77" s="253"/>
      <c r="BP77" s="253"/>
      <c r="BQ77" s="253"/>
      <c r="BR77" s="253"/>
      <c r="BS77" s="253"/>
      <c r="BT77" s="253"/>
      <c r="BU77" s="253"/>
      <c r="BV77" s="253"/>
      <c r="BW77" s="253"/>
      <c r="BX77" s="253"/>
      <c r="BY77" s="253"/>
      <c r="BZ77" s="253"/>
      <c r="CA77" s="253"/>
      <c r="CB77" s="253"/>
      <c r="CC77" s="253"/>
      <c r="CD77" s="253"/>
      <c r="CE77" s="253"/>
      <c r="CF77" s="253"/>
      <c r="CG77" s="253"/>
      <c r="CH77" s="253"/>
      <c r="CI77" s="253"/>
      <c r="CJ77" s="253"/>
      <c r="CK77" s="253"/>
      <c r="CL77" s="253"/>
      <c r="CM77" s="253"/>
      <c r="CN77" s="253"/>
      <c r="CO77" s="253"/>
      <c r="CP77" s="253"/>
      <c r="CQ77" s="253"/>
      <c r="CR77" s="253"/>
      <c r="CS77" s="253"/>
      <c r="CT77" s="253"/>
      <c r="CU77" s="253"/>
      <c r="CV77" s="253"/>
      <c r="CW77" s="253"/>
      <c r="CX77" s="253"/>
      <c r="CY77" s="253"/>
      <c r="CZ77" s="253"/>
      <c r="DA77" s="253"/>
      <c r="DB77" s="253"/>
      <c r="DC77" s="253"/>
      <c r="DD77" s="253"/>
      <c r="DE77" s="253"/>
      <c r="DF77" s="253"/>
      <c r="DG77" s="253"/>
      <c r="DH77" s="253"/>
      <c r="DI77" s="253"/>
      <c r="DJ77" s="253"/>
      <c r="DK77" s="253"/>
      <c r="DL77" s="253"/>
      <c r="DM77" s="253"/>
      <c r="DN77" s="253"/>
      <c r="DO77" s="253"/>
      <c r="DP77" s="253"/>
      <c r="DQ77" s="253"/>
      <c r="DR77" s="253"/>
      <c r="DS77" s="253"/>
      <c r="DT77" s="253"/>
      <c r="DU77" s="253"/>
      <c r="DV77" s="253"/>
      <c r="DW77" s="253"/>
      <c r="DX77" s="253"/>
      <c r="DY77" s="253"/>
      <c r="DZ77" s="253"/>
      <c r="EA77" s="253"/>
      <c r="EB77" s="253"/>
      <c r="EC77" s="253"/>
      <c r="ED77" s="253"/>
      <c r="EE77" s="253"/>
      <c r="EF77" s="253"/>
      <c r="EG77" s="253"/>
      <c r="EH77" s="253"/>
      <c r="EI77" s="253"/>
      <c r="EJ77" s="253"/>
      <c r="EK77" s="253"/>
      <c r="EL77" s="253"/>
      <c r="EM77" s="253"/>
      <c r="EN77" s="253"/>
      <c r="EO77" s="253"/>
      <c r="EP77" s="253"/>
      <c r="EQ77" s="253"/>
      <c r="ER77" s="253"/>
      <c r="ES77" s="253"/>
      <c r="ET77" s="253"/>
      <c r="EU77" s="253"/>
      <c r="EV77" s="253"/>
      <c r="EW77" s="253"/>
      <c r="EX77" s="253"/>
      <c r="EY77" s="253"/>
      <c r="EZ77" s="253"/>
      <c r="FA77" s="253"/>
      <c r="FB77" s="253"/>
      <c r="FC77" s="253"/>
      <c r="FD77" s="253"/>
      <c r="FE77" s="253"/>
      <c r="FF77" s="253"/>
      <c r="FG77" s="255">
        <f>500-500</f>
        <v>0</v>
      </c>
      <c r="FH77" s="253"/>
      <c r="FI77" s="253"/>
      <c r="FJ77" s="253"/>
      <c r="FK77" s="253"/>
      <c r="FL77" s="253"/>
      <c r="FM77" s="262"/>
      <c r="FN77" s="257" t="s">
        <v>1216</v>
      </c>
      <c r="FO77" s="258" t="s">
        <v>389</v>
      </c>
      <c r="FP77" s="258"/>
      <c r="FQ77" s="258" t="s">
        <v>423</v>
      </c>
      <c r="FR77" s="259">
        <f t="shared" si="5"/>
        <v>0</v>
      </c>
      <c r="FS77" s="260" t="s">
        <v>835</v>
      </c>
      <c r="FT77" s="260"/>
    </row>
    <row r="78" spans="1:176">
      <c r="A78" s="251" t="s">
        <v>385</v>
      </c>
      <c r="B78" s="251" t="s">
        <v>411</v>
      </c>
      <c r="C78" s="251" t="s">
        <v>1</v>
      </c>
      <c r="D78" s="252" t="s">
        <v>446</v>
      </c>
      <c r="E78" s="251" t="s">
        <v>388</v>
      </c>
      <c r="F78" s="251" t="s">
        <v>1239</v>
      </c>
      <c r="G78" s="253"/>
      <c r="H78" s="253"/>
      <c r="I78" s="253"/>
      <c r="J78" s="253"/>
      <c r="K78" s="253"/>
      <c r="L78" s="253"/>
      <c r="M78" s="253"/>
      <c r="N78" s="253"/>
      <c r="O78" s="255">
        <f>500-500</f>
        <v>0</v>
      </c>
      <c r="P78" s="253"/>
      <c r="Q78" s="253"/>
      <c r="R78" s="253"/>
      <c r="S78" s="253"/>
      <c r="T78" s="253"/>
      <c r="U78" s="253"/>
      <c r="V78" s="253"/>
      <c r="W78" s="253"/>
      <c r="X78" s="253"/>
      <c r="Y78" s="253"/>
      <c r="Z78" s="255">
        <f>1000-1000</f>
        <v>0</v>
      </c>
      <c r="AA78" s="255">
        <f>1000-1000</f>
        <v>0</v>
      </c>
      <c r="AB78" s="253"/>
      <c r="AC78" s="253"/>
      <c r="AD78" s="253"/>
      <c r="AE78" s="253"/>
      <c r="AF78" s="253"/>
      <c r="AG78" s="253"/>
      <c r="AH78" s="253"/>
      <c r="AI78" s="253"/>
      <c r="AJ78" s="253"/>
      <c r="AK78" s="253"/>
      <c r="AL78" s="253"/>
      <c r="AM78" s="255">
        <f>500-500</f>
        <v>0</v>
      </c>
      <c r="AN78" s="253"/>
      <c r="AO78" s="253"/>
      <c r="AP78" s="253"/>
      <c r="AQ78" s="255">
        <f>500-500</f>
        <v>0</v>
      </c>
      <c r="AR78" s="255">
        <f>200-200</f>
        <v>0</v>
      </c>
      <c r="AS78" s="255">
        <f>1000-1000</f>
        <v>0</v>
      </c>
      <c r="AT78" s="253"/>
      <c r="AU78" s="253"/>
      <c r="AV78" s="253"/>
      <c r="AW78" s="253"/>
      <c r="AX78" s="253"/>
      <c r="AY78" s="253"/>
      <c r="AZ78" s="253"/>
      <c r="BA78" s="253"/>
      <c r="BB78" s="253"/>
      <c r="BC78" s="253"/>
      <c r="BD78" s="253"/>
      <c r="BE78" s="255">
        <f>1000-1000</f>
        <v>0</v>
      </c>
      <c r="BF78" s="253"/>
      <c r="BG78" s="253"/>
      <c r="BH78" s="253"/>
      <c r="BI78" s="253"/>
      <c r="BJ78" s="253"/>
      <c r="BK78" s="253"/>
      <c r="BL78" s="253"/>
      <c r="BM78" s="253"/>
      <c r="BN78" s="253"/>
      <c r="BO78" s="253"/>
      <c r="BP78" s="253"/>
      <c r="BQ78" s="253"/>
      <c r="BR78" s="253"/>
      <c r="BS78" s="253"/>
      <c r="BT78" s="253"/>
      <c r="BU78" s="253"/>
      <c r="BV78" s="253"/>
      <c r="BW78" s="253"/>
      <c r="BX78" s="253"/>
      <c r="BY78" s="253"/>
      <c r="BZ78" s="253"/>
      <c r="CA78" s="253"/>
      <c r="CB78" s="253"/>
      <c r="CC78" s="253"/>
      <c r="CD78" s="253"/>
      <c r="CE78" s="253"/>
      <c r="CF78" s="253"/>
      <c r="CG78" s="253"/>
      <c r="CH78" s="253"/>
      <c r="CI78" s="253"/>
      <c r="CJ78" s="253"/>
      <c r="CK78" s="253"/>
      <c r="CL78" s="253"/>
      <c r="CM78" s="253"/>
      <c r="CN78" s="253"/>
      <c r="CO78" s="253"/>
      <c r="CP78" s="253"/>
      <c r="CQ78" s="253"/>
      <c r="CR78" s="253"/>
      <c r="CS78" s="253"/>
      <c r="CT78" s="253"/>
      <c r="CU78" s="253"/>
      <c r="CV78" s="253"/>
      <c r="CW78" s="253"/>
      <c r="CX78" s="253"/>
      <c r="CY78" s="253"/>
      <c r="CZ78" s="253"/>
      <c r="DA78" s="253"/>
      <c r="DB78" s="253"/>
      <c r="DC78" s="253"/>
      <c r="DD78" s="253"/>
      <c r="DE78" s="253"/>
      <c r="DF78" s="253"/>
      <c r="DG78" s="253"/>
      <c r="DH78" s="253"/>
      <c r="DI78" s="253"/>
      <c r="DJ78" s="253"/>
      <c r="DK78" s="253"/>
      <c r="DL78" s="253"/>
      <c r="DM78" s="253"/>
      <c r="DN78" s="253"/>
      <c r="DO78" s="253"/>
      <c r="DP78" s="253"/>
      <c r="DQ78" s="253"/>
      <c r="DR78" s="253"/>
      <c r="DS78" s="253"/>
      <c r="DT78" s="253"/>
      <c r="DU78" s="253"/>
      <c r="DV78" s="253"/>
      <c r="DW78" s="253"/>
      <c r="DX78" s="253"/>
      <c r="DY78" s="253"/>
      <c r="DZ78" s="253"/>
      <c r="EA78" s="253"/>
      <c r="EB78" s="253"/>
      <c r="EC78" s="253"/>
      <c r="ED78" s="253"/>
      <c r="EE78" s="253"/>
      <c r="EF78" s="253"/>
      <c r="EG78" s="255">
        <f>500-500</f>
        <v>0</v>
      </c>
      <c r="EH78" s="255">
        <f>2000-2000</f>
        <v>0</v>
      </c>
      <c r="EI78" s="255">
        <f>500-500</f>
        <v>0</v>
      </c>
      <c r="EJ78" s="255">
        <f>2000-2000</f>
        <v>0</v>
      </c>
      <c r="EK78" s="253"/>
      <c r="EL78" s="255">
        <f>2000-2000</f>
        <v>0</v>
      </c>
      <c r="EM78" s="255">
        <f>2000-2000</f>
        <v>0</v>
      </c>
      <c r="EN78" s="255">
        <f>2000-2000</f>
        <v>0</v>
      </c>
      <c r="EO78" s="255">
        <f>1000-1000</f>
        <v>0</v>
      </c>
      <c r="EP78" s="253"/>
      <c r="EQ78" s="255">
        <f>1000-1000</f>
        <v>0</v>
      </c>
      <c r="ER78" s="253"/>
      <c r="ES78" s="253"/>
      <c r="ET78" s="253"/>
      <c r="EU78" s="253"/>
      <c r="EV78" s="253"/>
      <c r="EW78" s="253"/>
      <c r="EX78" s="253"/>
      <c r="EY78" s="253"/>
      <c r="EZ78" s="253"/>
      <c r="FA78" s="253"/>
      <c r="FB78" s="253"/>
      <c r="FC78" s="253"/>
      <c r="FD78" s="253"/>
      <c r="FE78" s="253"/>
      <c r="FF78" s="253"/>
      <c r="FG78" s="253"/>
      <c r="FH78" s="253"/>
      <c r="FI78" s="255">
        <f>2000-2000</f>
        <v>0</v>
      </c>
      <c r="FJ78" s="255">
        <f>2000-2000</f>
        <v>0</v>
      </c>
      <c r="FK78" s="253"/>
      <c r="FL78" s="253"/>
      <c r="FM78" s="262"/>
      <c r="FN78" s="257" t="s">
        <v>1216</v>
      </c>
      <c r="FO78" s="258" t="s">
        <v>389</v>
      </c>
      <c r="FP78" s="258"/>
      <c r="FQ78" s="258" t="s">
        <v>423</v>
      </c>
      <c r="FR78" s="259">
        <f t="shared" si="5"/>
        <v>0</v>
      </c>
      <c r="FS78" s="260" t="s">
        <v>835</v>
      </c>
      <c r="FT78" s="260"/>
    </row>
    <row r="79" spans="1:176">
      <c r="A79" s="251" t="s">
        <v>385</v>
      </c>
      <c r="B79" s="251" t="s">
        <v>411</v>
      </c>
      <c r="C79" s="251" t="s">
        <v>291</v>
      </c>
      <c r="D79" s="252" t="s">
        <v>981</v>
      </c>
      <c r="E79" s="251" t="s">
        <v>388</v>
      </c>
      <c r="F79" s="251" t="s">
        <v>1240</v>
      </c>
      <c r="G79" s="253"/>
      <c r="H79" s="253"/>
      <c r="I79" s="253"/>
      <c r="J79" s="253"/>
      <c r="K79" s="253"/>
      <c r="L79" s="253"/>
      <c r="M79" s="253"/>
      <c r="N79" s="253"/>
      <c r="O79" s="253"/>
      <c r="P79" s="253"/>
      <c r="Q79" s="253"/>
      <c r="R79" s="253"/>
      <c r="S79" s="253"/>
      <c r="T79" s="253"/>
      <c r="U79" s="253"/>
      <c r="V79" s="253"/>
      <c r="W79" s="253"/>
      <c r="X79" s="253"/>
      <c r="Y79" s="253"/>
      <c r="Z79" s="253"/>
      <c r="AA79" s="253"/>
      <c r="AB79" s="253"/>
      <c r="AC79" s="253"/>
      <c r="AD79" s="253"/>
      <c r="AE79" s="253"/>
      <c r="AF79" s="253"/>
      <c r="AG79" s="253"/>
      <c r="AH79" s="253"/>
      <c r="AI79" s="253"/>
      <c r="AJ79" s="253"/>
      <c r="AK79" s="255">
        <f>60-60</f>
        <v>0</v>
      </c>
      <c r="AL79" s="253"/>
      <c r="AM79" s="253"/>
      <c r="AN79" s="253"/>
      <c r="AO79" s="253"/>
      <c r="AP79" s="253"/>
      <c r="AQ79" s="253"/>
      <c r="AR79" s="253"/>
      <c r="AS79" s="253"/>
      <c r="AT79" s="253"/>
      <c r="AU79" s="253"/>
      <c r="AV79" s="253"/>
      <c r="AW79" s="253"/>
      <c r="AX79" s="253"/>
      <c r="AY79" s="253"/>
      <c r="AZ79" s="253"/>
      <c r="BA79" s="253"/>
      <c r="BB79" s="253"/>
      <c r="BC79" s="255">
        <f>60-60</f>
        <v>0</v>
      </c>
      <c r="BD79" s="253"/>
      <c r="BE79" s="253"/>
      <c r="BF79" s="253"/>
      <c r="BG79" s="253"/>
      <c r="BH79" s="253"/>
      <c r="BI79" s="253"/>
      <c r="BJ79" s="253"/>
      <c r="BK79" s="253"/>
      <c r="BL79" s="253"/>
      <c r="BM79" s="253"/>
      <c r="BN79" s="253"/>
      <c r="BO79" s="253"/>
      <c r="BP79" s="253"/>
      <c r="BQ79" s="253"/>
      <c r="BR79" s="253"/>
      <c r="BS79" s="253"/>
      <c r="BT79" s="253"/>
      <c r="BU79" s="253"/>
      <c r="BV79" s="253"/>
      <c r="BW79" s="253"/>
      <c r="BX79" s="253"/>
      <c r="BY79" s="253"/>
      <c r="BZ79" s="253"/>
      <c r="CA79" s="253"/>
      <c r="CB79" s="253"/>
      <c r="CC79" s="253"/>
      <c r="CD79" s="253"/>
      <c r="CE79" s="253"/>
      <c r="CF79" s="253"/>
      <c r="CG79" s="253"/>
      <c r="CH79" s="253"/>
      <c r="CI79" s="253"/>
      <c r="CJ79" s="253"/>
      <c r="CK79" s="253"/>
      <c r="CL79" s="253"/>
      <c r="CM79" s="253"/>
      <c r="CN79" s="253"/>
      <c r="CO79" s="253"/>
      <c r="CP79" s="253"/>
      <c r="CQ79" s="253"/>
      <c r="CR79" s="253"/>
      <c r="CS79" s="253"/>
      <c r="CT79" s="253"/>
      <c r="CU79" s="253"/>
      <c r="CV79" s="253"/>
      <c r="CW79" s="253"/>
      <c r="CX79" s="253"/>
      <c r="CY79" s="253"/>
      <c r="CZ79" s="253"/>
      <c r="DA79" s="253"/>
      <c r="DB79" s="253"/>
      <c r="DC79" s="253"/>
      <c r="DD79" s="253"/>
      <c r="DE79" s="253"/>
      <c r="DF79" s="253"/>
      <c r="DG79" s="253"/>
      <c r="DH79" s="253"/>
      <c r="DI79" s="253"/>
      <c r="DJ79" s="253"/>
      <c r="DK79" s="253"/>
      <c r="DL79" s="253"/>
      <c r="DM79" s="253"/>
      <c r="DN79" s="253"/>
      <c r="DO79" s="253"/>
      <c r="DP79" s="253"/>
      <c r="DQ79" s="253"/>
      <c r="DR79" s="253"/>
      <c r="DS79" s="253"/>
      <c r="DT79" s="253"/>
      <c r="DU79" s="253"/>
      <c r="DV79" s="253"/>
      <c r="DW79" s="253"/>
      <c r="DX79" s="253"/>
      <c r="DY79" s="253"/>
      <c r="DZ79" s="253"/>
      <c r="EA79" s="253"/>
      <c r="EB79" s="253"/>
      <c r="EC79" s="253"/>
      <c r="ED79" s="253"/>
      <c r="EE79" s="253"/>
      <c r="EF79" s="253"/>
      <c r="EG79" s="253"/>
      <c r="EH79" s="253"/>
      <c r="EI79" s="253"/>
      <c r="EJ79" s="253"/>
      <c r="EK79" s="253"/>
      <c r="EL79" s="253"/>
      <c r="EM79" s="253"/>
      <c r="EN79" s="253"/>
      <c r="EO79" s="253"/>
      <c r="EP79" s="253"/>
      <c r="EQ79" s="253"/>
      <c r="ER79" s="253"/>
      <c r="ES79" s="253"/>
      <c r="ET79" s="253"/>
      <c r="EU79" s="253"/>
      <c r="EV79" s="253"/>
      <c r="EW79" s="253"/>
      <c r="EX79" s="253"/>
      <c r="EY79" s="253"/>
      <c r="EZ79" s="253"/>
      <c r="FA79" s="253"/>
      <c r="FB79" s="253"/>
      <c r="FC79" s="253"/>
      <c r="FD79" s="253"/>
      <c r="FE79" s="253"/>
      <c r="FF79" s="253"/>
      <c r="FG79" s="253"/>
      <c r="FH79" s="253"/>
      <c r="FI79" s="253"/>
      <c r="FJ79" s="253"/>
      <c r="FK79" s="253"/>
      <c r="FL79" s="253"/>
      <c r="FM79" s="262"/>
      <c r="FN79" s="257" t="s">
        <v>1216</v>
      </c>
      <c r="FO79" s="258" t="s">
        <v>389</v>
      </c>
      <c r="FP79" s="258" t="s">
        <v>982</v>
      </c>
      <c r="FQ79" s="258" t="s">
        <v>983</v>
      </c>
      <c r="FR79" s="259">
        <f t="shared" si="5"/>
        <v>0</v>
      </c>
      <c r="FS79" s="260" t="s">
        <v>433</v>
      </c>
      <c r="FT79" s="260"/>
    </row>
    <row r="80" spans="1:176">
      <c r="A80" s="251" t="s">
        <v>385</v>
      </c>
      <c r="B80" s="251" t="s">
        <v>411</v>
      </c>
      <c r="C80" s="251" t="s">
        <v>1</v>
      </c>
      <c r="D80" s="252" t="s">
        <v>981</v>
      </c>
      <c r="E80" s="251" t="s">
        <v>388</v>
      </c>
      <c r="F80" s="251" t="s">
        <v>1240</v>
      </c>
      <c r="G80" s="253"/>
      <c r="H80" s="253"/>
      <c r="I80" s="253"/>
      <c r="J80" s="253"/>
      <c r="K80" s="253"/>
      <c r="L80" s="253"/>
      <c r="M80" s="253"/>
      <c r="N80" s="253"/>
      <c r="O80" s="253"/>
      <c r="P80" s="253"/>
      <c r="Q80" s="253"/>
      <c r="R80" s="253"/>
      <c r="S80" s="253"/>
      <c r="T80" s="253"/>
      <c r="U80" s="253"/>
      <c r="V80" s="253"/>
      <c r="W80" s="253"/>
      <c r="X80" s="253"/>
      <c r="Y80" s="253"/>
      <c r="Z80" s="255">
        <f>60-60</f>
        <v>0</v>
      </c>
      <c r="AA80" s="253"/>
      <c r="AB80" s="253"/>
      <c r="AC80" s="253"/>
      <c r="AD80" s="253"/>
      <c r="AE80" s="253"/>
      <c r="AF80" s="253"/>
      <c r="AG80" s="253"/>
      <c r="AH80" s="253"/>
      <c r="AI80" s="253"/>
      <c r="AJ80" s="253"/>
      <c r="AK80" s="253"/>
      <c r="AL80" s="253"/>
      <c r="AM80" s="253"/>
      <c r="AN80" s="253"/>
      <c r="AO80" s="253"/>
      <c r="AP80" s="253"/>
      <c r="AQ80" s="253"/>
      <c r="AR80" s="253"/>
      <c r="AS80" s="253"/>
      <c r="AT80" s="253"/>
      <c r="AU80" s="253"/>
      <c r="AV80" s="253"/>
      <c r="AW80" s="253"/>
      <c r="AX80" s="253"/>
      <c r="AY80" s="253"/>
      <c r="AZ80" s="253"/>
      <c r="BA80" s="253"/>
      <c r="BB80" s="253"/>
      <c r="BC80" s="253"/>
      <c r="BD80" s="253"/>
      <c r="BE80" s="253"/>
      <c r="BF80" s="253"/>
      <c r="BG80" s="253"/>
      <c r="BH80" s="253"/>
      <c r="BI80" s="253"/>
      <c r="BJ80" s="253"/>
      <c r="BK80" s="253"/>
      <c r="BL80" s="253"/>
      <c r="BM80" s="253"/>
      <c r="BN80" s="253"/>
      <c r="BO80" s="253"/>
      <c r="BP80" s="253"/>
      <c r="BQ80" s="253"/>
      <c r="BR80" s="253"/>
      <c r="BS80" s="253"/>
      <c r="BT80" s="253"/>
      <c r="BU80" s="253"/>
      <c r="BV80" s="253"/>
      <c r="BW80" s="253"/>
      <c r="BX80" s="253"/>
      <c r="BY80" s="253"/>
      <c r="BZ80" s="253"/>
      <c r="CA80" s="253"/>
      <c r="CB80" s="253"/>
      <c r="CC80" s="253"/>
      <c r="CD80" s="253"/>
      <c r="CE80" s="253"/>
      <c r="CF80" s="253"/>
      <c r="CG80" s="253"/>
      <c r="CH80" s="253"/>
      <c r="CI80" s="253"/>
      <c r="CJ80" s="253"/>
      <c r="CK80" s="253"/>
      <c r="CL80" s="253"/>
      <c r="CM80" s="253"/>
      <c r="CN80" s="253"/>
      <c r="CO80" s="253"/>
      <c r="CP80" s="253"/>
      <c r="CQ80" s="253"/>
      <c r="CR80" s="253"/>
      <c r="CS80" s="253"/>
      <c r="CT80" s="253"/>
      <c r="CU80" s="253"/>
      <c r="CV80" s="253"/>
      <c r="CW80" s="253"/>
      <c r="CX80" s="253"/>
      <c r="CY80" s="253"/>
      <c r="CZ80" s="253"/>
      <c r="DA80" s="253"/>
      <c r="DB80" s="253"/>
      <c r="DC80" s="253"/>
      <c r="DD80" s="253"/>
      <c r="DE80" s="253"/>
      <c r="DF80" s="253"/>
      <c r="DG80" s="253"/>
      <c r="DH80" s="253"/>
      <c r="DI80" s="253"/>
      <c r="DJ80" s="253"/>
      <c r="DK80" s="253"/>
      <c r="DL80" s="253"/>
      <c r="DM80" s="253"/>
      <c r="DN80" s="253"/>
      <c r="DO80" s="253"/>
      <c r="DP80" s="253"/>
      <c r="DQ80" s="253"/>
      <c r="DR80" s="253"/>
      <c r="DS80" s="253"/>
      <c r="DT80" s="253"/>
      <c r="DU80" s="253"/>
      <c r="DV80" s="253"/>
      <c r="DW80" s="253"/>
      <c r="DX80" s="253"/>
      <c r="DY80" s="253"/>
      <c r="DZ80" s="253"/>
      <c r="EA80" s="253"/>
      <c r="EB80" s="253"/>
      <c r="EC80" s="253"/>
      <c r="ED80" s="253"/>
      <c r="EE80" s="253"/>
      <c r="EF80" s="253"/>
      <c r="EG80" s="253"/>
      <c r="EH80" s="253"/>
      <c r="EI80" s="253"/>
      <c r="EJ80" s="253"/>
      <c r="EK80" s="253"/>
      <c r="EL80" s="253"/>
      <c r="EM80" s="253"/>
      <c r="EN80" s="253"/>
      <c r="EO80" s="253"/>
      <c r="EP80" s="253"/>
      <c r="EQ80" s="253"/>
      <c r="ER80" s="253"/>
      <c r="ES80" s="253"/>
      <c r="ET80" s="253"/>
      <c r="EU80" s="253"/>
      <c r="EV80" s="253"/>
      <c r="EW80" s="253"/>
      <c r="EX80" s="253"/>
      <c r="EY80" s="253"/>
      <c r="EZ80" s="253"/>
      <c r="FA80" s="253"/>
      <c r="FB80" s="253"/>
      <c r="FC80" s="253"/>
      <c r="FD80" s="253"/>
      <c r="FE80" s="253"/>
      <c r="FF80" s="253"/>
      <c r="FG80" s="253"/>
      <c r="FH80" s="253"/>
      <c r="FI80" s="253"/>
      <c r="FJ80" s="253"/>
      <c r="FK80" s="253"/>
      <c r="FL80" s="253"/>
      <c r="FM80" s="262"/>
      <c r="FN80" s="257" t="s">
        <v>1216</v>
      </c>
      <c r="FO80" s="258" t="s">
        <v>389</v>
      </c>
      <c r="FP80" s="258" t="s">
        <v>982</v>
      </c>
      <c r="FQ80" s="258" t="s">
        <v>983</v>
      </c>
      <c r="FR80" s="259">
        <f t="shared" si="5"/>
        <v>0</v>
      </c>
      <c r="FS80" s="260" t="s">
        <v>433</v>
      </c>
      <c r="FT80" s="260"/>
    </row>
    <row r="81" spans="1:179">
      <c r="A81" s="251" t="s">
        <v>392</v>
      </c>
      <c r="B81" s="251" t="s">
        <v>411</v>
      </c>
      <c r="C81" s="251" t="s">
        <v>1</v>
      </c>
      <c r="D81" s="252" t="s">
        <v>862</v>
      </c>
      <c r="E81" s="251" t="s">
        <v>388</v>
      </c>
      <c r="F81" s="251" t="s">
        <v>1241</v>
      </c>
      <c r="G81" s="253"/>
      <c r="H81" s="253"/>
      <c r="I81" s="253"/>
      <c r="J81" s="253"/>
      <c r="K81" s="253"/>
      <c r="L81" s="253"/>
      <c r="M81" s="253"/>
      <c r="N81" s="253"/>
      <c r="O81" s="253"/>
      <c r="P81" s="253"/>
      <c r="Q81" s="253"/>
      <c r="R81" s="253"/>
      <c r="S81" s="253"/>
      <c r="T81" s="253"/>
      <c r="U81" s="253"/>
      <c r="V81" s="253"/>
      <c r="W81" s="253"/>
      <c r="X81" s="253"/>
      <c r="Y81" s="253"/>
      <c r="Z81" s="253"/>
      <c r="AA81" s="253"/>
      <c r="AB81" s="253"/>
      <c r="AC81" s="253"/>
      <c r="AD81" s="253"/>
      <c r="AE81" s="253"/>
      <c r="AF81" s="253"/>
      <c r="AG81" s="253"/>
      <c r="AH81" s="253"/>
      <c r="AI81" s="253"/>
      <c r="AJ81" s="253"/>
      <c r="AK81" s="253"/>
      <c r="AL81" s="253"/>
      <c r="AM81" s="253"/>
      <c r="AN81" s="253"/>
      <c r="AO81" s="253"/>
      <c r="AP81" s="253"/>
      <c r="AQ81" s="253"/>
      <c r="AR81" s="253"/>
      <c r="AS81" s="253"/>
      <c r="AT81" s="253"/>
      <c r="AU81" s="253"/>
      <c r="AV81" s="253"/>
      <c r="AW81" s="253"/>
      <c r="AX81" s="253"/>
      <c r="AY81" s="253"/>
      <c r="AZ81" s="253"/>
      <c r="BA81" s="253"/>
      <c r="BB81" s="253"/>
      <c r="BC81" s="253"/>
      <c r="BD81" s="253"/>
      <c r="BE81" s="253"/>
      <c r="BF81" s="253"/>
      <c r="BG81" s="253"/>
      <c r="BH81" s="253"/>
      <c r="BI81" s="253"/>
      <c r="BJ81" s="253"/>
      <c r="BK81" s="253"/>
      <c r="BL81" s="253"/>
      <c r="BM81" s="253"/>
      <c r="BN81" s="253"/>
      <c r="BO81" s="253"/>
      <c r="BP81" s="253"/>
      <c r="BQ81" s="253"/>
      <c r="BR81" s="253"/>
      <c r="BS81" s="253"/>
      <c r="BT81" s="253"/>
      <c r="BU81" s="253"/>
      <c r="BV81" s="253"/>
      <c r="BW81" s="253"/>
      <c r="BX81" s="253"/>
      <c r="BY81" s="253"/>
      <c r="BZ81" s="253"/>
      <c r="CA81" s="253"/>
      <c r="CB81" s="253"/>
      <c r="CC81" s="253"/>
      <c r="CD81" s="253"/>
      <c r="CE81" s="253"/>
      <c r="CF81" s="253"/>
      <c r="CG81" s="253"/>
      <c r="CH81" s="253"/>
      <c r="CI81" s="253"/>
      <c r="CJ81" s="253"/>
      <c r="CK81" s="253"/>
      <c r="CL81" s="253"/>
      <c r="CM81" s="253"/>
      <c r="CN81" s="253"/>
      <c r="CO81" s="253"/>
      <c r="CP81" s="253"/>
      <c r="CQ81" s="253"/>
      <c r="CR81" s="253"/>
      <c r="CS81" s="253"/>
      <c r="CT81" s="253"/>
      <c r="CU81" s="253"/>
      <c r="CV81" s="253"/>
      <c r="CW81" s="253"/>
      <c r="CX81" s="253"/>
      <c r="CY81" s="253"/>
      <c r="CZ81" s="253"/>
      <c r="DA81" s="253"/>
      <c r="DB81" s="253"/>
      <c r="DC81" s="253"/>
      <c r="DD81" s="253"/>
      <c r="DE81" s="253"/>
      <c r="DF81" s="253"/>
      <c r="DG81" s="253"/>
      <c r="DH81" s="253"/>
      <c r="DI81" s="253"/>
      <c r="DJ81" s="253"/>
      <c r="DK81" s="253"/>
      <c r="DL81" s="253"/>
      <c r="DM81" s="253"/>
      <c r="DN81" s="253"/>
      <c r="DO81" s="253"/>
      <c r="DP81" s="253"/>
      <c r="DQ81" s="253"/>
      <c r="DR81" s="253"/>
      <c r="DS81" s="253"/>
      <c r="DT81" s="253"/>
      <c r="DU81" s="253"/>
      <c r="DV81" s="253"/>
      <c r="DW81" s="253"/>
      <c r="DX81" s="253"/>
      <c r="DY81" s="253"/>
      <c r="DZ81" s="255">
        <f>480-480</f>
        <v>0</v>
      </c>
      <c r="EA81" s="253"/>
      <c r="EB81" s="253"/>
      <c r="EC81" s="253"/>
      <c r="ED81" s="253"/>
      <c r="EE81" s="253"/>
      <c r="EF81" s="253"/>
      <c r="EG81" s="253"/>
      <c r="EH81" s="253"/>
      <c r="EI81" s="253"/>
      <c r="EJ81" s="253"/>
      <c r="EK81" s="253"/>
      <c r="EL81" s="253"/>
      <c r="EM81" s="253"/>
      <c r="EN81" s="253"/>
      <c r="EO81" s="253"/>
      <c r="EP81" s="253"/>
      <c r="EQ81" s="253"/>
      <c r="ER81" s="253"/>
      <c r="ES81" s="253"/>
      <c r="ET81" s="253"/>
      <c r="EU81" s="253"/>
      <c r="EV81" s="253"/>
      <c r="EW81" s="253"/>
      <c r="EX81" s="253"/>
      <c r="EY81" s="253"/>
      <c r="EZ81" s="253"/>
      <c r="FA81" s="253"/>
      <c r="FB81" s="253"/>
      <c r="FC81" s="253"/>
      <c r="FD81" s="253"/>
      <c r="FE81" s="253"/>
      <c r="FF81" s="253"/>
      <c r="FG81" s="253"/>
      <c r="FH81" s="253"/>
      <c r="FI81" s="253"/>
      <c r="FJ81" s="253"/>
      <c r="FK81" s="253"/>
      <c r="FL81" s="253"/>
      <c r="FM81" s="262">
        <v>5119779</v>
      </c>
      <c r="FN81" s="257" t="s">
        <v>1216</v>
      </c>
      <c r="FO81" s="258" t="s">
        <v>389</v>
      </c>
      <c r="FP81" s="258" t="s">
        <v>864</v>
      </c>
      <c r="FQ81" s="258" t="s">
        <v>432</v>
      </c>
      <c r="FR81" s="259">
        <f t="shared" si="5"/>
        <v>0</v>
      </c>
      <c r="FS81" s="260" t="s">
        <v>433</v>
      </c>
      <c r="FT81" s="260"/>
    </row>
    <row r="82" spans="1:179">
      <c r="A82" s="251" t="s">
        <v>1242</v>
      </c>
      <c r="B82" s="251" t="s">
        <v>411</v>
      </c>
      <c r="C82" s="251" t="s">
        <v>1</v>
      </c>
      <c r="D82" s="252" t="s">
        <v>862</v>
      </c>
      <c r="E82" s="251" t="s">
        <v>388</v>
      </c>
      <c r="F82" s="251" t="s">
        <v>1243</v>
      </c>
      <c r="G82" s="253"/>
      <c r="H82" s="253"/>
      <c r="I82" s="253"/>
      <c r="J82" s="253"/>
      <c r="K82" s="253"/>
      <c r="L82" s="253"/>
      <c r="M82" s="253"/>
      <c r="N82" s="253"/>
      <c r="O82" s="253"/>
      <c r="P82" s="253"/>
      <c r="Q82" s="253"/>
      <c r="R82" s="253"/>
      <c r="S82" s="253"/>
      <c r="T82" s="253"/>
      <c r="U82" s="253"/>
      <c r="V82" s="253"/>
      <c r="W82" s="253"/>
      <c r="X82" s="253"/>
      <c r="Y82" s="253"/>
      <c r="Z82" s="253"/>
      <c r="AA82" s="253"/>
      <c r="AB82" s="253"/>
      <c r="AC82" s="253"/>
      <c r="AD82" s="253"/>
      <c r="AE82" s="253"/>
      <c r="AF82" s="253"/>
      <c r="AG82" s="253"/>
      <c r="AH82" s="253"/>
      <c r="AI82" s="253"/>
      <c r="AJ82" s="253"/>
      <c r="AK82" s="253"/>
      <c r="AL82" s="253"/>
      <c r="AM82" s="253"/>
      <c r="AN82" s="253"/>
      <c r="AO82" s="253"/>
      <c r="AP82" s="253"/>
      <c r="AQ82" s="253"/>
      <c r="AR82" s="253"/>
      <c r="AS82" s="253"/>
      <c r="AT82" s="253"/>
      <c r="AU82" s="253"/>
      <c r="AV82" s="253"/>
      <c r="AW82" s="253"/>
      <c r="AX82" s="253"/>
      <c r="AY82" s="253"/>
      <c r="AZ82" s="253"/>
      <c r="BA82" s="253"/>
      <c r="BB82" s="253"/>
      <c r="BC82" s="253"/>
      <c r="BD82" s="253"/>
      <c r="BE82" s="253"/>
      <c r="BF82" s="253"/>
      <c r="BG82" s="253"/>
      <c r="BH82" s="253"/>
      <c r="BI82" s="253"/>
      <c r="BJ82" s="253"/>
      <c r="BK82" s="253"/>
      <c r="BL82" s="253"/>
      <c r="BM82" s="253"/>
      <c r="BN82" s="253"/>
      <c r="BO82" s="253"/>
      <c r="BP82" s="253"/>
      <c r="BQ82" s="253"/>
      <c r="BR82" s="253"/>
      <c r="BS82" s="253"/>
      <c r="BT82" s="253"/>
      <c r="BU82" s="253"/>
      <c r="BV82" s="253"/>
      <c r="BW82" s="253"/>
      <c r="BX82" s="253"/>
      <c r="BY82" s="253"/>
      <c r="BZ82" s="253"/>
      <c r="CA82" s="253"/>
      <c r="CB82" s="253"/>
      <c r="CC82" s="253"/>
      <c r="CD82" s="253"/>
      <c r="CE82" s="253"/>
      <c r="CF82" s="253"/>
      <c r="CG82" s="253"/>
      <c r="CH82" s="253"/>
      <c r="CI82" s="253"/>
      <c r="CJ82" s="253"/>
      <c r="CK82" s="253"/>
      <c r="CL82" s="253"/>
      <c r="CM82" s="253"/>
      <c r="CN82" s="253"/>
      <c r="CO82" s="253"/>
      <c r="CP82" s="253"/>
      <c r="CQ82" s="253"/>
      <c r="CR82" s="253"/>
      <c r="CS82" s="253"/>
      <c r="CT82" s="253"/>
      <c r="CU82" s="253"/>
      <c r="CV82" s="253"/>
      <c r="CW82" s="253"/>
      <c r="CX82" s="253"/>
      <c r="CY82" s="253"/>
      <c r="CZ82" s="253"/>
      <c r="DA82" s="253"/>
      <c r="DB82" s="253"/>
      <c r="DC82" s="253"/>
      <c r="DD82" s="253"/>
      <c r="DE82" s="253"/>
      <c r="DF82" s="253"/>
      <c r="DG82" s="253"/>
      <c r="DH82" s="253"/>
      <c r="DI82" s="253"/>
      <c r="DJ82" s="253"/>
      <c r="DK82" s="253"/>
      <c r="DL82" s="253"/>
      <c r="DM82" s="253"/>
      <c r="DN82" s="253"/>
      <c r="DO82" s="253"/>
      <c r="DP82" s="253"/>
      <c r="DQ82" s="253"/>
      <c r="DR82" s="253"/>
      <c r="DS82" s="253"/>
      <c r="DT82" s="253"/>
      <c r="DU82" s="253"/>
      <c r="DV82" s="253"/>
      <c r="DW82" s="253"/>
      <c r="DX82" s="253"/>
      <c r="DY82" s="253"/>
      <c r="DZ82" s="255">
        <v>0</v>
      </c>
      <c r="EA82" s="253"/>
      <c r="EB82" s="253"/>
      <c r="EC82" s="253"/>
      <c r="ED82" s="253"/>
      <c r="EE82" s="253"/>
      <c r="EF82" s="253"/>
      <c r="EG82" s="253"/>
      <c r="EH82" s="253"/>
      <c r="EI82" s="253"/>
      <c r="EJ82" s="253"/>
      <c r="EK82" s="253"/>
      <c r="EL82" s="253"/>
      <c r="EM82" s="253"/>
      <c r="EN82" s="253"/>
      <c r="EO82" s="253"/>
      <c r="EP82" s="253"/>
      <c r="EQ82" s="253"/>
      <c r="ER82" s="253"/>
      <c r="ES82" s="253"/>
      <c r="ET82" s="253"/>
      <c r="EU82" s="253"/>
      <c r="EV82" s="253"/>
      <c r="EW82" s="253"/>
      <c r="EX82" s="253"/>
      <c r="EY82" s="253"/>
      <c r="EZ82" s="253"/>
      <c r="FA82" s="253"/>
      <c r="FB82" s="253"/>
      <c r="FC82" s="253"/>
      <c r="FD82" s="253"/>
      <c r="FE82" s="253"/>
      <c r="FF82" s="253"/>
      <c r="FG82" s="253"/>
      <c r="FH82" s="253"/>
      <c r="FI82" s="253"/>
      <c r="FJ82" s="253"/>
      <c r="FK82" s="253"/>
      <c r="FL82" s="253"/>
      <c r="FM82" s="262"/>
      <c r="FN82" s="257" t="s">
        <v>1216</v>
      </c>
      <c r="FO82" s="258" t="s">
        <v>389</v>
      </c>
      <c r="FP82" s="258" t="s">
        <v>864</v>
      </c>
      <c r="FQ82" s="258" t="s">
        <v>432</v>
      </c>
      <c r="FR82" s="259">
        <v>0</v>
      </c>
      <c r="FS82" s="260" t="s">
        <v>433</v>
      </c>
      <c r="FT82" s="260"/>
    </row>
    <row r="83" spans="1:179">
      <c r="A83" s="251" t="s">
        <v>385</v>
      </c>
      <c r="B83" s="251" t="s">
        <v>411</v>
      </c>
      <c r="C83" s="251" t="s">
        <v>291</v>
      </c>
      <c r="D83" s="252" t="s">
        <v>447</v>
      </c>
      <c r="E83" s="251" t="s">
        <v>388</v>
      </c>
      <c r="F83" s="251" t="s">
        <v>1244</v>
      </c>
      <c r="G83" s="253"/>
      <c r="H83" s="253"/>
      <c r="I83" s="253"/>
      <c r="J83" s="253"/>
      <c r="K83" s="253"/>
      <c r="L83" s="253"/>
      <c r="M83" s="253"/>
      <c r="N83" s="253"/>
      <c r="O83" s="253"/>
      <c r="P83" s="253"/>
      <c r="Q83" s="253"/>
      <c r="R83" s="253"/>
      <c r="S83" s="253"/>
      <c r="T83" s="253"/>
      <c r="U83" s="253"/>
      <c r="V83" s="253"/>
      <c r="W83" s="253"/>
      <c r="X83" s="253"/>
      <c r="Y83" s="253"/>
      <c r="Z83" s="253"/>
      <c r="AA83" s="253"/>
      <c r="AB83" s="253"/>
      <c r="AC83" s="255">
        <f>100-100</f>
        <v>0</v>
      </c>
      <c r="AD83" s="253"/>
      <c r="AE83" s="253"/>
      <c r="AF83" s="255">
        <f>100-100</f>
        <v>0</v>
      </c>
      <c r="AG83" s="253"/>
      <c r="AH83" s="253"/>
      <c r="AI83" s="253"/>
      <c r="AJ83" s="253"/>
      <c r="AK83" s="253"/>
      <c r="AL83" s="253"/>
      <c r="AM83" s="253"/>
      <c r="AN83" s="253"/>
      <c r="AO83" s="253"/>
      <c r="AP83" s="253"/>
      <c r="AQ83" s="253"/>
      <c r="AR83" s="253"/>
      <c r="AS83" s="253"/>
      <c r="AT83" s="253"/>
      <c r="AU83" s="253"/>
      <c r="AV83" s="253"/>
      <c r="AW83" s="253"/>
      <c r="AX83" s="253"/>
      <c r="AY83" s="253"/>
      <c r="AZ83" s="253"/>
      <c r="BA83" s="253"/>
      <c r="BB83" s="253"/>
      <c r="BC83" s="253"/>
      <c r="BD83" s="253"/>
      <c r="BE83" s="253"/>
      <c r="BF83" s="253"/>
      <c r="BG83" s="253"/>
      <c r="BH83" s="253"/>
      <c r="BI83" s="253"/>
      <c r="BJ83" s="253"/>
      <c r="BK83" s="253"/>
      <c r="BL83" s="253"/>
      <c r="BM83" s="253"/>
      <c r="BN83" s="253"/>
      <c r="BO83" s="253"/>
      <c r="BP83" s="253"/>
      <c r="BQ83" s="253"/>
      <c r="BR83" s="253"/>
      <c r="BS83" s="253"/>
      <c r="BT83" s="253"/>
      <c r="BU83" s="253"/>
      <c r="BV83" s="253"/>
      <c r="BW83" s="253"/>
      <c r="BX83" s="253"/>
      <c r="BY83" s="253"/>
      <c r="BZ83" s="253"/>
      <c r="CA83" s="253"/>
      <c r="CB83" s="253"/>
      <c r="CC83" s="253"/>
      <c r="CD83" s="253"/>
      <c r="CE83" s="253"/>
      <c r="CF83" s="253"/>
      <c r="CG83" s="253"/>
      <c r="CH83" s="253"/>
      <c r="CI83" s="253"/>
      <c r="CJ83" s="253"/>
      <c r="CK83" s="253"/>
      <c r="CL83" s="253"/>
      <c r="CM83" s="253"/>
      <c r="CN83" s="253"/>
      <c r="CO83" s="253"/>
      <c r="CP83" s="253"/>
      <c r="CQ83" s="253"/>
      <c r="CR83" s="253"/>
      <c r="CS83" s="253"/>
      <c r="CT83" s="253"/>
      <c r="CU83" s="253"/>
      <c r="CV83" s="253"/>
      <c r="CW83" s="253"/>
      <c r="CX83" s="253"/>
      <c r="CY83" s="253"/>
      <c r="CZ83" s="253"/>
      <c r="DA83" s="253"/>
      <c r="DB83" s="253"/>
      <c r="DC83" s="253"/>
      <c r="DD83" s="253"/>
      <c r="DE83" s="253"/>
      <c r="DF83" s="253"/>
      <c r="DG83" s="253"/>
      <c r="DH83" s="253"/>
      <c r="DI83" s="253"/>
      <c r="DJ83" s="253"/>
      <c r="DK83" s="253"/>
      <c r="DL83" s="253"/>
      <c r="DM83" s="253"/>
      <c r="DN83" s="253"/>
      <c r="DO83" s="253"/>
      <c r="DP83" s="253"/>
      <c r="DQ83" s="253"/>
      <c r="DR83" s="253"/>
      <c r="DS83" s="253"/>
      <c r="DT83" s="253"/>
      <c r="DU83" s="253"/>
      <c r="DV83" s="253"/>
      <c r="DW83" s="253"/>
      <c r="DX83" s="253"/>
      <c r="DY83" s="253"/>
      <c r="DZ83" s="253"/>
      <c r="EA83" s="253"/>
      <c r="EB83" s="253"/>
      <c r="EC83" s="253"/>
      <c r="ED83" s="253"/>
      <c r="EE83" s="253"/>
      <c r="EF83" s="253"/>
      <c r="EG83" s="253"/>
      <c r="EH83" s="253"/>
      <c r="EI83" s="253"/>
      <c r="EJ83" s="253"/>
      <c r="EK83" s="253"/>
      <c r="EL83" s="253"/>
      <c r="EM83" s="253"/>
      <c r="EN83" s="253"/>
      <c r="EO83" s="253"/>
      <c r="EP83" s="253"/>
      <c r="EQ83" s="253"/>
      <c r="ER83" s="253"/>
      <c r="ES83" s="253"/>
      <c r="ET83" s="253"/>
      <c r="EU83" s="253"/>
      <c r="EV83" s="253"/>
      <c r="EW83" s="253"/>
      <c r="EX83" s="253"/>
      <c r="EY83" s="253"/>
      <c r="EZ83" s="253"/>
      <c r="FA83" s="253"/>
      <c r="FB83" s="253"/>
      <c r="FC83" s="253"/>
      <c r="FD83" s="253"/>
      <c r="FE83" s="253"/>
      <c r="FF83" s="253"/>
      <c r="FG83" s="253"/>
      <c r="FH83" s="253"/>
      <c r="FI83" s="253"/>
      <c r="FJ83" s="253"/>
      <c r="FK83" s="253"/>
      <c r="FL83" s="253"/>
      <c r="FM83" s="262"/>
      <c r="FN83" s="257" t="s">
        <v>1216</v>
      </c>
      <c r="FO83" s="258" t="s">
        <v>389</v>
      </c>
      <c r="FP83" s="258" t="s">
        <v>448</v>
      </c>
      <c r="FQ83" s="258" t="s">
        <v>449</v>
      </c>
      <c r="FR83" s="259">
        <f t="shared" si="5"/>
        <v>0</v>
      </c>
      <c r="FS83" s="260" t="s">
        <v>433</v>
      </c>
      <c r="FT83" s="260"/>
    </row>
    <row r="84" spans="1:179">
      <c r="A84" s="251" t="s">
        <v>385</v>
      </c>
      <c r="B84" s="251" t="s">
        <v>411</v>
      </c>
      <c r="C84" s="251" t="s">
        <v>1</v>
      </c>
      <c r="D84" s="252" t="s">
        <v>447</v>
      </c>
      <c r="E84" s="251" t="s">
        <v>388</v>
      </c>
      <c r="F84" s="251" t="s">
        <v>1244</v>
      </c>
      <c r="G84" s="253"/>
      <c r="H84" s="253"/>
      <c r="I84" s="253"/>
      <c r="J84" s="253"/>
      <c r="K84" s="253"/>
      <c r="L84" s="253"/>
      <c r="M84" s="253"/>
      <c r="N84" s="253"/>
      <c r="O84" s="253"/>
      <c r="P84" s="253"/>
      <c r="Q84" s="253"/>
      <c r="R84" s="253"/>
      <c r="S84" s="253"/>
      <c r="T84" s="253"/>
      <c r="U84" s="253"/>
      <c r="V84" s="253"/>
      <c r="W84" s="253"/>
      <c r="X84" s="253"/>
      <c r="Y84" s="253"/>
      <c r="Z84" s="253"/>
      <c r="AA84" s="253"/>
      <c r="AB84" s="253"/>
      <c r="AC84" s="253"/>
      <c r="AD84" s="253"/>
      <c r="AE84" s="253"/>
      <c r="AF84" s="253"/>
      <c r="AG84" s="253"/>
      <c r="AH84" s="253"/>
      <c r="AI84" s="253"/>
      <c r="AJ84" s="253"/>
      <c r="AK84" s="253"/>
      <c r="AL84" s="253"/>
      <c r="AM84" s="253"/>
      <c r="AN84" s="253"/>
      <c r="AO84" s="253"/>
      <c r="AP84" s="253"/>
      <c r="AQ84" s="253"/>
      <c r="AR84" s="253"/>
      <c r="AS84" s="255">
        <f>100-100</f>
        <v>0</v>
      </c>
      <c r="AT84" s="253"/>
      <c r="AU84" s="253"/>
      <c r="AV84" s="253"/>
      <c r="AW84" s="253"/>
      <c r="AX84" s="253"/>
      <c r="AY84" s="253"/>
      <c r="AZ84" s="253"/>
      <c r="BA84" s="253"/>
      <c r="BB84" s="253"/>
      <c r="BC84" s="253"/>
      <c r="BD84" s="253"/>
      <c r="BE84" s="253"/>
      <c r="BF84" s="253"/>
      <c r="BG84" s="253"/>
      <c r="BH84" s="253"/>
      <c r="BI84" s="253"/>
      <c r="BJ84" s="253"/>
      <c r="BK84" s="253"/>
      <c r="BL84" s="253"/>
      <c r="BM84" s="253"/>
      <c r="BN84" s="253"/>
      <c r="BO84" s="253"/>
      <c r="BP84" s="253"/>
      <c r="BQ84" s="253"/>
      <c r="BR84" s="253"/>
      <c r="BS84" s="253"/>
      <c r="BT84" s="253"/>
      <c r="BU84" s="253"/>
      <c r="BV84" s="253"/>
      <c r="BW84" s="253"/>
      <c r="BX84" s="253"/>
      <c r="BY84" s="253"/>
      <c r="BZ84" s="253"/>
      <c r="CA84" s="253"/>
      <c r="CB84" s="253"/>
      <c r="CC84" s="253"/>
      <c r="CD84" s="253"/>
      <c r="CE84" s="253"/>
      <c r="CF84" s="253"/>
      <c r="CG84" s="253"/>
      <c r="CH84" s="253"/>
      <c r="CI84" s="253"/>
      <c r="CJ84" s="253"/>
      <c r="CK84" s="253"/>
      <c r="CL84" s="253"/>
      <c r="CM84" s="253"/>
      <c r="CN84" s="253"/>
      <c r="CO84" s="253"/>
      <c r="CP84" s="253"/>
      <c r="CQ84" s="253"/>
      <c r="CR84" s="253"/>
      <c r="CS84" s="253"/>
      <c r="CT84" s="253"/>
      <c r="CU84" s="253"/>
      <c r="CV84" s="253"/>
      <c r="CW84" s="253"/>
      <c r="CX84" s="253"/>
      <c r="CY84" s="253"/>
      <c r="CZ84" s="253"/>
      <c r="DA84" s="253"/>
      <c r="DB84" s="253"/>
      <c r="DC84" s="253"/>
      <c r="DD84" s="253"/>
      <c r="DE84" s="253"/>
      <c r="DF84" s="253"/>
      <c r="DG84" s="253"/>
      <c r="DH84" s="253"/>
      <c r="DI84" s="253"/>
      <c r="DJ84" s="253"/>
      <c r="DK84" s="253"/>
      <c r="DL84" s="253"/>
      <c r="DM84" s="253"/>
      <c r="DN84" s="253"/>
      <c r="DO84" s="253"/>
      <c r="DP84" s="253"/>
      <c r="DQ84" s="253"/>
      <c r="DR84" s="253"/>
      <c r="DS84" s="253"/>
      <c r="DT84" s="253"/>
      <c r="DU84" s="253"/>
      <c r="DV84" s="253"/>
      <c r="DW84" s="253"/>
      <c r="DX84" s="253"/>
      <c r="DY84" s="253"/>
      <c r="DZ84" s="253"/>
      <c r="EA84" s="253"/>
      <c r="EB84" s="253"/>
      <c r="EC84" s="253"/>
      <c r="ED84" s="253"/>
      <c r="EE84" s="253"/>
      <c r="EF84" s="253"/>
      <c r="EG84" s="253"/>
      <c r="EH84" s="253"/>
      <c r="EI84" s="253"/>
      <c r="EJ84" s="253"/>
      <c r="EK84" s="253"/>
      <c r="EL84" s="253"/>
      <c r="EM84" s="253"/>
      <c r="EN84" s="253"/>
      <c r="EO84" s="253"/>
      <c r="EP84" s="253"/>
      <c r="EQ84" s="253"/>
      <c r="ER84" s="253"/>
      <c r="ES84" s="253"/>
      <c r="ET84" s="253"/>
      <c r="EU84" s="253"/>
      <c r="EV84" s="253"/>
      <c r="EW84" s="253"/>
      <c r="EX84" s="253"/>
      <c r="EY84" s="253"/>
      <c r="EZ84" s="253"/>
      <c r="FA84" s="253"/>
      <c r="FB84" s="253"/>
      <c r="FC84" s="253"/>
      <c r="FD84" s="253"/>
      <c r="FE84" s="253"/>
      <c r="FF84" s="253"/>
      <c r="FG84" s="253"/>
      <c r="FH84" s="253"/>
      <c r="FI84" s="253"/>
      <c r="FJ84" s="253"/>
      <c r="FK84" s="253"/>
      <c r="FL84" s="253"/>
      <c r="FM84" s="262"/>
      <c r="FN84" s="257" t="s">
        <v>1216</v>
      </c>
      <c r="FO84" s="258" t="s">
        <v>389</v>
      </c>
      <c r="FP84" s="258" t="s">
        <v>448</v>
      </c>
      <c r="FQ84" s="258" t="s">
        <v>449</v>
      </c>
      <c r="FR84" s="259">
        <f t="shared" si="5"/>
        <v>0</v>
      </c>
      <c r="FS84" s="260" t="s">
        <v>433</v>
      </c>
      <c r="FT84" s="260"/>
    </row>
    <row r="85" spans="1:179">
      <c r="A85" s="251" t="s">
        <v>385</v>
      </c>
      <c r="B85" s="251" t="s">
        <v>411</v>
      </c>
      <c r="C85" s="251" t="s">
        <v>1</v>
      </c>
      <c r="D85" s="252" t="s">
        <v>450</v>
      </c>
      <c r="E85" s="251" t="s">
        <v>388</v>
      </c>
      <c r="F85" s="251" t="s">
        <v>1245</v>
      </c>
      <c r="G85" s="253"/>
      <c r="H85" s="253"/>
      <c r="I85" s="253"/>
      <c r="J85" s="253"/>
      <c r="K85" s="253"/>
      <c r="L85" s="253"/>
      <c r="M85" s="253"/>
      <c r="N85" s="253"/>
      <c r="O85" s="253"/>
      <c r="P85" s="253"/>
      <c r="Q85" s="253"/>
      <c r="R85" s="253"/>
      <c r="S85" s="253"/>
      <c r="T85" s="253"/>
      <c r="U85" s="253"/>
      <c r="V85" s="253"/>
      <c r="W85" s="253"/>
      <c r="X85" s="253"/>
      <c r="Y85" s="253"/>
      <c r="Z85" s="253"/>
      <c r="AA85" s="253"/>
      <c r="AB85" s="253"/>
      <c r="AC85" s="253"/>
      <c r="AD85" s="253"/>
      <c r="AE85" s="253"/>
      <c r="AF85" s="253"/>
      <c r="AG85" s="253"/>
      <c r="AH85" s="253"/>
      <c r="AI85" s="253"/>
      <c r="AJ85" s="253"/>
      <c r="AK85" s="253"/>
      <c r="AL85" s="253"/>
      <c r="AM85" s="253"/>
      <c r="AN85" s="253"/>
      <c r="AO85" s="253"/>
      <c r="AP85" s="253"/>
      <c r="AQ85" s="253"/>
      <c r="AR85" s="253"/>
      <c r="AS85" s="255">
        <f>100-100</f>
        <v>0</v>
      </c>
      <c r="AT85" s="253"/>
      <c r="AU85" s="253"/>
      <c r="AV85" s="253"/>
      <c r="AW85" s="253"/>
      <c r="AX85" s="253"/>
      <c r="AY85" s="253"/>
      <c r="AZ85" s="253"/>
      <c r="BA85" s="253"/>
      <c r="BB85" s="253"/>
      <c r="BC85" s="253"/>
      <c r="BD85" s="253"/>
      <c r="BE85" s="253"/>
      <c r="BF85" s="253"/>
      <c r="BG85" s="253"/>
      <c r="BH85" s="253"/>
      <c r="BI85" s="253"/>
      <c r="BJ85" s="253"/>
      <c r="BK85" s="253"/>
      <c r="BL85" s="253"/>
      <c r="BM85" s="253"/>
      <c r="BN85" s="255">
        <f>50-50</f>
        <v>0</v>
      </c>
      <c r="BO85" s="253"/>
      <c r="BP85" s="253"/>
      <c r="BQ85" s="253"/>
      <c r="BR85" s="253"/>
      <c r="BS85" s="253"/>
      <c r="BT85" s="253"/>
      <c r="BU85" s="253"/>
      <c r="BV85" s="253"/>
      <c r="BW85" s="253"/>
      <c r="BX85" s="253"/>
      <c r="BY85" s="253"/>
      <c r="BZ85" s="253"/>
      <c r="CA85" s="253"/>
      <c r="CB85" s="255">
        <f>50-50</f>
        <v>0</v>
      </c>
      <c r="CC85" s="253"/>
      <c r="CD85" s="253"/>
      <c r="CE85" s="253"/>
      <c r="CF85" s="253"/>
      <c r="CG85" s="253"/>
      <c r="CH85" s="253"/>
      <c r="CI85" s="253"/>
      <c r="CJ85" s="253"/>
      <c r="CK85" s="253"/>
      <c r="CL85" s="253"/>
      <c r="CM85" s="253"/>
      <c r="CN85" s="253"/>
      <c r="CO85" s="253"/>
      <c r="CP85" s="253"/>
      <c r="CQ85" s="253"/>
      <c r="CR85" s="253"/>
      <c r="CS85" s="253"/>
      <c r="CT85" s="253"/>
      <c r="CU85" s="253"/>
      <c r="CV85" s="253"/>
      <c r="CW85" s="253"/>
      <c r="CX85" s="253"/>
      <c r="CY85" s="253"/>
      <c r="CZ85" s="253"/>
      <c r="DA85" s="253"/>
      <c r="DB85" s="253"/>
      <c r="DC85" s="253"/>
      <c r="DD85" s="253"/>
      <c r="DE85" s="253"/>
      <c r="DF85" s="253"/>
      <c r="DG85" s="253"/>
      <c r="DH85" s="253"/>
      <c r="DI85" s="253"/>
      <c r="DJ85" s="253"/>
      <c r="DK85" s="253"/>
      <c r="DL85" s="253"/>
      <c r="DM85" s="253"/>
      <c r="DN85" s="253"/>
      <c r="DO85" s="253"/>
      <c r="DP85" s="253"/>
      <c r="DQ85" s="253"/>
      <c r="DR85" s="253"/>
      <c r="DS85" s="253"/>
      <c r="DT85" s="253"/>
      <c r="DU85" s="253"/>
      <c r="DV85" s="253"/>
      <c r="DW85" s="253"/>
      <c r="DX85" s="253"/>
      <c r="DY85" s="253"/>
      <c r="DZ85" s="253"/>
      <c r="EA85" s="253"/>
      <c r="EB85" s="253"/>
      <c r="EC85" s="253"/>
      <c r="ED85" s="253"/>
      <c r="EE85" s="253"/>
      <c r="EF85" s="253"/>
      <c r="EG85" s="253"/>
      <c r="EH85" s="253"/>
      <c r="EI85" s="253"/>
      <c r="EJ85" s="253"/>
      <c r="EK85" s="253"/>
      <c r="EL85" s="253"/>
      <c r="EM85" s="253"/>
      <c r="EN85" s="253"/>
      <c r="EO85" s="253"/>
      <c r="EP85" s="253"/>
      <c r="EQ85" s="253"/>
      <c r="ER85" s="253"/>
      <c r="ES85" s="253"/>
      <c r="ET85" s="253"/>
      <c r="EU85" s="253"/>
      <c r="EV85" s="253"/>
      <c r="EW85" s="253"/>
      <c r="EX85" s="253"/>
      <c r="EY85" s="253"/>
      <c r="EZ85" s="253"/>
      <c r="FA85" s="253"/>
      <c r="FB85" s="253"/>
      <c r="FC85" s="253"/>
      <c r="FD85" s="253"/>
      <c r="FE85" s="253"/>
      <c r="FF85" s="253"/>
      <c r="FG85" s="253"/>
      <c r="FH85" s="253"/>
      <c r="FI85" s="253"/>
      <c r="FJ85" s="253"/>
      <c r="FK85" s="253"/>
      <c r="FL85" s="253"/>
      <c r="FM85" s="262"/>
      <c r="FN85" s="257" t="s">
        <v>1216</v>
      </c>
      <c r="FO85" s="258" t="s">
        <v>389</v>
      </c>
      <c r="FP85" s="258" t="s">
        <v>451</v>
      </c>
      <c r="FQ85" s="258" t="s">
        <v>432</v>
      </c>
      <c r="FR85" s="259">
        <f t="shared" si="5"/>
        <v>0</v>
      </c>
      <c r="FS85" s="260" t="s">
        <v>433</v>
      </c>
      <c r="FT85" s="260"/>
    </row>
    <row r="86" spans="1:179" s="353" customFormat="1">
      <c r="A86" s="365"/>
      <c r="B86" s="365" t="s">
        <v>411</v>
      </c>
      <c r="C86" s="365" t="s">
        <v>291</v>
      </c>
      <c r="D86" s="366"/>
      <c r="E86" s="365"/>
      <c r="F86" s="365"/>
      <c r="G86" s="351"/>
      <c r="H86" s="351"/>
      <c r="I86" s="351"/>
      <c r="J86" s="351"/>
      <c r="K86" s="351"/>
      <c r="L86" s="351"/>
      <c r="M86" s="351">
        <v>90</v>
      </c>
      <c r="N86" s="351">
        <v>90</v>
      </c>
      <c r="O86" s="351"/>
      <c r="P86" s="351"/>
      <c r="Q86" s="351"/>
      <c r="R86" s="351"/>
      <c r="S86" s="351"/>
      <c r="T86" s="351"/>
      <c r="U86" s="351"/>
      <c r="V86" s="351"/>
      <c r="W86" s="351"/>
      <c r="X86" s="351"/>
      <c r="Y86" s="351"/>
      <c r="Z86" s="351"/>
      <c r="AA86" s="351"/>
      <c r="AB86" s="351">
        <v>40</v>
      </c>
      <c r="AC86" s="351"/>
      <c r="AD86" s="351"/>
      <c r="AE86" s="351"/>
      <c r="AF86" s="351"/>
      <c r="AG86" s="351"/>
      <c r="AH86" s="351"/>
      <c r="AI86" s="351"/>
      <c r="AJ86" s="351"/>
      <c r="AK86" s="351">
        <v>60</v>
      </c>
      <c r="AL86" s="351"/>
      <c r="AM86" s="351"/>
      <c r="AN86" s="351"/>
      <c r="AO86" s="351"/>
      <c r="AP86" s="351"/>
      <c r="AQ86" s="351"/>
      <c r="AR86" s="351"/>
      <c r="AS86" s="351"/>
      <c r="AT86" s="351"/>
      <c r="AU86" s="351"/>
      <c r="AV86" s="351"/>
      <c r="AW86" s="351"/>
      <c r="AX86" s="351"/>
      <c r="AY86" s="351"/>
      <c r="AZ86" s="351"/>
      <c r="BA86" s="351"/>
      <c r="BB86" s="351"/>
      <c r="BC86" s="351"/>
      <c r="BD86" s="351"/>
      <c r="BE86" s="351"/>
      <c r="BF86" s="351"/>
      <c r="BG86" s="351"/>
      <c r="BH86" s="351"/>
      <c r="BI86" s="351"/>
      <c r="BJ86" s="351"/>
      <c r="BK86" s="351"/>
      <c r="BL86" s="351"/>
      <c r="BM86" s="351"/>
      <c r="BN86" s="351"/>
      <c r="BO86" s="351"/>
      <c r="BP86" s="351"/>
      <c r="BQ86" s="351"/>
      <c r="BR86" s="351"/>
      <c r="BS86" s="351"/>
      <c r="BT86" s="351"/>
      <c r="BU86" s="351"/>
      <c r="BV86" s="351"/>
      <c r="BW86" s="351"/>
      <c r="BX86" s="351"/>
      <c r="BY86" s="351"/>
      <c r="BZ86" s="351"/>
      <c r="CA86" s="351"/>
      <c r="CB86" s="351"/>
      <c r="CC86" s="351"/>
      <c r="CD86" s="351"/>
      <c r="CE86" s="351"/>
      <c r="CF86" s="351"/>
      <c r="CG86" s="351"/>
      <c r="CH86" s="351"/>
      <c r="CI86" s="351"/>
      <c r="CJ86" s="351"/>
      <c r="CK86" s="351"/>
      <c r="CL86" s="351"/>
      <c r="CM86" s="351"/>
      <c r="CN86" s="351"/>
      <c r="CO86" s="351"/>
      <c r="CP86" s="351"/>
      <c r="CQ86" s="351"/>
      <c r="CR86" s="351"/>
      <c r="CS86" s="351"/>
      <c r="CT86" s="351"/>
      <c r="CU86" s="351"/>
      <c r="CV86" s="351"/>
      <c r="CW86" s="351"/>
      <c r="CX86" s="351"/>
      <c r="CY86" s="351"/>
      <c r="CZ86" s="351"/>
      <c r="DA86" s="351"/>
      <c r="DB86" s="351"/>
      <c r="DC86" s="351"/>
      <c r="DD86" s="351"/>
      <c r="DE86" s="351"/>
      <c r="DF86" s="351"/>
      <c r="DG86" s="351"/>
      <c r="DH86" s="351"/>
      <c r="DI86" s="351"/>
      <c r="DJ86" s="351"/>
      <c r="DK86" s="351"/>
      <c r="DL86" s="351"/>
      <c r="DM86" s="351"/>
      <c r="DN86" s="351"/>
      <c r="DO86" s="351"/>
      <c r="DP86" s="351"/>
      <c r="DQ86" s="351"/>
      <c r="DR86" s="351"/>
      <c r="DS86" s="351"/>
      <c r="DT86" s="351"/>
      <c r="DU86" s="351"/>
      <c r="DV86" s="351"/>
      <c r="DW86" s="351"/>
      <c r="DX86" s="351"/>
      <c r="DY86" s="351"/>
      <c r="DZ86" s="351"/>
      <c r="EA86" s="351"/>
      <c r="EB86" s="351"/>
      <c r="EC86" s="351"/>
      <c r="ED86" s="351"/>
      <c r="EE86" s="351"/>
      <c r="EF86" s="351"/>
      <c r="EG86" s="351"/>
      <c r="EH86" s="351"/>
      <c r="EI86" s="351"/>
      <c r="EJ86" s="351"/>
      <c r="EK86" s="351"/>
      <c r="EL86" s="351"/>
      <c r="EM86" s="351"/>
      <c r="EN86" s="351"/>
      <c r="EO86" s="351"/>
      <c r="EP86" s="351"/>
      <c r="EQ86" s="351"/>
      <c r="ER86" s="351"/>
      <c r="ES86" s="351"/>
      <c r="ET86" s="351"/>
      <c r="EU86" s="351"/>
      <c r="EV86" s="351"/>
      <c r="EW86" s="351"/>
      <c r="EX86" s="351"/>
      <c r="EY86" s="351"/>
      <c r="EZ86" s="351"/>
      <c r="FA86" s="351"/>
      <c r="FB86" s="351"/>
      <c r="FC86" s="351"/>
      <c r="FD86" s="351"/>
      <c r="FE86" s="351"/>
      <c r="FF86" s="351"/>
      <c r="FG86" s="351"/>
      <c r="FH86" s="351"/>
      <c r="FI86" s="351"/>
      <c r="FJ86" s="351"/>
      <c r="FK86" s="351"/>
      <c r="FL86" s="351"/>
      <c r="FM86" s="367"/>
      <c r="FN86" s="368"/>
      <c r="FO86" s="369"/>
      <c r="FP86" s="369"/>
      <c r="FQ86" s="369"/>
      <c r="FR86" s="370">
        <f t="shared" ref="FR86" si="6">SUM(G86:FL86)</f>
        <v>280</v>
      </c>
      <c r="FS86" s="371"/>
      <c r="FT86" s="371"/>
    </row>
    <row r="87" spans="1:179" s="353" customFormat="1">
      <c r="A87" s="365"/>
      <c r="B87" s="365" t="s">
        <v>411</v>
      </c>
      <c r="C87" s="365" t="s">
        <v>1</v>
      </c>
      <c r="D87" s="366"/>
      <c r="E87" s="365"/>
      <c r="F87" s="365"/>
      <c r="G87" s="351"/>
      <c r="H87" s="351"/>
      <c r="I87" s="351"/>
      <c r="J87" s="351"/>
      <c r="K87" s="351"/>
      <c r="L87" s="351"/>
      <c r="M87" s="351"/>
      <c r="N87" s="351"/>
      <c r="O87" s="351">
        <v>90</v>
      </c>
      <c r="P87" s="351"/>
      <c r="Q87" s="351"/>
      <c r="R87" s="351"/>
      <c r="S87" s="351"/>
      <c r="T87" s="351">
        <v>140</v>
      </c>
      <c r="U87" s="351">
        <v>140</v>
      </c>
      <c r="V87" s="351"/>
      <c r="W87" s="351"/>
      <c r="X87" s="351"/>
      <c r="Y87" s="351"/>
      <c r="Z87" s="351"/>
      <c r="AA87" s="351"/>
      <c r="AB87" s="351"/>
      <c r="AC87" s="351"/>
      <c r="AD87" s="351"/>
      <c r="AE87" s="351"/>
      <c r="AF87" s="351"/>
      <c r="AG87" s="351"/>
      <c r="AH87" s="351"/>
      <c r="AI87" s="351"/>
      <c r="AJ87" s="351"/>
      <c r="AK87" s="351"/>
      <c r="AL87" s="351"/>
      <c r="AM87" s="351">
        <v>100</v>
      </c>
      <c r="AN87" s="351"/>
      <c r="AO87" s="351"/>
      <c r="AP87" s="351">
        <v>110</v>
      </c>
      <c r="AQ87" s="351"/>
      <c r="AR87" s="351"/>
      <c r="AS87" s="351">
        <v>550</v>
      </c>
      <c r="AT87" s="351"/>
      <c r="AU87" s="351"/>
      <c r="AV87" s="351"/>
      <c r="AW87" s="351"/>
      <c r="AX87" s="351"/>
      <c r="AY87" s="351">
        <v>200</v>
      </c>
      <c r="AZ87" s="351"/>
      <c r="BA87" s="351"/>
      <c r="BB87" s="351"/>
      <c r="BC87" s="351">
        <v>160</v>
      </c>
      <c r="BD87" s="351"/>
      <c r="BE87" s="351"/>
      <c r="BF87" s="351"/>
      <c r="BG87" s="351"/>
      <c r="BH87" s="351"/>
      <c r="BI87" s="351"/>
      <c r="BJ87" s="351"/>
      <c r="BK87" s="351">
        <v>30</v>
      </c>
      <c r="BL87" s="351"/>
      <c r="BM87" s="351">
        <v>70</v>
      </c>
      <c r="BN87" s="351">
        <v>80</v>
      </c>
      <c r="BO87" s="351"/>
      <c r="BP87" s="351">
        <v>1</v>
      </c>
      <c r="BQ87" s="351">
        <v>2</v>
      </c>
      <c r="BR87" s="351">
        <v>7</v>
      </c>
      <c r="BS87" s="351"/>
      <c r="BT87" s="351"/>
      <c r="BU87" s="351">
        <v>3</v>
      </c>
      <c r="BV87" s="351"/>
      <c r="BW87" s="351"/>
      <c r="BX87" s="351"/>
      <c r="BY87" s="351">
        <v>100</v>
      </c>
      <c r="BZ87" s="351">
        <v>4</v>
      </c>
      <c r="CA87" s="351"/>
      <c r="CB87" s="351">
        <v>200</v>
      </c>
      <c r="CC87" s="351">
        <v>50</v>
      </c>
      <c r="CD87" s="351">
        <v>60</v>
      </c>
      <c r="CE87" s="351"/>
      <c r="CF87" s="351"/>
      <c r="CG87" s="351"/>
      <c r="CH87" s="351">
        <v>1</v>
      </c>
      <c r="CI87" s="351"/>
      <c r="CJ87" s="351"/>
      <c r="CK87" s="351"/>
      <c r="CL87" s="351"/>
      <c r="CM87" s="351"/>
      <c r="CN87" s="351"/>
      <c r="CO87" s="351"/>
      <c r="CP87" s="351"/>
      <c r="CQ87" s="351"/>
      <c r="CR87" s="351"/>
      <c r="CS87" s="351">
        <v>40</v>
      </c>
      <c r="CT87" s="351"/>
      <c r="CU87" s="351"/>
      <c r="CV87" s="351"/>
      <c r="CW87" s="351">
        <v>5</v>
      </c>
      <c r="CX87" s="351">
        <v>20</v>
      </c>
      <c r="CY87" s="351">
        <v>10</v>
      </c>
      <c r="CZ87" s="351"/>
      <c r="DA87" s="351"/>
      <c r="DB87" s="351"/>
      <c r="DC87" s="351">
        <v>20</v>
      </c>
      <c r="DD87" s="351">
        <v>10</v>
      </c>
      <c r="DE87" s="351"/>
      <c r="DF87" s="351"/>
      <c r="DG87" s="351"/>
      <c r="DH87" s="351"/>
      <c r="DI87" s="351"/>
      <c r="DJ87" s="351">
        <v>5</v>
      </c>
      <c r="DK87" s="351"/>
      <c r="DL87" s="351"/>
      <c r="DM87" s="351"/>
      <c r="DN87" s="351"/>
      <c r="DO87" s="351"/>
      <c r="DP87" s="351"/>
      <c r="DQ87" s="351"/>
      <c r="DR87" s="351"/>
      <c r="DS87" s="351"/>
      <c r="DT87" s="351"/>
      <c r="DU87" s="351"/>
      <c r="DV87" s="351"/>
      <c r="DW87" s="351"/>
      <c r="DX87" s="351"/>
      <c r="DY87" s="351"/>
      <c r="DZ87" s="351"/>
      <c r="EA87" s="351"/>
      <c r="EB87" s="351"/>
      <c r="EC87" s="351"/>
      <c r="ED87" s="351"/>
      <c r="EE87" s="351"/>
      <c r="EF87" s="351"/>
      <c r="EG87" s="351"/>
      <c r="EH87" s="351"/>
      <c r="EI87" s="351"/>
      <c r="EJ87" s="351"/>
      <c r="EK87" s="351"/>
      <c r="EL87" s="351"/>
      <c r="EM87" s="351"/>
      <c r="EN87" s="351"/>
      <c r="EO87" s="351">
        <v>85</v>
      </c>
      <c r="EP87" s="351"/>
      <c r="EQ87" s="351">
        <v>100</v>
      </c>
      <c r="ER87" s="351"/>
      <c r="ES87" s="351"/>
      <c r="ET87" s="351">
        <v>25</v>
      </c>
      <c r="EU87" s="351"/>
      <c r="EV87" s="351"/>
      <c r="EW87" s="351"/>
      <c r="EX87" s="351">
        <v>2</v>
      </c>
      <c r="EY87" s="351"/>
      <c r="EZ87" s="351"/>
      <c r="FA87" s="351"/>
      <c r="FB87" s="351"/>
      <c r="FC87" s="351"/>
      <c r="FD87" s="351"/>
      <c r="FE87" s="351"/>
      <c r="FF87" s="351">
        <v>15</v>
      </c>
      <c r="FG87" s="351"/>
      <c r="FH87" s="351"/>
      <c r="FI87" s="351"/>
      <c r="FJ87" s="351"/>
      <c r="FK87" s="351"/>
      <c r="FL87" s="351"/>
      <c r="FM87" s="367"/>
      <c r="FN87" s="368"/>
      <c r="FO87" s="369"/>
      <c r="FP87" s="369"/>
      <c r="FQ87" s="369"/>
      <c r="FR87" s="370">
        <f t="shared" ref="FR87:FR88" si="7">SUM(G87:FL87)</f>
        <v>2435</v>
      </c>
      <c r="FS87" s="371"/>
      <c r="FT87" s="371"/>
    </row>
    <row r="88" spans="1:179" s="353" customFormat="1">
      <c r="A88" s="365"/>
      <c r="B88" s="365" t="s">
        <v>411</v>
      </c>
      <c r="C88" s="365" t="s">
        <v>777</v>
      </c>
      <c r="D88" s="372"/>
      <c r="E88" s="373"/>
      <c r="F88" s="373"/>
      <c r="G88" s="374"/>
      <c r="H88" s="374"/>
      <c r="I88" s="374"/>
      <c r="J88" s="374"/>
      <c r="K88" s="374"/>
      <c r="L88" s="374"/>
      <c r="M88" s="374"/>
      <c r="N88" s="374"/>
      <c r="O88" s="374"/>
      <c r="P88" s="374"/>
      <c r="Q88" s="374"/>
      <c r="R88" s="374"/>
      <c r="S88" s="374"/>
      <c r="T88" s="374"/>
      <c r="U88" s="374"/>
      <c r="V88" s="374"/>
      <c r="W88" s="374"/>
      <c r="X88" s="374"/>
      <c r="Y88" s="374"/>
      <c r="Z88" s="374"/>
      <c r="AA88" s="374"/>
      <c r="AB88" s="374"/>
      <c r="AC88" s="374"/>
      <c r="AD88" s="374"/>
      <c r="AE88" s="374"/>
      <c r="AF88" s="374"/>
      <c r="AG88" s="374"/>
      <c r="AH88" s="374"/>
      <c r="AI88" s="374"/>
      <c r="AJ88" s="374"/>
      <c r="AK88" s="374"/>
      <c r="AL88" s="374"/>
      <c r="AM88" s="374"/>
      <c r="AN88" s="374"/>
      <c r="AO88" s="374"/>
      <c r="AP88" s="374"/>
      <c r="AQ88" s="374"/>
      <c r="AR88" s="374"/>
      <c r="AS88" s="374"/>
      <c r="AT88" s="374"/>
      <c r="AU88" s="374"/>
      <c r="AV88" s="374"/>
      <c r="AW88" s="374"/>
      <c r="AX88" s="374"/>
      <c r="AY88" s="374"/>
      <c r="AZ88" s="374"/>
      <c r="BA88" s="374"/>
      <c r="BB88" s="374"/>
      <c r="BC88" s="374"/>
      <c r="BD88" s="374"/>
      <c r="BE88" s="374"/>
      <c r="BF88" s="374"/>
      <c r="BG88" s="374"/>
      <c r="BH88" s="374"/>
      <c r="BI88" s="374"/>
      <c r="BJ88" s="374"/>
      <c r="BK88" s="374"/>
      <c r="BL88" s="374"/>
      <c r="BM88" s="374"/>
      <c r="BN88" s="374"/>
      <c r="BO88" s="374"/>
      <c r="BP88" s="374"/>
      <c r="BQ88" s="374"/>
      <c r="BR88" s="374"/>
      <c r="BS88" s="374"/>
      <c r="BT88" s="374"/>
      <c r="BU88" s="374"/>
      <c r="BV88" s="374"/>
      <c r="BW88" s="374"/>
      <c r="BX88" s="374"/>
      <c r="BY88" s="374"/>
      <c r="BZ88" s="374"/>
      <c r="CA88" s="374"/>
      <c r="CB88" s="374"/>
      <c r="CC88" s="374"/>
      <c r="CD88" s="374"/>
      <c r="CE88" s="374">
        <v>20</v>
      </c>
      <c r="CF88" s="374">
        <v>20</v>
      </c>
      <c r="CG88" s="374"/>
      <c r="CH88" s="374"/>
      <c r="CI88" s="374"/>
      <c r="CJ88" s="374"/>
      <c r="CK88" s="374"/>
      <c r="CL88" s="374">
        <v>20</v>
      </c>
      <c r="CM88" s="374"/>
      <c r="CN88" s="374"/>
      <c r="CO88" s="374"/>
      <c r="CP88" s="374"/>
      <c r="CQ88" s="374"/>
      <c r="CR88" s="374"/>
      <c r="CS88" s="374"/>
      <c r="CT88" s="374"/>
      <c r="CU88" s="374"/>
      <c r="CV88" s="374"/>
      <c r="CW88" s="374"/>
      <c r="CX88" s="374"/>
      <c r="CY88" s="374"/>
      <c r="CZ88" s="374"/>
      <c r="DA88" s="374"/>
      <c r="DB88" s="374"/>
      <c r="DC88" s="374"/>
      <c r="DD88" s="374"/>
      <c r="DE88" s="374"/>
      <c r="DF88" s="374"/>
      <c r="DG88" s="374"/>
      <c r="DH88" s="374"/>
      <c r="DI88" s="374"/>
      <c r="DJ88" s="374"/>
      <c r="DK88" s="374"/>
      <c r="DL88" s="374"/>
      <c r="DM88" s="374"/>
      <c r="DN88" s="374"/>
      <c r="DO88" s="374"/>
      <c r="DP88" s="374"/>
      <c r="DQ88" s="374"/>
      <c r="DR88" s="374"/>
      <c r="DS88" s="374"/>
      <c r="DT88" s="374"/>
      <c r="DU88" s="374"/>
      <c r="DV88" s="374"/>
      <c r="DW88" s="374"/>
      <c r="DX88" s="374"/>
      <c r="DY88" s="374"/>
      <c r="DZ88" s="374"/>
      <c r="EA88" s="374"/>
      <c r="EB88" s="374"/>
      <c r="EC88" s="374"/>
      <c r="ED88" s="374"/>
      <c r="EE88" s="374"/>
      <c r="EF88" s="374"/>
      <c r="EG88" s="374"/>
      <c r="EH88" s="374"/>
      <c r="EI88" s="374"/>
      <c r="EJ88" s="374"/>
      <c r="EK88" s="374"/>
      <c r="EL88" s="374"/>
      <c r="EM88" s="374"/>
      <c r="EN88" s="374"/>
      <c r="EO88" s="374"/>
      <c r="EP88" s="374"/>
      <c r="EQ88" s="374"/>
      <c r="ER88" s="374"/>
      <c r="ES88" s="374"/>
      <c r="ET88" s="374"/>
      <c r="EU88" s="374"/>
      <c r="EV88" s="374"/>
      <c r="EW88" s="374"/>
      <c r="EX88" s="374"/>
      <c r="EY88" s="374"/>
      <c r="EZ88" s="374"/>
      <c r="FA88" s="374"/>
      <c r="FB88" s="374"/>
      <c r="FC88" s="374"/>
      <c r="FD88" s="374"/>
      <c r="FE88" s="374"/>
      <c r="FF88" s="374"/>
      <c r="FG88" s="374"/>
      <c r="FH88" s="374"/>
      <c r="FI88" s="374"/>
      <c r="FJ88" s="374"/>
      <c r="FK88" s="374"/>
      <c r="FL88" s="374"/>
      <c r="FM88" s="375"/>
      <c r="FN88" s="376"/>
      <c r="FO88" s="377"/>
      <c r="FP88" s="377"/>
      <c r="FQ88" s="377"/>
      <c r="FR88" s="370">
        <f t="shared" si="7"/>
        <v>60</v>
      </c>
      <c r="FS88" s="371"/>
      <c r="FT88" s="371"/>
    </row>
    <row r="89" spans="1:179" s="384" customFormat="1">
      <c r="A89" s="379"/>
      <c r="B89" s="380"/>
      <c r="C89" s="380"/>
      <c r="D89" s="380"/>
      <c r="E89" s="381" t="s">
        <v>994</v>
      </c>
      <c r="F89" s="381"/>
      <c r="G89" s="382">
        <f t="shared" ref="G89:BR89" si="8">SUM(G7:G88)</f>
        <v>140</v>
      </c>
      <c r="H89" s="382">
        <f t="shared" si="8"/>
        <v>0</v>
      </c>
      <c r="I89" s="382">
        <f t="shared" si="8"/>
        <v>0</v>
      </c>
      <c r="J89" s="382">
        <f t="shared" si="8"/>
        <v>0</v>
      </c>
      <c r="K89" s="382">
        <f t="shared" si="8"/>
        <v>2830</v>
      </c>
      <c r="L89" s="382">
        <f t="shared" si="8"/>
        <v>0</v>
      </c>
      <c r="M89" s="382">
        <f t="shared" si="8"/>
        <v>300</v>
      </c>
      <c r="N89" s="382">
        <f t="shared" si="8"/>
        <v>300</v>
      </c>
      <c r="O89" s="382">
        <f t="shared" si="8"/>
        <v>300</v>
      </c>
      <c r="P89" s="382">
        <f t="shared" si="8"/>
        <v>0</v>
      </c>
      <c r="Q89" s="382">
        <f t="shared" si="8"/>
        <v>0</v>
      </c>
      <c r="R89" s="382">
        <f t="shared" si="8"/>
        <v>0</v>
      </c>
      <c r="S89" s="382">
        <f t="shared" si="8"/>
        <v>0</v>
      </c>
      <c r="T89" s="382">
        <f t="shared" si="8"/>
        <v>660</v>
      </c>
      <c r="U89" s="382">
        <f t="shared" si="8"/>
        <v>520</v>
      </c>
      <c r="V89" s="382">
        <f t="shared" si="8"/>
        <v>0</v>
      </c>
      <c r="W89" s="382">
        <f t="shared" si="8"/>
        <v>0</v>
      </c>
      <c r="X89" s="382">
        <f t="shared" si="8"/>
        <v>0</v>
      </c>
      <c r="Y89" s="382">
        <f t="shared" si="8"/>
        <v>0</v>
      </c>
      <c r="Z89" s="382">
        <f t="shared" si="8"/>
        <v>0</v>
      </c>
      <c r="AA89" s="382">
        <f t="shared" si="8"/>
        <v>0</v>
      </c>
      <c r="AB89" s="382">
        <f t="shared" si="8"/>
        <v>40</v>
      </c>
      <c r="AC89" s="382">
        <f t="shared" si="8"/>
        <v>0</v>
      </c>
      <c r="AD89" s="382">
        <f t="shared" si="8"/>
        <v>0</v>
      </c>
      <c r="AE89" s="382">
        <f t="shared" si="8"/>
        <v>0</v>
      </c>
      <c r="AF89" s="382">
        <f t="shared" si="8"/>
        <v>0</v>
      </c>
      <c r="AG89" s="382">
        <f t="shared" si="8"/>
        <v>0</v>
      </c>
      <c r="AH89" s="382">
        <f t="shared" si="8"/>
        <v>0</v>
      </c>
      <c r="AI89" s="382">
        <f t="shared" si="8"/>
        <v>0</v>
      </c>
      <c r="AJ89" s="382">
        <f t="shared" si="8"/>
        <v>0</v>
      </c>
      <c r="AK89" s="382">
        <f t="shared" si="8"/>
        <v>140</v>
      </c>
      <c r="AL89" s="382">
        <f t="shared" si="8"/>
        <v>0</v>
      </c>
      <c r="AM89" s="382">
        <f t="shared" si="8"/>
        <v>100</v>
      </c>
      <c r="AN89" s="382">
        <f t="shared" si="8"/>
        <v>0</v>
      </c>
      <c r="AO89" s="382">
        <f t="shared" si="8"/>
        <v>0</v>
      </c>
      <c r="AP89" s="382">
        <f t="shared" si="8"/>
        <v>110</v>
      </c>
      <c r="AQ89" s="382">
        <f t="shared" si="8"/>
        <v>0</v>
      </c>
      <c r="AR89" s="382">
        <f t="shared" si="8"/>
        <v>0</v>
      </c>
      <c r="AS89" s="382">
        <f t="shared" si="8"/>
        <v>3090</v>
      </c>
      <c r="AT89" s="382">
        <f t="shared" si="8"/>
        <v>0</v>
      </c>
      <c r="AU89" s="382">
        <f t="shared" si="8"/>
        <v>0</v>
      </c>
      <c r="AV89" s="382">
        <f t="shared" si="8"/>
        <v>0</v>
      </c>
      <c r="AW89" s="382">
        <f t="shared" si="8"/>
        <v>0</v>
      </c>
      <c r="AX89" s="382">
        <f t="shared" si="8"/>
        <v>0</v>
      </c>
      <c r="AY89" s="382">
        <f t="shared" si="8"/>
        <v>220</v>
      </c>
      <c r="AZ89" s="382">
        <f t="shared" si="8"/>
        <v>0</v>
      </c>
      <c r="BA89" s="382">
        <f t="shared" si="8"/>
        <v>0</v>
      </c>
      <c r="BB89" s="382">
        <f t="shared" si="8"/>
        <v>0</v>
      </c>
      <c r="BC89" s="382">
        <f t="shared" si="8"/>
        <v>2050</v>
      </c>
      <c r="BD89" s="382">
        <f t="shared" si="8"/>
        <v>20</v>
      </c>
      <c r="BE89" s="382">
        <f t="shared" si="8"/>
        <v>0</v>
      </c>
      <c r="BF89" s="382">
        <f t="shared" si="8"/>
        <v>0</v>
      </c>
      <c r="BG89" s="382">
        <f t="shared" si="8"/>
        <v>0</v>
      </c>
      <c r="BH89" s="382">
        <f t="shared" si="8"/>
        <v>0</v>
      </c>
      <c r="BI89" s="382">
        <f t="shared" si="8"/>
        <v>0</v>
      </c>
      <c r="BJ89" s="382">
        <f t="shared" si="8"/>
        <v>0</v>
      </c>
      <c r="BK89" s="382">
        <f t="shared" si="8"/>
        <v>380</v>
      </c>
      <c r="BL89" s="382">
        <f t="shared" si="8"/>
        <v>7</v>
      </c>
      <c r="BM89" s="382">
        <f t="shared" si="8"/>
        <v>250</v>
      </c>
      <c r="BN89" s="382">
        <f t="shared" si="8"/>
        <v>500</v>
      </c>
      <c r="BO89" s="382">
        <f t="shared" si="8"/>
        <v>10</v>
      </c>
      <c r="BP89" s="382">
        <f t="shared" si="8"/>
        <v>1</v>
      </c>
      <c r="BQ89" s="382">
        <f t="shared" si="8"/>
        <v>2</v>
      </c>
      <c r="BR89" s="382">
        <f t="shared" si="8"/>
        <v>7</v>
      </c>
      <c r="BS89" s="382">
        <f t="shared" ref="BS89:ED89" si="9">SUM(BS7:BS88)</f>
        <v>40</v>
      </c>
      <c r="BT89" s="382">
        <f t="shared" si="9"/>
        <v>40</v>
      </c>
      <c r="BU89" s="382">
        <f t="shared" si="9"/>
        <v>3</v>
      </c>
      <c r="BV89" s="382">
        <f t="shared" si="9"/>
        <v>0</v>
      </c>
      <c r="BW89" s="382">
        <f t="shared" si="9"/>
        <v>0</v>
      </c>
      <c r="BX89" s="382">
        <f t="shared" si="9"/>
        <v>0</v>
      </c>
      <c r="BY89" s="382">
        <f t="shared" si="9"/>
        <v>1155</v>
      </c>
      <c r="BZ89" s="382">
        <f t="shared" si="9"/>
        <v>4</v>
      </c>
      <c r="CA89" s="382">
        <f t="shared" si="9"/>
        <v>0</v>
      </c>
      <c r="CB89" s="382">
        <f t="shared" si="9"/>
        <v>1260</v>
      </c>
      <c r="CC89" s="382">
        <f t="shared" si="9"/>
        <v>390</v>
      </c>
      <c r="CD89" s="382">
        <f t="shared" si="9"/>
        <v>495</v>
      </c>
      <c r="CE89" s="382">
        <f t="shared" si="9"/>
        <v>72</v>
      </c>
      <c r="CF89" s="382">
        <f t="shared" si="9"/>
        <v>75</v>
      </c>
      <c r="CG89" s="382">
        <f t="shared" si="9"/>
        <v>0</v>
      </c>
      <c r="CH89" s="382">
        <f t="shared" si="9"/>
        <v>1</v>
      </c>
      <c r="CI89" s="382">
        <f t="shared" si="9"/>
        <v>0</v>
      </c>
      <c r="CJ89" s="382">
        <f t="shared" si="9"/>
        <v>0</v>
      </c>
      <c r="CK89" s="382">
        <f t="shared" si="9"/>
        <v>0</v>
      </c>
      <c r="CL89" s="382">
        <f t="shared" si="9"/>
        <v>120</v>
      </c>
      <c r="CM89" s="382">
        <f t="shared" si="9"/>
        <v>0</v>
      </c>
      <c r="CN89" s="382">
        <f t="shared" si="9"/>
        <v>0</v>
      </c>
      <c r="CO89" s="382">
        <f t="shared" si="9"/>
        <v>0</v>
      </c>
      <c r="CP89" s="382">
        <f t="shared" si="9"/>
        <v>0</v>
      </c>
      <c r="CQ89" s="382">
        <f t="shared" si="9"/>
        <v>0</v>
      </c>
      <c r="CR89" s="382">
        <f t="shared" si="9"/>
        <v>0</v>
      </c>
      <c r="CS89" s="382">
        <f t="shared" si="9"/>
        <v>380</v>
      </c>
      <c r="CT89" s="382">
        <f t="shared" si="9"/>
        <v>0</v>
      </c>
      <c r="CU89" s="382">
        <f t="shared" si="9"/>
        <v>0</v>
      </c>
      <c r="CV89" s="382">
        <f t="shared" si="9"/>
        <v>0</v>
      </c>
      <c r="CW89" s="382">
        <f t="shared" si="9"/>
        <v>40</v>
      </c>
      <c r="CX89" s="382">
        <f t="shared" si="9"/>
        <v>80</v>
      </c>
      <c r="CY89" s="382">
        <f t="shared" si="9"/>
        <v>90</v>
      </c>
      <c r="CZ89" s="382">
        <f t="shared" si="9"/>
        <v>0</v>
      </c>
      <c r="DA89" s="382">
        <f t="shared" si="9"/>
        <v>0</v>
      </c>
      <c r="DB89" s="382">
        <f t="shared" si="9"/>
        <v>0</v>
      </c>
      <c r="DC89" s="382">
        <f t="shared" si="9"/>
        <v>230</v>
      </c>
      <c r="DD89" s="382">
        <f t="shared" si="9"/>
        <v>60</v>
      </c>
      <c r="DE89" s="382">
        <f t="shared" si="9"/>
        <v>0</v>
      </c>
      <c r="DF89" s="382">
        <f t="shared" si="9"/>
        <v>0</v>
      </c>
      <c r="DG89" s="382">
        <f t="shared" si="9"/>
        <v>0</v>
      </c>
      <c r="DH89" s="382">
        <f t="shared" si="9"/>
        <v>0</v>
      </c>
      <c r="DI89" s="382">
        <f t="shared" si="9"/>
        <v>0</v>
      </c>
      <c r="DJ89" s="382">
        <f t="shared" si="9"/>
        <v>5</v>
      </c>
      <c r="DK89" s="382">
        <f t="shared" si="9"/>
        <v>0</v>
      </c>
      <c r="DL89" s="382">
        <f t="shared" si="9"/>
        <v>0</v>
      </c>
      <c r="DM89" s="382">
        <f t="shared" si="9"/>
        <v>0</v>
      </c>
      <c r="DN89" s="382">
        <f t="shared" si="9"/>
        <v>0</v>
      </c>
      <c r="DO89" s="382">
        <f t="shared" si="9"/>
        <v>0</v>
      </c>
      <c r="DP89" s="382">
        <f t="shared" si="9"/>
        <v>0</v>
      </c>
      <c r="DQ89" s="382">
        <f t="shared" si="9"/>
        <v>0</v>
      </c>
      <c r="DR89" s="382">
        <f t="shared" si="9"/>
        <v>0</v>
      </c>
      <c r="DS89" s="382">
        <f t="shared" si="9"/>
        <v>0</v>
      </c>
      <c r="DT89" s="382">
        <f t="shared" si="9"/>
        <v>0</v>
      </c>
      <c r="DU89" s="382">
        <f t="shared" si="9"/>
        <v>0</v>
      </c>
      <c r="DV89" s="382">
        <f t="shared" si="9"/>
        <v>0</v>
      </c>
      <c r="DW89" s="382">
        <f t="shared" si="9"/>
        <v>0</v>
      </c>
      <c r="DX89" s="382">
        <f t="shared" si="9"/>
        <v>30</v>
      </c>
      <c r="DY89" s="382">
        <f t="shared" si="9"/>
        <v>4290</v>
      </c>
      <c r="DZ89" s="382">
        <f t="shared" si="9"/>
        <v>0</v>
      </c>
      <c r="EA89" s="382">
        <f t="shared" si="9"/>
        <v>0</v>
      </c>
      <c r="EB89" s="382">
        <f t="shared" si="9"/>
        <v>0</v>
      </c>
      <c r="EC89" s="382">
        <f t="shared" si="9"/>
        <v>0</v>
      </c>
      <c r="ED89" s="382">
        <f t="shared" si="9"/>
        <v>0</v>
      </c>
      <c r="EE89" s="382">
        <f t="shared" ref="EE89:FQ89" si="10">SUM(EE7:EE88)</f>
        <v>0</v>
      </c>
      <c r="EF89" s="382">
        <f t="shared" si="10"/>
        <v>0</v>
      </c>
      <c r="EG89" s="382">
        <f t="shared" si="10"/>
        <v>0</v>
      </c>
      <c r="EH89" s="382">
        <f t="shared" si="10"/>
        <v>0</v>
      </c>
      <c r="EI89" s="382">
        <f t="shared" si="10"/>
        <v>0</v>
      </c>
      <c r="EJ89" s="382">
        <f t="shared" si="10"/>
        <v>0</v>
      </c>
      <c r="EK89" s="382">
        <f t="shared" si="10"/>
        <v>0</v>
      </c>
      <c r="EL89" s="382">
        <f t="shared" si="10"/>
        <v>0</v>
      </c>
      <c r="EM89" s="382">
        <f t="shared" si="10"/>
        <v>0</v>
      </c>
      <c r="EN89" s="382">
        <f t="shared" si="10"/>
        <v>0</v>
      </c>
      <c r="EO89" s="382">
        <f t="shared" si="10"/>
        <v>770</v>
      </c>
      <c r="EP89" s="382">
        <f t="shared" si="10"/>
        <v>0</v>
      </c>
      <c r="EQ89" s="382">
        <f t="shared" si="10"/>
        <v>430</v>
      </c>
      <c r="ER89" s="382">
        <f t="shared" si="10"/>
        <v>0</v>
      </c>
      <c r="ES89" s="382">
        <f t="shared" si="10"/>
        <v>0</v>
      </c>
      <c r="ET89" s="382">
        <f t="shared" si="10"/>
        <v>25</v>
      </c>
      <c r="EU89" s="382">
        <f t="shared" si="10"/>
        <v>0</v>
      </c>
      <c r="EV89" s="382">
        <f t="shared" si="10"/>
        <v>0</v>
      </c>
      <c r="EW89" s="382">
        <f t="shared" si="10"/>
        <v>0</v>
      </c>
      <c r="EX89" s="382">
        <f t="shared" si="10"/>
        <v>2</v>
      </c>
      <c r="EY89" s="382">
        <f t="shared" si="10"/>
        <v>0</v>
      </c>
      <c r="EZ89" s="382">
        <f t="shared" si="10"/>
        <v>0</v>
      </c>
      <c r="FA89" s="382">
        <f t="shared" si="10"/>
        <v>0</v>
      </c>
      <c r="FB89" s="382">
        <f t="shared" si="10"/>
        <v>0</v>
      </c>
      <c r="FC89" s="382">
        <f t="shared" si="10"/>
        <v>0</v>
      </c>
      <c r="FD89" s="382">
        <f t="shared" si="10"/>
        <v>0</v>
      </c>
      <c r="FE89" s="382">
        <f t="shared" si="10"/>
        <v>0</v>
      </c>
      <c r="FF89" s="382">
        <f t="shared" si="10"/>
        <v>15</v>
      </c>
      <c r="FG89" s="382">
        <f t="shared" si="10"/>
        <v>0</v>
      </c>
      <c r="FH89" s="382">
        <f t="shared" si="10"/>
        <v>0</v>
      </c>
      <c r="FI89" s="382">
        <f t="shared" si="10"/>
        <v>0</v>
      </c>
      <c r="FJ89" s="382">
        <f t="shared" si="10"/>
        <v>0</v>
      </c>
      <c r="FK89" s="382">
        <f t="shared" si="10"/>
        <v>0</v>
      </c>
      <c r="FL89" s="382">
        <f t="shared" si="10"/>
        <v>0</v>
      </c>
      <c r="FM89" s="382"/>
      <c r="FN89" s="382">
        <f t="shared" si="10"/>
        <v>0</v>
      </c>
      <c r="FO89" s="382">
        <f t="shared" si="10"/>
        <v>0</v>
      </c>
      <c r="FP89" s="382">
        <f t="shared" si="10"/>
        <v>0</v>
      </c>
      <c r="FQ89" s="382">
        <f t="shared" si="10"/>
        <v>0</v>
      </c>
      <c r="FR89" s="382">
        <f>SUM(FR7:FR88)</f>
        <v>22079</v>
      </c>
      <c r="FS89" s="383"/>
      <c r="FT89" s="383"/>
      <c r="FU89" s="383"/>
      <c r="FV89" s="383"/>
      <c r="FW89" s="383"/>
    </row>
    <row r="91" spans="1:179">
      <c r="D91" s="194" t="s">
        <v>770</v>
      </c>
      <c r="M91" s="273">
        <v>40</v>
      </c>
      <c r="N91" s="273">
        <v>40</v>
      </c>
      <c r="O91" s="273">
        <v>40</v>
      </c>
      <c r="T91" s="273">
        <v>20</v>
      </c>
      <c r="U91" s="273">
        <v>80</v>
      </c>
      <c r="AB91" s="273">
        <v>20</v>
      </c>
      <c r="AK91" s="273">
        <v>20</v>
      </c>
      <c r="AM91" s="273">
        <v>60</v>
      </c>
      <c r="AP91" s="273">
        <v>110</v>
      </c>
      <c r="AS91" s="273">
        <v>230</v>
      </c>
      <c r="AY91" s="273">
        <v>200</v>
      </c>
      <c r="BK91" s="273">
        <v>20</v>
      </c>
      <c r="BM91" s="273">
        <v>50</v>
      </c>
      <c r="BN91" s="273">
        <v>10</v>
      </c>
      <c r="BP91" s="273">
        <v>1</v>
      </c>
      <c r="BQ91" s="273">
        <v>2</v>
      </c>
      <c r="BR91" s="273">
        <v>2</v>
      </c>
      <c r="BU91" s="273">
        <v>2</v>
      </c>
      <c r="BY91" s="273">
        <v>60</v>
      </c>
      <c r="CB91" s="273">
        <v>100</v>
      </c>
      <c r="CC91" s="273">
        <v>30</v>
      </c>
      <c r="CD91" s="273">
        <v>40</v>
      </c>
      <c r="CE91" s="273">
        <v>20</v>
      </c>
      <c r="CF91" s="273">
        <v>20</v>
      </c>
      <c r="CL91" s="273">
        <v>20</v>
      </c>
      <c r="CS91" s="273">
        <v>20</v>
      </c>
      <c r="CW91" s="273">
        <v>3</v>
      </c>
      <c r="CX91" s="273">
        <v>20</v>
      </c>
      <c r="CY91" s="273">
        <v>10</v>
      </c>
      <c r="DC91" s="273">
        <v>10</v>
      </c>
      <c r="DD91" s="273">
        <v>10</v>
      </c>
      <c r="DJ91" s="273">
        <v>5</v>
      </c>
      <c r="EO91" s="273">
        <v>50</v>
      </c>
      <c r="EQ91" s="273">
        <v>60</v>
      </c>
      <c r="ET91" s="273">
        <v>20</v>
      </c>
      <c r="EX91" s="273">
        <v>2</v>
      </c>
      <c r="FF91" s="273">
        <v>10</v>
      </c>
      <c r="FR91" s="273">
        <f t="shared" ref="FR91:FR96" si="11">SUM(G91:FL91)</f>
        <v>1457</v>
      </c>
    </row>
    <row r="92" spans="1:179">
      <c r="D92" s="194" t="s">
        <v>769</v>
      </c>
      <c r="M92" s="273">
        <v>40</v>
      </c>
      <c r="T92" s="273">
        <v>20</v>
      </c>
      <c r="U92" s="273">
        <v>10</v>
      </c>
      <c r="AB92" s="273">
        <v>5</v>
      </c>
      <c r="AK92" s="273">
        <v>10</v>
      </c>
      <c r="AM92" s="273">
        <v>10</v>
      </c>
      <c r="AS92" s="273">
        <v>80</v>
      </c>
      <c r="BC92" s="273">
        <v>40</v>
      </c>
      <c r="BK92" s="273">
        <v>2</v>
      </c>
      <c r="BM92" s="273">
        <v>10</v>
      </c>
      <c r="BN92" s="273">
        <v>5</v>
      </c>
      <c r="BR92" s="273">
        <v>1</v>
      </c>
      <c r="BY92" s="273">
        <v>10</v>
      </c>
      <c r="BZ92" s="273">
        <v>2</v>
      </c>
      <c r="CB92" s="273">
        <v>40</v>
      </c>
      <c r="CC92" s="273">
        <v>5</v>
      </c>
      <c r="CD92" s="273">
        <v>5</v>
      </c>
      <c r="CS92" s="273">
        <v>5</v>
      </c>
      <c r="DC92" s="273">
        <v>2</v>
      </c>
      <c r="EO92" s="273">
        <v>15</v>
      </c>
      <c r="EQ92" s="273">
        <v>20</v>
      </c>
      <c r="ET92" s="273">
        <v>5</v>
      </c>
      <c r="FF92" s="273">
        <v>3</v>
      </c>
      <c r="FR92" s="273">
        <f t="shared" si="11"/>
        <v>345</v>
      </c>
    </row>
    <row r="93" spans="1:179">
      <c r="D93" s="194" t="s">
        <v>768</v>
      </c>
      <c r="N93" s="273">
        <v>20</v>
      </c>
      <c r="O93" s="273">
        <v>20</v>
      </c>
      <c r="U93" s="273">
        <v>20</v>
      </c>
      <c r="AB93" s="273">
        <v>5</v>
      </c>
      <c r="AK93" s="273">
        <v>10</v>
      </c>
      <c r="AM93" s="273">
        <v>10</v>
      </c>
      <c r="AS93" s="273">
        <v>60</v>
      </c>
      <c r="BC93" s="273">
        <v>30</v>
      </c>
      <c r="BK93" s="273">
        <v>3</v>
      </c>
      <c r="BM93" s="273">
        <v>10</v>
      </c>
      <c r="BN93" s="273">
        <v>5</v>
      </c>
      <c r="BR93" s="273">
        <v>2</v>
      </c>
      <c r="BY93" s="273">
        <v>10</v>
      </c>
      <c r="CB93" s="273">
        <v>10</v>
      </c>
      <c r="CC93" s="273">
        <v>5</v>
      </c>
      <c r="CD93" s="273">
        <v>5</v>
      </c>
      <c r="CS93" s="273">
        <v>5</v>
      </c>
      <c r="CW93" s="273">
        <v>1</v>
      </c>
      <c r="DC93" s="273">
        <v>3</v>
      </c>
      <c r="EO93" s="273">
        <v>5</v>
      </c>
      <c r="EQ93" s="273">
        <v>10</v>
      </c>
      <c r="FF93" s="273">
        <v>2</v>
      </c>
      <c r="FR93" s="273">
        <f t="shared" si="11"/>
        <v>251</v>
      </c>
    </row>
    <row r="94" spans="1:179">
      <c r="D94" s="194" t="s">
        <v>766</v>
      </c>
      <c r="M94" s="273">
        <v>10</v>
      </c>
      <c r="N94" s="273">
        <v>20</v>
      </c>
      <c r="O94" s="273">
        <v>20</v>
      </c>
      <c r="U94" s="273">
        <v>20</v>
      </c>
      <c r="AB94" s="273">
        <v>5</v>
      </c>
      <c r="AK94" s="273">
        <v>10</v>
      </c>
      <c r="AM94" s="273">
        <v>10</v>
      </c>
      <c r="AS94" s="273">
        <v>120</v>
      </c>
      <c r="BC94" s="273">
        <v>60</v>
      </c>
      <c r="BK94" s="273">
        <v>3</v>
      </c>
      <c r="BN94" s="273">
        <v>10</v>
      </c>
      <c r="BR94" s="273">
        <v>1</v>
      </c>
      <c r="BU94" s="273">
        <v>1</v>
      </c>
      <c r="BY94" s="273">
        <v>10</v>
      </c>
      <c r="BZ94" s="273">
        <v>2</v>
      </c>
      <c r="CB94" s="273">
        <v>20</v>
      </c>
      <c r="CC94" s="273">
        <v>5</v>
      </c>
      <c r="CD94" s="273">
        <v>5</v>
      </c>
      <c r="CH94" s="273">
        <v>1</v>
      </c>
      <c r="CS94" s="273">
        <v>5</v>
      </c>
      <c r="CW94" s="273">
        <v>1</v>
      </c>
      <c r="DC94" s="273">
        <v>3</v>
      </c>
      <c r="EO94" s="273">
        <v>10</v>
      </c>
      <c r="EQ94" s="273">
        <v>5</v>
      </c>
      <c r="FR94" s="273">
        <f t="shared" si="11"/>
        <v>357</v>
      </c>
    </row>
    <row r="95" spans="1:179">
      <c r="A95" s="274"/>
      <c r="B95" s="274"/>
      <c r="C95" s="274"/>
      <c r="D95" s="291" t="s">
        <v>767</v>
      </c>
      <c r="E95" s="274"/>
      <c r="F95" s="274"/>
      <c r="G95" s="274"/>
      <c r="H95" s="274"/>
      <c r="I95" s="274"/>
      <c r="J95" s="274"/>
      <c r="K95" s="274"/>
      <c r="L95" s="274"/>
      <c r="M95" s="274"/>
      <c r="N95" s="274">
        <v>10</v>
      </c>
      <c r="O95" s="274">
        <v>10</v>
      </c>
      <c r="P95" s="274"/>
      <c r="Q95" s="274"/>
      <c r="R95" s="274"/>
      <c r="S95" s="274"/>
      <c r="T95" s="274">
        <v>100</v>
      </c>
      <c r="U95" s="274">
        <v>10</v>
      </c>
      <c r="V95" s="274"/>
      <c r="W95" s="274"/>
      <c r="X95" s="274"/>
      <c r="Y95" s="274"/>
      <c r="Z95" s="274"/>
      <c r="AA95" s="274"/>
      <c r="AB95" s="274">
        <v>5</v>
      </c>
      <c r="AC95" s="274"/>
      <c r="AD95" s="274"/>
      <c r="AE95" s="274"/>
      <c r="AF95" s="274"/>
      <c r="AG95" s="274"/>
      <c r="AH95" s="274"/>
      <c r="AI95" s="274"/>
      <c r="AJ95" s="274"/>
      <c r="AK95" s="274">
        <v>10</v>
      </c>
      <c r="AL95" s="274"/>
      <c r="AM95" s="274">
        <v>10</v>
      </c>
      <c r="AN95" s="274"/>
      <c r="AO95" s="274"/>
      <c r="AP95" s="274"/>
      <c r="AQ95" s="274"/>
      <c r="AR95" s="274"/>
      <c r="AS95" s="274">
        <v>60</v>
      </c>
      <c r="AT95" s="274"/>
      <c r="AU95" s="274"/>
      <c r="AV95" s="274"/>
      <c r="AW95" s="274"/>
      <c r="AX95" s="274"/>
      <c r="AY95" s="274"/>
      <c r="AZ95" s="274"/>
      <c r="BA95" s="274"/>
      <c r="BB95" s="274"/>
      <c r="BC95" s="274">
        <v>30</v>
      </c>
      <c r="BD95" s="274"/>
      <c r="BE95" s="274"/>
      <c r="BF95" s="274"/>
      <c r="BG95" s="274"/>
      <c r="BH95" s="274"/>
      <c r="BI95" s="274"/>
      <c r="BJ95" s="274"/>
      <c r="BK95" s="274">
        <v>2</v>
      </c>
      <c r="BL95" s="274"/>
      <c r="BM95" s="274"/>
      <c r="BN95" s="274">
        <v>50</v>
      </c>
      <c r="BO95" s="274"/>
      <c r="BP95" s="274"/>
      <c r="BQ95" s="274"/>
      <c r="BR95" s="274">
        <v>1</v>
      </c>
      <c r="BS95" s="274"/>
      <c r="BT95" s="274"/>
      <c r="BU95" s="274"/>
      <c r="BV95" s="274"/>
      <c r="BW95" s="274"/>
      <c r="BX95" s="274"/>
      <c r="BY95" s="274">
        <v>10</v>
      </c>
      <c r="BZ95" s="274"/>
      <c r="CA95" s="274"/>
      <c r="CB95" s="274">
        <v>30</v>
      </c>
      <c r="CC95" s="274">
        <v>5</v>
      </c>
      <c r="CD95" s="274">
        <v>5</v>
      </c>
      <c r="CE95" s="274"/>
      <c r="CF95" s="274"/>
      <c r="CG95" s="274"/>
      <c r="CH95" s="274"/>
      <c r="CI95" s="274"/>
      <c r="CJ95" s="274"/>
      <c r="CK95" s="274"/>
      <c r="CL95" s="274"/>
      <c r="CM95" s="274"/>
      <c r="CN95" s="274"/>
      <c r="CO95" s="274"/>
      <c r="CP95" s="274"/>
      <c r="CQ95" s="274"/>
      <c r="CR95" s="274"/>
      <c r="CS95" s="274">
        <v>5</v>
      </c>
      <c r="CT95" s="274"/>
      <c r="CU95" s="274"/>
      <c r="CV95" s="274"/>
      <c r="CW95" s="274"/>
      <c r="CX95" s="274"/>
      <c r="CY95" s="274"/>
      <c r="CZ95" s="274"/>
      <c r="DA95" s="274"/>
      <c r="DB95" s="274"/>
      <c r="DC95" s="274">
        <v>2</v>
      </c>
      <c r="DD95" s="274"/>
      <c r="DE95" s="274"/>
      <c r="DF95" s="274"/>
      <c r="DG95" s="274"/>
      <c r="DH95" s="274"/>
      <c r="DI95" s="274"/>
      <c r="DJ95" s="274"/>
      <c r="DK95" s="274"/>
      <c r="DL95" s="274"/>
      <c r="DM95" s="274"/>
      <c r="DN95" s="274"/>
      <c r="DO95" s="274"/>
      <c r="DP95" s="274"/>
      <c r="DQ95" s="274"/>
      <c r="DR95" s="274"/>
      <c r="DS95" s="274"/>
      <c r="DT95" s="274"/>
      <c r="DU95" s="274"/>
      <c r="DV95" s="274"/>
      <c r="DW95" s="274"/>
      <c r="DX95" s="274"/>
      <c r="DY95" s="274"/>
      <c r="DZ95" s="274"/>
      <c r="EA95" s="274"/>
      <c r="EB95" s="274"/>
      <c r="EC95" s="274"/>
      <c r="ED95" s="274"/>
      <c r="EE95" s="274"/>
      <c r="EF95" s="274"/>
      <c r="EG95" s="274"/>
      <c r="EH95" s="274"/>
      <c r="EI95" s="274"/>
      <c r="EJ95" s="274"/>
      <c r="EK95" s="274"/>
      <c r="EL95" s="274"/>
      <c r="EM95" s="274"/>
      <c r="EN95" s="274"/>
      <c r="EO95" s="274">
        <v>5</v>
      </c>
      <c r="EP95" s="274"/>
      <c r="EQ95" s="274">
        <v>5</v>
      </c>
      <c r="ER95" s="274"/>
      <c r="ES95" s="274"/>
      <c r="ET95" s="274"/>
      <c r="EU95" s="274"/>
      <c r="EV95" s="274"/>
      <c r="EW95" s="274"/>
      <c r="EX95" s="274"/>
      <c r="EY95" s="274"/>
      <c r="EZ95" s="274"/>
      <c r="FA95" s="274"/>
      <c r="FB95" s="274"/>
      <c r="FC95" s="274"/>
      <c r="FD95" s="274"/>
      <c r="FE95" s="274"/>
      <c r="FF95" s="274"/>
      <c r="FG95" s="274"/>
      <c r="FH95" s="274"/>
      <c r="FI95" s="274"/>
      <c r="FJ95" s="274"/>
      <c r="FK95" s="274"/>
      <c r="FL95" s="274"/>
      <c r="FM95" s="274"/>
      <c r="FN95" s="274"/>
      <c r="FO95" s="274"/>
      <c r="FP95" s="274"/>
      <c r="FQ95" s="274"/>
      <c r="FR95" s="274">
        <f t="shared" si="11"/>
        <v>365</v>
      </c>
      <c r="FS95" s="274"/>
    </row>
    <row r="96" spans="1:179">
      <c r="D96" s="318" t="s">
        <v>771</v>
      </c>
      <c r="M96" s="273">
        <f>SUBTOTAL(9,M91:M95)</f>
        <v>90</v>
      </c>
      <c r="N96" s="273">
        <f>SUBTOTAL(9,N91:N95)</f>
        <v>90</v>
      </c>
      <c r="O96" s="273">
        <f>SUBTOTAL(9,O91:O95)</f>
        <v>90</v>
      </c>
      <c r="T96" s="273">
        <f>SUBTOTAL(9,T91:T95)</f>
        <v>140</v>
      </c>
      <c r="U96" s="273">
        <f>SUBTOTAL(9,U91:U95)</f>
        <v>140</v>
      </c>
      <c r="AB96" s="273">
        <f>SUBTOTAL(9,AB91:AB95)</f>
        <v>40</v>
      </c>
      <c r="AK96" s="273">
        <f>SUBTOTAL(9,AK91:AK95)</f>
        <v>60</v>
      </c>
      <c r="AM96" s="273">
        <f>SUBTOTAL(9,AM91:AM95)</f>
        <v>100</v>
      </c>
      <c r="AP96" s="273">
        <f>SUBTOTAL(9,AP91:AP95)</f>
        <v>110</v>
      </c>
      <c r="AS96" s="273">
        <f>SUBTOTAL(9,AS91:AS95)</f>
        <v>550</v>
      </c>
      <c r="AY96" s="273">
        <f>SUBTOTAL(9,AY91:AY95)</f>
        <v>200</v>
      </c>
      <c r="BC96" s="273">
        <f>SUBTOTAL(9,BC91:BC95)</f>
        <v>160</v>
      </c>
      <c r="BK96" s="273">
        <f>SUBTOTAL(9,BK91:BK95)</f>
        <v>30</v>
      </c>
      <c r="BM96" s="273">
        <f>SUBTOTAL(9,BM91:BM95)</f>
        <v>70</v>
      </c>
      <c r="BN96" s="273">
        <f>SUBTOTAL(9,BN91:BN95)</f>
        <v>80</v>
      </c>
      <c r="BP96" s="273">
        <f t="shared" ref="BP96:BR96" si="12">SUBTOTAL(9,BP91:BP95)</f>
        <v>1</v>
      </c>
      <c r="BQ96" s="273">
        <f t="shared" si="12"/>
        <v>2</v>
      </c>
      <c r="BR96" s="273">
        <f t="shared" si="12"/>
        <v>7</v>
      </c>
      <c r="BU96" s="273">
        <f t="shared" ref="BU96" si="13">SUBTOTAL(9,BU91:BU95)</f>
        <v>3</v>
      </c>
      <c r="BY96" s="273">
        <f t="shared" ref="BY96:CH96" si="14">SUBTOTAL(9,BY91:BY95)</f>
        <v>100</v>
      </c>
      <c r="BZ96" s="273">
        <f t="shared" si="14"/>
        <v>4</v>
      </c>
      <c r="CB96" s="273">
        <f t="shared" si="14"/>
        <v>200</v>
      </c>
      <c r="CC96" s="273">
        <f t="shared" si="14"/>
        <v>50</v>
      </c>
      <c r="CD96" s="273">
        <f t="shared" si="14"/>
        <v>60</v>
      </c>
      <c r="CE96" s="273">
        <f t="shared" si="14"/>
        <v>20</v>
      </c>
      <c r="CF96" s="273">
        <f t="shared" si="14"/>
        <v>20</v>
      </c>
      <c r="CH96" s="273">
        <f t="shared" si="14"/>
        <v>1</v>
      </c>
      <c r="CL96" s="273">
        <f t="shared" ref="CL96" si="15">SUBTOTAL(9,CL91:CL95)</f>
        <v>20</v>
      </c>
      <c r="CS96" s="273">
        <f t="shared" ref="CS96" si="16">SUBTOTAL(9,CS91:CS95)</f>
        <v>40</v>
      </c>
      <c r="CW96" s="273">
        <f t="shared" ref="CW96" si="17">SUBTOTAL(9,CW91:CW95)</f>
        <v>5</v>
      </c>
      <c r="CX96" s="273">
        <f t="shared" ref="CX96" si="18">SUBTOTAL(9,CX91:CX95)</f>
        <v>20</v>
      </c>
      <c r="CY96" s="273">
        <f t="shared" ref="CY96" si="19">SUBTOTAL(9,CY91:CY95)</f>
        <v>10</v>
      </c>
      <c r="DC96" s="273">
        <f t="shared" ref="DC96:DD96" si="20">SUBTOTAL(9,DC91:DC95)</f>
        <v>20</v>
      </c>
      <c r="DD96" s="273">
        <f t="shared" si="20"/>
        <v>10</v>
      </c>
      <c r="DJ96" s="273">
        <f t="shared" ref="DJ96" si="21">SUBTOTAL(9,DJ91:DJ95)</f>
        <v>5</v>
      </c>
      <c r="EO96" s="273">
        <f t="shared" ref="EO96:EQ96" si="22">SUBTOTAL(9,EO91:EO95)</f>
        <v>85</v>
      </c>
      <c r="EQ96" s="273">
        <f t="shared" si="22"/>
        <v>100</v>
      </c>
      <c r="ET96" s="273">
        <f t="shared" ref="ET96" si="23">SUBTOTAL(9,ET91:ET95)</f>
        <v>25</v>
      </c>
      <c r="EX96" s="273">
        <f t="shared" ref="EX96" si="24">SUBTOTAL(9,EX91:EX95)</f>
        <v>2</v>
      </c>
      <c r="FF96" s="273">
        <f t="shared" ref="FF96" si="25">SUBTOTAL(9,FF91:FF95)</f>
        <v>15</v>
      </c>
      <c r="FR96" s="273">
        <f t="shared" si="11"/>
        <v>2775</v>
      </c>
    </row>
  </sheetData>
  <autoFilter ref="A6:FS89">
    <filterColumn colId="1">
      <filters blank="1">
        <filter val="UA1J"/>
        <filter val="UA1K"/>
      </filters>
    </filterColumn>
  </autoFilter>
  <phoneticPr fontId="1" type="noConversion"/>
  <conditionalFormatting sqref="E5:E6">
    <cfRule type="cellIs" dxfId="783" priority="216" stopIfTrue="1" operator="equal">
      <formula>"E7"</formula>
    </cfRule>
    <cfRule type="cellIs" dxfId="782" priority="217" stopIfTrue="1" operator="equal">
      <formula>"E7A"</formula>
    </cfRule>
  </conditionalFormatting>
  <conditionalFormatting sqref="E88">
    <cfRule type="cellIs" dxfId="781" priority="214" stopIfTrue="1" operator="equal">
      <formula>"E7"</formula>
    </cfRule>
    <cfRule type="cellIs" dxfId="780" priority="215" stopIfTrue="1" operator="equal">
      <formula>"E7A"</formula>
    </cfRule>
  </conditionalFormatting>
  <conditionalFormatting sqref="E7">
    <cfRule type="cellIs" dxfId="779" priority="212" stopIfTrue="1" operator="equal">
      <formula>"E7"</formula>
    </cfRule>
    <cfRule type="cellIs" dxfId="778" priority="213" stopIfTrue="1" operator="equal">
      <formula>"E7A"</formula>
    </cfRule>
  </conditionalFormatting>
  <conditionalFormatting sqref="E8">
    <cfRule type="cellIs" dxfId="777" priority="210" stopIfTrue="1" operator="equal">
      <formula>"E7"</formula>
    </cfRule>
    <cfRule type="cellIs" dxfId="776" priority="211" stopIfTrue="1" operator="equal">
      <formula>"E7A"</formula>
    </cfRule>
  </conditionalFormatting>
  <conditionalFormatting sqref="E84">
    <cfRule type="cellIs" dxfId="775" priority="208" stopIfTrue="1" operator="equal">
      <formula>"E7"</formula>
    </cfRule>
    <cfRule type="cellIs" dxfId="774" priority="209" stopIfTrue="1" operator="equal">
      <formula>"E7A"</formula>
    </cfRule>
  </conditionalFormatting>
  <conditionalFormatting sqref="E9">
    <cfRule type="cellIs" dxfId="773" priority="204" stopIfTrue="1" operator="equal">
      <formula>"E7"</formula>
    </cfRule>
    <cfRule type="cellIs" dxfId="772" priority="205" stopIfTrue="1" operator="equal">
      <formula>"E7A"</formula>
    </cfRule>
  </conditionalFormatting>
  <conditionalFormatting sqref="E83">
    <cfRule type="cellIs" dxfId="771" priority="206" stopIfTrue="1" operator="equal">
      <formula>"E7"</formula>
    </cfRule>
    <cfRule type="cellIs" dxfId="770" priority="207" stopIfTrue="1" operator="equal">
      <formula>"E7A"</formula>
    </cfRule>
  </conditionalFormatting>
  <conditionalFormatting sqref="E81:E82">
    <cfRule type="cellIs" dxfId="769" priority="202" stopIfTrue="1" operator="equal">
      <formula>"E7"</formula>
    </cfRule>
    <cfRule type="cellIs" dxfId="768" priority="203" stopIfTrue="1" operator="equal">
      <formula>"E7A"</formula>
    </cfRule>
  </conditionalFormatting>
  <conditionalFormatting sqref="E85">
    <cfRule type="cellIs" dxfId="767" priority="200" stopIfTrue="1" operator="equal">
      <formula>"E7"</formula>
    </cfRule>
    <cfRule type="cellIs" dxfId="766" priority="201" stopIfTrue="1" operator="equal">
      <formula>"E7A"</formula>
    </cfRule>
  </conditionalFormatting>
  <conditionalFormatting sqref="A7 A87:A88">
    <cfRule type="expression" dxfId="765" priority="199">
      <formula>$B7="A"</formula>
    </cfRule>
  </conditionalFormatting>
  <conditionalFormatting sqref="A8:A9 A81:A85">
    <cfRule type="expression" dxfId="764" priority="198">
      <formula>$B8="A"</formula>
    </cfRule>
  </conditionalFormatting>
  <conditionalFormatting sqref="G6 AS6:EY6 FD6:FE6 FH6:FL6">
    <cfRule type="expression" dxfId="763" priority="192">
      <formula>G257=0</formula>
    </cfRule>
  </conditionalFormatting>
  <conditionalFormatting sqref="A86">
    <cfRule type="expression" dxfId="762" priority="197">
      <formula>$B86="A"</formula>
    </cfRule>
  </conditionalFormatting>
  <conditionalFormatting sqref="E86">
    <cfRule type="cellIs" dxfId="761" priority="195" stopIfTrue="1" operator="equal">
      <formula>"E7"</formula>
    </cfRule>
    <cfRule type="cellIs" dxfId="760" priority="196" stopIfTrue="1" operator="equal">
      <formula>"E7A"</formula>
    </cfRule>
  </conditionalFormatting>
  <conditionalFormatting sqref="E87">
    <cfRule type="cellIs" dxfId="759" priority="193" stopIfTrue="1" operator="equal">
      <formula>"E7"</formula>
    </cfRule>
    <cfRule type="cellIs" dxfId="758" priority="194" stopIfTrue="1" operator="equal">
      <formula>"E7A"</formula>
    </cfRule>
  </conditionalFormatting>
  <conditionalFormatting sqref="H6:K6">
    <cfRule type="expression" dxfId="757" priority="191">
      <formula>H257=0</formula>
    </cfRule>
  </conditionalFormatting>
  <conditionalFormatting sqref="G1:K1 AS1:EY1 FD1:FE1 FH1:FL1">
    <cfRule type="duplicateValues" dxfId="756" priority="190"/>
  </conditionalFormatting>
  <conditionalFormatting sqref="H1:J1">
    <cfRule type="duplicateValues" dxfId="755" priority="189"/>
  </conditionalFormatting>
  <conditionalFormatting sqref="AU1">
    <cfRule type="duplicateValues" dxfId="754" priority="188"/>
  </conditionalFormatting>
  <conditionalFormatting sqref="E73">
    <cfRule type="cellIs" dxfId="753" priority="186" stopIfTrue="1" operator="equal">
      <formula>"E7"</formula>
    </cfRule>
    <cfRule type="cellIs" dxfId="752" priority="187" stopIfTrue="1" operator="equal">
      <formula>"E7A"</formula>
    </cfRule>
  </conditionalFormatting>
  <conditionalFormatting sqref="E72">
    <cfRule type="cellIs" dxfId="751" priority="184" stopIfTrue="1" operator="equal">
      <formula>"E7"</formula>
    </cfRule>
    <cfRule type="cellIs" dxfId="750" priority="185" stopIfTrue="1" operator="equal">
      <formula>"E7A"</formula>
    </cfRule>
  </conditionalFormatting>
  <conditionalFormatting sqref="E10">
    <cfRule type="cellIs" dxfId="749" priority="182" stopIfTrue="1" operator="equal">
      <formula>"E7"</formula>
    </cfRule>
    <cfRule type="cellIs" dxfId="748" priority="183" stopIfTrue="1" operator="equal">
      <formula>"E7A"</formula>
    </cfRule>
  </conditionalFormatting>
  <conditionalFormatting sqref="E74">
    <cfRule type="cellIs" dxfId="747" priority="180" stopIfTrue="1" operator="equal">
      <formula>"E7"</formula>
    </cfRule>
    <cfRule type="cellIs" dxfId="746" priority="181" stopIfTrue="1" operator="equal">
      <formula>"E7A"</formula>
    </cfRule>
  </conditionalFormatting>
  <conditionalFormatting sqref="A10 A72:A74">
    <cfRule type="expression" dxfId="745" priority="179">
      <formula>$B10="A"</formula>
    </cfRule>
  </conditionalFormatting>
  <conditionalFormatting sqref="A75">
    <cfRule type="expression" dxfId="744" priority="178">
      <formula>$B75="A"</formula>
    </cfRule>
  </conditionalFormatting>
  <conditionalFormatting sqref="E75">
    <cfRule type="cellIs" dxfId="743" priority="176" stopIfTrue="1" operator="equal">
      <formula>"E7"</formula>
    </cfRule>
    <cfRule type="cellIs" dxfId="742" priority="177" stopIfTrue="1" operator="equal">
      <formula>"E7A"</formula>
    </cfRule>
  </conditionalFormatting>
  <conditionalFormatting sqref="E79">
    <cfRule type="cellIs" dxfId="741" priority="174" stopIfTrue="1" operator="equal">
      <formula>"E7"</formula>
    </cfRule>
    <cfRule type="cellIs" dxfId="740" priority="175" stopIfTrue="1" operator="equal">
      <formula>"E7A"</formula>
    </cfRule>
  </conditionalFormatting>
  <conditionalFormatting sqref="E80">
    <cfRule type="cellIs" dxfId="739" priority="172" stopIfTrue="1" operator="equal">
      <formula>"E7"</formula>
    </cfRule>
    <cfRule type="cellIs" dxfId="738" priority="173" stopIfTrue="1" operator="equal">
      <formula>"E7A"</formula>
    </cfRule>
  </conditionalFormatting>
  <conditionalFormatting sqref="A76:A80">
    <cfRule type="expression" dxfId="737" priority="171">
      <formula>$B76="A"</formula>
    </cfRule>
  </conditionalFormatting>
  <conditionalFormatting sqref="E76">
    <cfRule type="cellIs" dxfId="736" priority="169" stopIfTrue="1" operator="equal">
      <formula>"E7"</formula>
    </cfRule>
    <cfRule type="cellIs" dxfId="735" priority="170" stopIfTrue="1" operator="equal">
      <formula>"E7A"</formula>
    </cfRule>
  </conditionalFormatting>
  <conditionalFormatting sqref="E77">
    <cfRule type="cellIs" dxfId="734" priority="167" stopIfTrue="1" operator="equal">
      <formula>"E7"</formula>
    </cfRule>
    <cfRule type="cellIs" dxfId="733" priority="168" stopIfTrue="1" operator="equal">
      <formula>"E7A"</formula>
    </cfRule>
  </conditionalFormatting>
  <conditionalFormatting sqref="E78">
    <cfRule type="cellIs" dxfId="732" priority="165" stopIfTrue="1" operator="equal">
      <formula>"E7"</formula>
    </cfRule>
    <cfRule type="cellIs" dxfId="731" priority="166" stopIfTrue="1" operator="equal">
      <formula>"E7A"</formula>
    </cfRule>
  </conditionalFormatting>
  <conditionalFormatting sqref="G4">
    <cfRule type="duplicateValues" dxfId="730" priority="164"/>
  </conditionalFormatting>
  <conditionalFormatting sqref="H4:K4 AS4:EY4 FD4:FE4 FH4:FL4">
    <cfRule type="duplicateValues" dxfId="729" priority="163"/>
  </conditionalFormatting>
  <conditionalFormatting sqref="AH6:AR6">
    <cfRule type="expression" dxfId="728" priority="162">
      <formula>AH257=0</formula>
    </cfRule>
  </conditionalFormatting>
  <conditionalFormatting sqref="AH1:AR1">
    <cfRule type="duplicateValues" dxfId="727" priority="161"/>
  </conditionalFormatting>
  <conditionalFormatting sqref="AJ1">
    <cfRule type="duplicateValues" dxfId="726" priority="160"/>
  </conditionalFormatting>
  <conditionalFormatting sqref="AH4:AR4">
    <cfRule type="duplicateValues" dxfId="725" priority="159"/>
  </conditionalFormatting>
  <conditionalFormatting sqref="W6:AG6">
    <cfRule type="expression" dxfId="724" priority="158">
      <formula>W257=0</formula>
    </cfRule>
  </conditionalFormatting>
  <conditionalFormatting sqref="W1:AG1">
    <cfRule type="duplicateValues" dxfId="723" priority="157"/>
  </conditionalFormatting>
  <conditionalFormatting sqref="Y1">
    <cfRule type="duplicateValues" dxfId="722" priority="156"/>
  </conditionalFormatting>
  <conditionalFormatting sqref="W4:AG4">
    <cfRule type="duplicateValues" dxfId="721" priority="155"/>
  </conditionalFormatting>
  <conditionalFormatting sqref="L6:V6">
    <cfRule type="expression" dxfId="720" priority="154">
      <formula>L257=0</formula>
    </cfRule>
  </conditionalFormatting>
  <conditionalFormatting sqref="L1:V1">
    <cfRule type="duplicateValues" dxfId="719" priority="153"/>
  </conditionalFormatting>
  <conditionalFormatting sqref="N1">
    <cfRule type="duplicateValues" dxfId="718" priority="152"/>
  </conditionalFormatting>
  <conditionalFormatting sqref="L4:V4">
    <cfRule type="duplicateValues" dxfId="717" priority="151"/>
  </conditionalFormatting>
  <conditionalFormatting sqref="E59">
    <cfRule type="cellIs" dxfId="716" priority="149" stopIfTrue="1" operator="equal">
      <formula>"E7"</formula>
    </cfRule>
    <cfRule type="cellIs" dxfId="715" priority="150" stopIfTrue="1" operator="equal">
      <formula>"E7A"</formula>
    </cfRule>
  </conditionalFormatting>
  <conditionalFormatting sqref="E58">
    <cfRule type="cellIs" dxfId="714" priority="147" stopIfTrue="1" operator="equal">
      <formula>"E7"</formula>
    </cfRule>
    <cfRule type="cellIs" dxfId="713" priority="148" stopIfTrue="1" operator="equal">
      <formula>"E7A"</formula>
    </cfRule>
  </conditionalFormatting>
  <conditionalFormatting sqref="E57">
    <cfRule type="cellIs" dxfId="712" priority="145" stopIfTrue="1" operator="equal">
      <formula>"E7"</formula>
    </cfRule>
    <cfRule type="cellIs" dxfId="711" priority="146" stopIfTrue="1" operator="equal">
      <formula>"E7A"</formula>
    </cfRule>
  </conditionalFormatting>
  <conditionalFormatting sqref="E60">
    <cfRule type="cellIs" dxfId="710" priority="143" stopIfTrue="1" operator="equal">
      <formula>"E7"</formula>
    </cfRule>
    <cfRule type="cellIs" dxfId="709" priority="144" stopIfTrue="1" operator="equal">
      <formula>"E7A"</formula>
    </cfRule>
  </conditionalFormatting>
  <conditionalFormatting sqref="A68">
    <cfRule type="expression" dxfId="708" priority="142">
      <formula>$B68="A"</formula>
    </cfRule>
  </conditionalFormatting>
  <conditionalFormatting sqref="A57:A60">
    <cfRule type="expression" dxfId="707" priority="141">
      <formula>$B57="A"</formula>
    </cfRule>
  </conditionalFormatting>
  <conditionalFormatting sqref="E68">
    <cfRule type="cellIs" dxfId="706" priority="139" stopIfTrue="1" operator="equal">
      <formula>"E7"</formula>
    </cfRule>
    <cfRule type="cellIs" dxfId="705" priority="140" stopIfTrue="1" operator="equal">
      <formula>"E7A"</formula>
    </cfRule>
  </conditionalFormatting>
  <conditionalFormatting sqref="A69:A71">
    <cfRule type="expression" dxfId="704" priority="138">
      <formula>$B69="A"</formula>
    </cfRule>
  </conditionalFormatting>
  <conditionalFormatting sqref="E69">
    <cfRule type="cellIs" dxfId="703" priority="136" stopIfTrue="1" operator="equal">
      <formula>"E7"</formula>
    </cfRule>
    <cfRule type="cellIs" dxfId="702" priority="137" stopIfTrue="1" operator="equal">
      <formula>"E7A"</formula>
    </cfRule>
  </conditionalFormatting>
  <conditionalFormatting sqref="E70">
    <cfRule type="cellIs" dxfId="701" priority="134" stopIfTrue="1" operator="equal">
      <formula>"E7"</formula>
    </cfRule>
    <cfRule type="cellIs" dxfId="700" priority="135" stopIfTrue="1" operator="equal">
      <formula>"E7A"</formula>
    </cfRule>
  </conditionalFormatting>
  <conditionalFormatting sqref="E71">
    <cfRule type="cellIs" dxfId="699" priority="132" stopIfTrue="1" operator="equal">
      <formula>"E7"</formula>
    </cfRule>
    <cfRule type="cellIs" dxfId="698" priority="133" stopIfTrue="1" operator="equal">
      <formula>"E7A"</formula>
    </cfRule>
  </conditionalFormatting>
  <conditionalFormatting sqref="A61">
    <cfRule type="expression" dxfId="697" priority="131">
      <formula>$B61="A"</formula>
    </cfRule>
  </conditionalFormatting>
  <conditionalFormatting sqref="E61">
    <cfRule type="cellIs" dxfId="696" priority="129" stopIfTrue="1" operator="equal">
      <formula>"E7"</formula>
    </cfRule>
    <cfRule type="cellIs" dxfId="695" priority="130" stopIfTrue="1" operator="equal">
      <formula>"E7A"</formula>
    </cfRule>
  </conditionalFormatting>
  <conditionalFormatting sqref="E65">
    <cfRule type="cellIs" dxfId="694" priority="127" stopIfTrue="1" operator="equal">
      <formula>"E7"</formula>
    </cfRule>
    <cfRule type="cellIs" dxfId="693" priority="128" stopIfTrue="1" operator="equal">
      <formula>"E7A"</formula>
    </cfRule>
  </conditionalFormatting>
  <conditionalFormatting sqref="E66">
    <cfRule type="cellIs" dxfId="692" priority="125" stopIfTrue="1" operator="equal">
      <formula>"E7"</formula>
    </cfRule>
    <cfRule type="cellIs" dxfId="691" priority="126" stopIfTrue="1" operator="equal">
      <formula>"E7A"</formula>
    </cfRule>
  </conditionalFormatting>
  <conditionalFormatting sqref="E67">
    <cfRule type="cellIs" dxfId="690" priority="123" stopIfTrue="1" operator="equal">
      <formula>"E7"</formula>
    </cfRule>
    <cfRule type="cellIs" dxfId="689" priority="124" stopIfTrue="1" operator="equal">
      <formula>"E7A"</formula>
    </cfRule>
  </conditionalFormatting>
  <conditionalFormatting sqref="A62:A67">
    <cfRule type="expression" dxfId="688" priority="122">
      <formula>$B62="A"</formula>
    </cfRule>
  </conditionalFormatting>
  <conditionalFormatting sqref="E62">
    <cfRule type="cellIs" dxfId="687" priority="120" stopIfTrue="1" operator="equal">
      <formula>"E7"</formula>
    </cfRule>
    <cfRule type="cellIs" dxfId="686" priority="121" stopIfTrue="1" operator="equal">
      <formula>"E7A"</formula>
    </cfRule>
  </conditionalFormatting>
  <conditionalFormatting sqref="E63">
    <cfRule type="cellIs" dxfId="685" priority="118" stopIfTrue="1" operator="equal">
      <formula>"E7"</formula>
    </cfRule>
    <cfRule type="cellIs" dxfId="684" priority="119" stopIfTrue="1" operator="equal">
      <formula>"E7A"</formula>
    </cfRule>
  </conditionalFormatting>
  <conditionalFormatting sqref="E64">
    <cfRule type="cellIs" dxfId="683" priority="116" stopIfTrue="1" operator="equal">
      <formula>"E7"</formula>
    </cfRule>
    <cfRule type="cellIs" dxfId="682" priority="117" stopIfTrue="1" operator="equal">
      <formula>"E7A"</formula>
    </cfRule>
  </conditionalFormatting>
  <conditionalFormatting sqref="E49">
    <cfRule type="cellIs" dxfId="681" priority="114" stopIfTrue="1" operator="equal">
      <formula>"E7"</formula>
    </cfRule>
    <cfRule type="cellIs" dxfId="680" priority="115" stopIfTrue="1" operator="equal">
      <formula>"E7A"</formula>
    </cfRule>
  </conditionalFormatting>
  <conditionalFormatting sqref="E48">
    <cfRule type="cellIs" dxfId="679" priority="112" stopIfTrue="1" operator="equal">
      <formula>"E7"</formula>
    </cfRule>
    <cfRule type="cellIs" dxfId="678" priority="113" stopIfTrue="1" operator="equal">
      <formula>"E7A"</formula>
    </cfRule>
  </conditionalFormatting>
  <conditionalFormatting sqref="E50">
    <cfRule type="cellIs" dxfId="677" priority="110" stopIfTrue="1" operator="equal">
      <formula>"E7"</formula>
    </cfRule>
    <cfRule type="cellIs" dxfId="676" priority="111" stopIfTrue="1" operator="equal">
      <formula>"E7A"</formula>
    </cfRule>
  </conditionalFormatting>
  <conditionalFormatting sqref="A48:A50">
    <cfRule type="expression" dxfId="675" priority="109">
      <formula>$B48="A"</formula>
    </cfRule>
  </conditionalFormatting>
  <conditionalFormatting sqref="A51">
    <cfRule type="expression" dxfId="674" priority="108">
      <formula>$B51="A"</formula>
    </cfRule>
  </conditionalFormatting>
  <conditionalFormatting sqref="E51">
    <cfRule type="cellIs" dxfId="673" priority="106" stopIfTrue="1" operator="equal">
      <formula>"E7"</formula>
    </cfRule>
    <cfRule type="cellIs" dxfId="672" priority="107" stopIfTrue="1" operator="equal">
      <formula>"E7A"</formula>
    </cfRule>
  </conditionalFormatting>
  <conditionalFormatting sqref="E55">
    <cfRule type="cellIs" dxfId="671" priority="104" stopIfTrue="1" operator="equal">
      <formula>"E7"</formula>
    </cfRule>
    <cfRule type="cellIs" dxfId="670" priority="105" stopIfTrue="1" operator="equal">
      <formula>"E7A"</formula>
    </cfRule>
  </conditionalFormatting>
  <conditionalFormatting sqref="E56">
    <cfRule type="cellIs" dxfId="669" priority="102" stopIfTrue="1" operator="equal">
      <formula>"E7"</formula>
    </cfRule>
    <cfRule type="cellIs" dxfId="668" priority="103" stopIfTrue="1" operator="equal">
      <formula>"E7A"</formula>
    </cfRule>
  </conditionalFormatting>
  <conditionalFormatting sqref="A52:A56">
    <cfRule type="expression" dxfId="667" priority="101">
      <formula>$B52="A"</formula>
    </cfRule>
  </conditionalFormatting>
  <conditionalFormatting sqref="E52">
    <cfRule type="cellIs" dxfId="666" priority="99" stopIfTrue="1" operator="equal">
      <formula>"E7"</formula>
    </cfRule>
    <cfRule type="cellIs" dxfId="665" priority="100" stopIfTrue="1" operator="equal">
      <formula>"E7A"</formula>
    </cfRule>
  </conditionalFormatting>
  <conditionalFormatting sqref="E53">
    <cfRule type="cellIs" dxfId="664" priority="97" stopIfTrue="1" operator="equal">
      <formula>"E7"</formula>
    </cfRule>
    <cfRule type="cellIs" dxfId="663" priority="98" stopIfTrue="1" operator="equal">
      <formula>"E7A"</formula>
    </cfRule>
  </conditionalFormatting>
  <conditionalFormatting sqref="E54">
    <cfRule type="cellIs" dxfId="662" priority="95" stopIfTrue="1" operator="equal">
      <formula>"E7"</formula>
    </cfRule>
    <cfRule type="cellIs" dxfId="661" priority="96" stopIfTrue="1" operator="equal">
      <formula>"E7A"</formula>
    </cfRule>
  </conditionalFormatting>
  <conditionalFormatting sqref="E35">
    <cfRule type="cellIs" dxfId="660" priority="93" stopIfTrue="1" operator="equal">
      <formula>"E7"</formula>
    </cfRule>
    <cfRule type="cellIs" dxfId="659" priority="94" stopIfTrue="1" operator="equal">
      <formula>"E7A"</formula>
    </cfRule>
  </conditionalFormatting>
  <conditionalFormatting sqref="E34">
    <cfRule type="cellIs" dxfId="658" priority="91" stopIfTrue="1" operator="equal">
      <formula>"E7"</formula>
    </cfRule>
    <cfRule type="cellIs" dxfId="657" priority="92" stopIfTrue="1" operator="equal">
      <formula>"E7A"</formula>
    </cfRule>
  </conditionalFormatting>
  <conditionalFormatting sqref="E33">
    <cfRule type="cellIs" dxfId="656" priority="89" stopIfTrue="1" operator="equal">
      <formula>"E7"</formula>
    </cfRule>
    <cfRule type="cellIs" dxfId="655" priority="90" stopIfTrue="1" operator="equal">
      <formula>"E7A"</formula>
    </cfRule>
  </conditionalFormatting>
  <conditionalFormatting sqref="E36">
    <cfRule type="cellIs" dxfId="654" priority="87" stopIfTrue="1" operator="equal">
      <formula>"E7"</formula>
    </cfRule>
    <cfRule type="cellIs" dxfId="653" priority="88" stopIfTrue="1" operator="equal">
      <formula>"E7A"</formula>
    </cfRule>
  </conditionalFormatting>
  <conditionalFormatting sqref="A44">
    <cfRule type="expression" dxfId="652" priority="86">
      <formula>$B44="A"</formula>
    </cfRule>
  </conditionalFormatting>
  <conditionalFormatting sqref="A33:A36">
    <cfRule type="expression" dxfId="651" priority="85">
      <formula>$B33="A"</formula>
    </cfRule>
  </conditionalFormatting>
  <conditionalFormatting sqref="E44">
    <cfRule type="cellIs" dxfId="650" priority="83" stopIfTrue="1" operator="equal">
      <formula>"E7"</formula>
    </cfRule>
    <cfRule type="cellIs" dxfId="649" priority="84" stopIfTrue="1" operator="equal">
      <formula>"E7A"</formula>
    </cfRule>
  </conditionalFormatting>
  <conditionalFormatting sqref="A45:A47">
    <cfRule type="expression" dxfId="648" priority="82">
      <formula>$B45="A"</formula>
    </cfRule>
  </conditionalFormatting>
  <conditionalFormatting sqref="E45">
    <cfRule type="cellIs" dxfId="647" priority="80" stopIfTrue="1" operator="equal">
      <formula>"E7"</formula>
    </cfRule>
    <cfRule type="cellIs" dxfId="646" priority="81" stopIfTrue="1" operator="equal">
      <formula>"E7A"</formula>
    </cfRule>
  </conditionalFormatting>
  <conditionalFormatting sqref="E46">
    <cfRule type="cellIs" dxfId="645" priority="78" stopIfTrue="1" operator="equal">
      <formula>"E7"</formula>
    </cfRule>
    <cfRule type="cellIs" dxfId="644" priority="79" stopIfTrue="1" operator="equal">
      <formula>"E7A"</formula>
    </cfRule>
  </conditionalFormatting>
  <conditionalFormatting sqref="E47">
    <cfRule type="cellIs" dxfId="643" priority="76" stopIfTrue="1" operator="equal">
      <formula>"E7"</formula>
    </cfRule>
    <cfRule type="cellIs" dxfId="642" priority="77" stopIfTrue="1" operator="equal">
      <formula>"E7A"</formula>
    </cfRule>
  </conditionalFormatting>
  <conditionalFormatting sqref="A37">
    <cfRule type="expression" dxfId="641" priority="75">
      <formula>$B37="A"</formula>
    </cfRule>
  </conditionalFormatting>
  <conditionalFormatting sqref="E37">
    <cfRule type="cellIs" dxfId="640" priority="73" stopIfTrue="1" operator="equal">
      <formula>"E7"</formula>
    </cfRule>
    <cfRule type="cellIs" dxfId="639" priority="74" stopIfTrue="1" operator="equal">
      <formula>"E7A"</formula>
    </cfRule>
  </conditionalFormatting>
  <conditionalFormatting sqref="E41">
    <cfRule type="cellIs" dxfId="638" priority="71" stopIfTrue="1" operator="equal">
      <formula>"E7"</formula>
    </cfRule>
    <cfRule type="cellIs" dxfId="637" priority="72" stopIfTrue="1" operator="equal">
      <formula>"E7A"</formula>
    </cfRule>
  </conditionalFormatting>
  <conditionalFormatting sqref="E42">
    <cfRule type="cellIs" dxfId="636" priority="69" stopIfTrue="1" operator="equal">
      <formula>"E7"</formula>
    </cfRule>
    <cfRule type="cellIs" dxfId="635" priority="70" stopIfTrue="1" operator="equal">
      <formula>"E7A"</formula>
    </cfRule>
  </conditionalFormatting>
  <conditionalFormatting sqref="E43">
    <cfRule type="cellIs" dxfId="634" priority="67" stopIfTrue="1" operator="equal">
      <formula>"E7"</formula>
    </cfRule>
    <cfRule type="cellIs" dxfId="633" priority="68" stopIfTrue="1" operator="equal">
      <formula>"E7A"</formula>
    </cfRule>
  </conditionalFormatting>
  <conditionalFormatting sqref="A38:A43">
    <cfRule type="expression" dxfId="632" priority="66">
      <formula>$B38="A"</formula>
    </cfRule>
  </conditionalFormatting>
  <conditionalFormatting sqref="E38">
    <cfRule type="cellIs" dxfId="631" priority="64" stopIfTrue="1" operator="equal">
      <formula>"E7"</formula>
    </cfRule>
    <cfRule type="cellIs" dxfId="630" priority="65" stopIfTrue="1" operator="equal">
      <formula>"E7A"</formula>
    </cfRule>
  </conditionalFormatting>
  <conditionalFormatting sqref="E39">
    <cfRule type="cellIs" dxfId="629" priority="62" stopIfTrue="1" operator="equal">
      <formula>"E7"</formula>
    </cfRule>
    <cfRule type="cellIs" dxfId="628" priority="63" stopIfTrue="1" operator="equal">
      <formula>"E7A"</formula>
    </cfRule>
  </conditionalFormatting>
  <conditionalFormatting sqref="E40">
    <cfRule type="cellIs" dxfId="627" priority="60" stopIfTrue="1" operator="equal">
      <formula>"E7"</formula>
    </cfRule>
    <cfRule type="cellIs" dxfId="626" priority="61" stopIfTrue="1" operator="equal">
      <formula>"E7A"</formula>
    </cfRule>
  </conditionalFormatting>
  <conditionalFormatting sqref="E25">
    <cfRule type="cellIs" dxfId="625" priority="58" stopIfTrue="1" operator="equal">
      <formula>"E7"</formula>
    </cfRule>
    <cfRule type="cellIs" dxfId="624" priority="59" stopIfTrue="1" operator="equal">
      <formula>"E7A"</formula>
    </cfRule>
  </conditionalFormatting>
  <conditionalFormatting sqref="E24">
    <cfRule type="cellIs" dxfId="623" priority="56" stopIfTrue="1" operator="equal">
      <formula>"E7"</formula>
    </cfRule>
    <cfRule type="cellIs" dxfId="622" priority="57" stopIfTrue="1" operator="equal">
      <formula>"E7A"</formula>
    </cfRule>
  </conditionalFormatting>
  <conditionalFormatting sqref="E26">
    <cfRule type="cellIs" dxfId="621" priority="54" stopIfTrue="1" operator="equal">
      <formula>"E7"</formula>
    </cfRule>
    <cfRule type="cellIs" dxfId="620" priority="55" stopIfTrue="1" operator="equal">
      <formula>"E7A"</formula>
    </cfRule>
  </conditionalFormatting>
  <conditionalFormatting sqref="A24:A26">
    <cfRule type="expression" dxfId="619" priority="53">
      <formula>$B24="A"</formula>
    </cfRule>
  </conditionalFormatting>
  <conditionalFormatting sqref="A27">
    <cfRule type="expression" dxfId="618" priority="52">
      <formula>$B27="A"</formula>
    </cfRule>
  </conditionalFormatting>
  <conditionalFormatting sqref="E27">
    <cfRule type="cellIs" dxfId="617" priority="50" stopIfTrue="1" operator="equal">
      <formula>"E7"</formula>
    </cfRule>
    <cfRule type="cellIs" dxfId="616" priority="51" stopIfTrue="1" operator="equal">
      <formula>"E7A"</formula>
    </cfRule>
  </conditionalFormatting>
  <conditionalFormatting sqref="E31">
    <cfRule type="cellIs" dxfId="615" priority="48" stopIfTrue="1" operator="equal">
      <formula>"E7"</formula>
    </cfRule>
    <cfRule type="cellIs" dxfId="614" priority="49" stopIfTrue="1" operator="equal">
      <formula>"E7A"</formula>
    </cfRule>
  </conditionalFormatting>
  <conditionalFormatting sqref="E32">
    <cfRule type="cellIs" dxfId="613" priority="46" stopIfTrue="1" operator="equal">
      <formula>"E7"</formula>
    </cfRule>
    <cfRule type="cellIs" dxfId="612" priority="47" stopIfTrue="1" operator="equal">
      <formula>"E7A"</formula>
    </cfRule>
  </conditionalFormatting>
  <conditionalFormatting sqref="A28:A32">
    <cfRule type="expression" dxfId="611" priority="45">
      <formula>$B28="A"</formula>
    </cfRule>
  </conditionalFormatting>
  <conditionalFormatting sqref="E28">
    <cfRule type="cellIs" dxfId="610" priority="43" stopIfTrue="1" operator="equal">
      <formula>"E7"</formula>
    </cfRule>
    <cfRule type="cellIs" dxfId="609" priority="44" stopIfTrue="1" operator="equal">
      <formula>"E7A"</formula>
    </cfRule>
  </conditionalFormatting>
  <conditionalFormatting sqref="E29">
    <cfRule type="cellIs" dxfId="608" priority="41" stopIfTrue="1" operator="equal">
      <formula>"E7"</formula>
    </cfRule>
    <cfRule type="cellIs" dxfId="607" priority="42" stopIfTrue="1" operator="equal">
      <formula>"E7A"</formula>
    </cfRule>
  </conditionalFormatting>
  <conditionalFormatting sqref="E30">
    <cfRule type="cellIs" dxfId="606" priority="39" stopIfTrue="1" operator="equal">
      <formula>"E7"</formula>
    </cfRule>
    <cfRule type="cellIs" dxfId="605" priority="40" stopIfTrue="1" operator="equal">
      <formula>"E7A"</formula>
    </cfRule>
  </conditionalFormatting>
  <conditionalFormatting sqref="E22">
    <cfRule type="cellIs" dxfId="604" priority="37" stopIfTrue="1" operator="equal">
      <formula>"E7"</formula>
    </cfRule>
    <cfRule type="cellIs" dxfId="603" priority="38" stopIfTrue="1" operator="equal">
      <formula>"E7A"</formula>
    </cfRule>
  </conditionalFormatting>
  <conditionalFormatting sqref="E21">
    <cfRule type="cellIs" dxfId="602" priority="35" stopIfTrue="1" operator="equal">
      <formula>"E7"</formula>
    </cfRule>
    <cfRule type="cellIs" dxfId="601" priority="36" stopIfTrue="1" operator="equal">
      <formula>"E7A"</formula>
    </cfRule>
  </conditionalFormatting>
  <conditionalFormatting sqref="E20">
    <cfRule type="cellIs" dxfId="600" priority="33" stopIfTrue="1" operator="equal">
      <formula>"E7"</formula>
    </cfRule>
    <cfRule type="cellIs" dxfId="599" priority="34" stopIfTrue="1" operator="equal">
      <formula>"E7A"</formula>
    </cfRule>
  </conditionalFormatting>
  <conditionalFormatting sqref="E23">
    <cfRule type="cellIs" dxfId="598" priority="31" stopIfTrue="1" operator="equal">
      <formula>"E7"</formula>
    </cfRule>
    <cfRule type="cellIs" dxfId="597" priority="32" stopIfTrue="1" operator="equal">
      <formula>"E7A"</formula>
    </cfRule>
  </conditionalFormatting>
  <conditionalFormatting sqref="A20:A23">
    <cfRule type="expression" dxfId="596" priority="30">
      <formula>$B20="A"</formula>
    </cfRule>
  </conditionalFormatting>
  <conditionalFormatting sqref="E12">
    <cfRule type="cellIs" dxfId="595" priority="28" stopIfTrue="1" operator="equal">
      <formula>"E7"</formula>
    </cfRule>
    <cfRule type="cellIs" dxfId="594" priority="29" stopIfTrue="1" operator="equal">
      <formula>"E7A"</formula>
    </cfRule>
  </conditionalFormatting>
  <conditionalFormatting sqref="E11">
    <cfRule type="cellIs" dxfId="593" priority="26" stopIfTrue="1" operator="equal">
      <formula>"E7"</formula>
    </cfRule>
    <cfRule type="cellIs" dxfId="592" priority="27" stopIfTrue="1" operator="equal">
      <formula>"E7A"</formula>
    </cfRule>
  </conditionalFormatting>
  <conditionalFormatting sqref="E13">
    <cfRule type="cellIs" dxfId="591" priority="24" stopIfTrue="1" operator="equal">
      <formula>"E7"</formula>
    </cfRule>
    <cfRule type="cellIs" dxfId="590" priority="25" stopIfTrue="1" operator="equal">
      <formula>"E7A"</formula>
    </cfRule>
  </conditionalFormatting>
  <conditionalFormatting sqref="A11:A13">
    <cfRule type="expression" dxfId="589" priority="23">
      <formula>$B11="A"</formula>
    </cfRule>
  </conditionalFormatting>
  <conditionalFormatting sqref="A14">
    <cfRule type="expression" dxfId="588" priority="22">
      <formula>$B14="A"</formula>
    </cfRule>
  </conditionalFormatting>
  <conditionalFormatting sqref="E14">
    <cfRule type="cellIs" dxfId="587" priority="20" stopIfTrue="1" operator="equal">
      <formula>"E7"</formula>
    </cfRule>
    <cfRule type="cellIs" dxfId="586" priority="21" stopIfTrue="1" operator="equal">
      <formula>"E7A"</formula>
    </cfRule>
  </conditionalFormatting>
  <conditionalFormatting sqref="E18">
    <cfRule type="cellIs" dxfId="585" priority="18" stopIfTrue="1" operator="equal">
      <formula>"E7"</formula>
    </cfRule>
    <cfRule type="cellIs" dxfId="584" priority="19" stopIfTrue="1" operator="equal">
      <formula>"E7A"</formula>
    </cfRule>
  </conditionalFormatting>
  <conditionalFormatting sqref="E19">
    <cfRule type="cellIs" dxfId="583" priority="16" stopIfTrue="1" operator="equal">
      <formula>"E7"</formula>
    </cfRule>
    <cfRule type="cellIs" dxfId="582" priority="17" stopIfTrue="1" operator="equal">
      <formula>"E7A"</formula>
    </cfRule>
  </conditionalFormatting>
  <conditionalFormatting sqref="A15:A19">
    <cfRule type="expression" dxfId="581" priority="15">
      <formula>$B15="A"</formula>
    </cfRule>
  </conditionalFormatting>
  <conditionalFormatting sqref="E15">
    <cfRule type="cellIs" dxfId="580" priority="13" stopIfTrue="1" operator="equal">
      <formula>"E7"</formula>
    </cfRule>
    <cfRule type="cellIs" dxfId="579" priority="14" stopIfTrue="1" operator="equal">
      <formula>"E7A"</formula>
    </cfRule>
  </conditionalFormatting>
  <conditionalFormatting sqref="E16">
    <cfRule type="cellIs" dxfId="578" priority="11" stopIfTrue="1" operator="equal">
      <formula>"E7"</formula>
    </cfRule>
    <cfRule type="cellIs" dxfId="577" priority="12" stopIfTrue="1" operator="equal">
      <formula>"E7A"</formula>
    </cfRule>
  </conditionalFormatting>
  <conditionalFormatting sqref="E17">
    <cfRule type="cellIs" dxfId="576" priority="9" stopIfTrue="1" operator="equal">
      <formula>"E7"</formula>
    </cfRule>
    <cfRule type="cellIs" dxfId="575" priority="10" stopIfTrue="1" operator="equal">
      <formula>"E7A"</formula>
    </cfRule>
  </conditionalFormatting>
  <conditionalFormatting sqref="EZ6:FC6">
    <cfRule type="expression" dxfId="574" priority="8">
      <formula>EZ257=0</formula>
    </cfRule>
  </conditionalFormatting>
  <conditionalFormatting sqref="EZ1:FC1">
    <cfRule type="duplicateValues" dxfId="573" priority="7"/>
  </conditionalFormatting>
  <conditionalFormatting sqref="EZ4:FC4">
    <cfRule type="duplicateValues" dxfId="572" priority="6"/>
  </conditionalFormatting>
  <conditionalFormatting sqref="FF6:FG6">
    <cfRule type="expression" dxfId="571" priority="5">
      <formula>FF257=0</formula>
    </cfRule>
  </conditionalFormatting>
  <conditionalFormatting sqref="FF1:FG1">
    <cfRule type="duplicateValues" dxfId="570" priority="4"/>
  </conditionalFormatting>
  <conditionalFormatting sqref="FF4:FG4">
    <cfRule type="duplicateValues" dxfId="569" priority="3"/>
  </conditionalFormatting>
  <conditionalFormatting sqref="G6">
    <cfRule type="expression" dxfId="568" priority="218">
      <formula>G$258&gt;0</formula>
    </cfRule>
    <cfRule type="duplicateValues" dxfId="567" priority="219"/>
  </conditionalFormatting>
  <conditionalFormatting sqref="H6:K6 AS6:EY6 FD6:FE6 FH6:FL6">
    <cfRule type="expression" dxfId="566" priority="220">
      <formula>H$258&gt;0</formula>
    </cfRule>
    <cfRule type="duplicateValues" dxfId="565" priority="221"/>
  </conditionalFormatting>
  <conditionalFormatting sqref="AH6:AR6">
    <cfRule type="expression" dxfId="564" priority="222">
      <formula>AH$258&gt;0</formula>
    </cfRule>
    <cfRule type="duplicateValues" dxfId="563" priority="223"/>
  </conditionalFormatting>
  <conditionalFormatting sqref="W6:AG6">
    <cfRule type="expression" dxfId="562" priority="224">
      <formula>W$258&gt;0</formula>
    </cfRule>
    <cfRule type="duplicateValues" dxfId="561" priority="225"/>
  </conditionalFormatting>
  <conditionalFormatting sqref="L6:V6">
    <cfRule type="expression" dxfId="560" priority="226">
      <formula>L$258&gt;0</formula>
    </cfRule>
    <cfRule type="duplicateValues" dxfId="559" priority="227"/>
  </conditionalFormatting>
  <conditionalFormatting sqref="EZ6:FC6">
    <cfRule type="expression" dxfId="558" priority="228">
      <formula>EZ$258&gt;0</formula>
    </cfRule>
    <cfRule type="duplicateValues" dxfId="557" priority="229"/>
  </conditionalFormatting>
  <conditionalFormatting sqref="FF6:FG6">
    <cfRule type="expression" dxfId="556" priority="230">
      <formula>FF$258&gt;0</formula>
    </cfRule>
    <cfRule type="duplicateValues" dxfId="555" priority="231"/>
  </conditionalFormatting>
  <conditionalFormatting sqref="F89">
    <cfRule type="cellIs" dxfId="554" priority="1" stopIfTrue="1" operator="equal">
      <formula>"E7"</formula>
    </cfRule>
    <cfRule type="cellIs" dxfId="553" priority="2" stopIfTrue="1" operator="equal">
      <formula>"E7A"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FW111"/>
  <sheetViews>
    <sheetView zoomScale="90" zoomScaleNormal="90" workbookViewId="0">
      <pane xSplit="7" ySplit="6" topLeftCell="EP82" activePane="bottomRight" state="frozen"/>
      <selection pane="topRight" activeCell="H1" sqref="H1"/>
      <selection pane="bottomLeft" activeCell="A7" sqref="A7"/>
      <selection pane="bottomRight" activeCell="E106" sqref="E106:E111"/>
    </sheetView>
  </sheetViews>
  <sheetFormatPr defaultRowHeight="10.199999999999999"/>
  <cols>
    <col min="1" max="1" width="9.77734375" style="273" bestFit="1" customWidth="1"/>
    <col min="2" max="2" width="14.44140625" style="273" bestFit="1" customWidth="1"/>
    <col min="3" max="4" width="9.77734375" style="273" bestFit="1" customWidth="1"/>
    <col min="5" max="5" width="16.109375" style="273" bestFit="1" customWidth="1"/>
    <col min="6" max="6" width="12.109375" style="273" bestFit="1" customWidth="1"/>
    <col min="7" max="7" width="12.5546875" style="273" bestFit="1" customWidth="1"/>
    <col min="8" max="8" width="14.33203125" style="273" bestFit="1" customWidth="1"/>
    <col min="9" max="9" width="15.21875" style="273" bestFit="1" customWidth="1"/>
    <col min="10" max="10" width="14.88671875" style="273" bestFit="1" customWidth="1"/>
    <col min="11" max="11" width="14.77734375" style="273" bestFit="1" customWidth="1"/>
    <col min="12" max="12" width="15.21875" style="273" bestFit="1" customWidth="1"/>
    <col min="13" max="14" width="15.6640625" style="273" bestFit="1" customWidth="1"/>
    <col min="15" max="16" width="15.21875" style="273" bestFit="1" customWidth="1"/>
    <col min="17" max="17" width="15.6640625" style="273" bestFit="1" customWidth="1"/>
    <col min="18" max="18" width="14.77734375" style="273" bestFit="1" customWidth="1"/>
    <col min="19" max="19" width="14.6640625" style="273" bestFit="1" customWidth="1"/>
    <col min="20" max="20" width="14.109375" style="273" bestFit="1" customWidth="1"/>
    <col min="21" max="21" width="15.21875" style="273" bestFit="1" customWidth="1"/>
    <col min="22" max="22" width="15.88671875" style="273" bestFit="1" customWidth="1"/>
    <col min="23" max="24" width="14.109375" style="273" bestFit="1" customWidth="1"/>
    <col min="25" max="25" width="15.21875" style="273" bestFit="1" customWidth="1"/>
    <col min="26" max="26" width="15.5546875" style="273" bestFit="1" customWidth="1"/>
    <col min="27" max="27" width="14.109375" style="273" bestFit="1" customWidth="1"/>
    <col min="28" max="28" width="15.21875" style="273" bestFit="1" customWidth="1"/>
    <col min="29" max="29" width="15.88671875" style="273" bestFit="1" customWidth="1"/>
    <col min="30" max="30" width="16.21875" style="273" bestFit="1" customWidth="1"/>
    <col min="31" max="32" width="14.44140625" style="273" bestFit="1" customWidth="1"/>
    <col min="33" max="33" width="16.44140625" style="273" bestFit="1" customWidth="1"/>
    <col min="34" max="35" width="14.109375" style="273" bestFit="1" customWidth="1"/>
    <col min="36" max="36" width="15.6640625" style="273" bestFit="1" customWidth="1"/>
    <col min="37" max="37" width="14.77734375" style="273" bestFit="1" customWidth="1"/>
    <col min="38" max="38" width="14.109375" style="273" bestFit="1" customWidth="1"/>
    <col min="39" max="39" width="13.21875" style="273" bestFit="1" customWidth="1"/>
    <col min="40" max="41" width="14.44140625" style="273" bestFit="1" customWidth="1"/>
    <col min="42" max="42" width="15.88671875" style="273" bestFit="1" customWidth="1"/>
    <col min="43" max="43" width="15" style="273" bestFit="1" customWidth="1"/>
    <col min="44" max="44" width="14.88671875" style="273" bestFit="1" customWidth="1"/>
    <col min="45" max="45" width="14.44140625" style="273" bestFit="1" customWidth="1"/>
    <col min="46" max="46" width="15.6640625" style="273" bestFit="1" customWidth="1"/>
    <col min="47" max="47" width="14.6640625" style="273" bestFit="1" customWidth="1"/>
    <col min="48" max="48" width="14.109375" style="273" bestFit="1" customWidth="1"/>
    <col min="49" max="49" width="15.88671875" style="273" bestFit="1" customWidth="1"/>
    <col min="50" max="50" width="14.109375" style="273" bestFit="1" customWidth="1"/>
    <col min="51" max="51" width="14.44140625" style="273" bestFit="1" customWidth="1"/>
    <col min="52" max="52" width="14.77734375" style="273" bestFit="1" customWidth="1"/>
    <col min="53" max="53" width="14.6640625" style="273" bestFit="1" customWidth="1"/>
    <col min="54" max="54" width="14.109375" style="273" bestFit="1" customWidth="1"/>
    <col min="55" max="55" width="15.88671875" style="273" bestFit="1" customWidth="1"/>
    <col min="56" max="56" width="16.21875" style="273" bestFit="1" customWidth="1"/>
    <col min="57" max="57" width="16.88671875" style="273" bestFit="1" customWidth="1"/>
    <col min="58" max="59" width="15.33203125" style="273" bestFit="1" customWidth="1"/>
    <col min="60" max="60" width="14.33203125" style="273" bestFit="1" customWidth="1"/>
    <col min="61" max="61" width="12.88671875" style="273" bestFit="1" customWidth="1"/>
    <col min="62" max="62" width="14.44140625" style="273" bestFit="1" customWidth="1"/>
    <col min="63" max="63" width="14.5546875" style="273" bestFit="1" customWidth="1"/>
    <col min="64" max="64" width="14.44140625" style="273" bestFit="1" customWidth="1"/>
    <col min="65" max="65" width="14.33203125" style="273" bestFit="1" customWidth="1"/>
    <col min="66" max="66" width="14.5546875" style="273" bestFit="1" customWidth="1"/>
    <col min="67" max="67" width="12.88671875" style="273" bestFit="1" customWidth="1"/>
    <col min="68" max="68" width="14.44140625" style="273" bestFit="1" customWidth="1"/>
    <col min="69" max="69" width="13.109375" style="273" bestFit="1" customWidth="1"/>
    <col min="70" max="70" width="14.5546875" style="273" bestFit="1" customWidth="1"/>
    <col min="71" max="71" width="15.88671875" style="273" bestFit="1" customWidth="1"/>
    <col min="72" max="73" width="14.44140625" style="273" bestFit="1" customWidth="1"/>
    <col min="74" max="74" width="14.5546875" style="273" bestFit="1" customWidth="1"/>
    <col min="75" max="75" width="12.88671875" style="273" bestFit="1" customWidth="1"/>
    <col min="76" max="76" width="14.44140625" style="273" bestFit="1" customWidth="1"/>
    <col min="77" max="77" width="14.5546875" style="273" bestFit="1" customWidth="1"/>
    <col min="78" max="78" width="14.44140625" style="273" bestFit="1" customWidth="1"/>
    <col min="79" max="79" width="14.5546875" style="273" bestFit="1" customWidth="1"/>
    <col min="80" max="80" width="15" style="273" bestFit="1" customWidth="1"/>
    <col min="81" max="81" width="16.33203125" style="273" bestFit="1" customWidth="1"/>
    <col min="82" max="82" width="14.33203125" style="273" bestFit="1" customWidth="1"/>
    <col min="83" max="83" width="12.88671875" style="273" bestFit="1" customWidth="1"/>
    <col min="84" max="84" width="14.44140625" style="273" bestFit="1" customWidth="1"/>
    <col min="85" max="85" width="14.5546875" style="273" bestFit="1" customWidth="1"/>
    <col min="86" max="86" width="16.44140625" style="273" bestFit="1" customWidth="1"/>
    <col min="87" max="87" width="13.5546875" style="273" bestFit="1" customWidth="1"/>
    <col min="88" max="88" width="14" style="273" bestFit="1" customWidth="1"/>
    <col min="89" max="89" width="14.109375" style="273" bestFit="1" customWidth="1"/>
    <col min="90" max="90" width="14" style="273" bestFit="1" customWidth="1"/>
    <col min="91" max="91" width="14.5546875" style="273" bestFit="1" customWidth="1"/>
    <col min="92" max="92" width="14" style="273" bestFit="1" customWidth="1"/>
    <col min="93" max="93" width="12.6640625" style="273" bestFit="1" customWidth="1"/>
    <col min="94" max="94" width="14.44140625" style="273" bestFit="1" customWidth="1"/>
    <col min="95" max="95" width="14.33203125" style="273" bestFit="1" customWidth="1"/>
    <col min="96" max="97" width="14.5546875" style="273" bestFit="1" customWidth="1"/>
    <col min="98" max="98" width="15" style="273" bestFit="1" customWidth="1"/>
    <col min="99" max="99" width="16.33203125" style="273" bestFit="1" customWidth="1"/>
    <col min="100" max="100" width="14.33203125" style="273" bestFit="1" customWidth="1"/>
    <col min="101" max="101" width="12.88671875" style="273" bestFit="1" customWidth="1"/>
    <col min="102" max="102" width="14.44140625" style="273" bestFit="1" customWidth="1"/>
    <col min="103" max="103" width="14.5546875" style="273" bestFit="1" customWidth="1"/>
    <col min="104" max="104" width="13.5546875" style="273" bestFit="1" customWidth="1"/>
    <col min="105" max="105" width="14.109375" style="273" bestFit="1" customWidth="1"/>
    <col min="106" max="107" width="14" style="273" bestFit="1" customWidth="1"/>
    <col min="108" max="108" width="12.6640625" style="273" bestFit="1" customWidth="1"/>
    <col min="109" max="109" width="13.33203125" style="273" bestFit="1" customWidth="1"/>
    <col min="110" max="110" width="14.44140625" style="273" bestFit="1" customWidth="1"/>
    <col min="111" max="111" width="12.6640625" style="273" bestFit="1" customWidth="1"/>
    <col min="112" max="112" width="13.44140625" style="273" bestFit="1" customWidth="1"/>
    <col min="113" max="113" width="13.88671875" style="273" bestFit="1" customWidth="1"/>
    <col min="114" max="114" width="15.21875" style="273" bestFit="1" customWidth="1"/>
    <col min="115" max="115" width="13.21875" style="273" bestFit="1" customWidth="1"/>
    <col min="116" max="116" width="11.88671875" style="273" bestFit="1" customWidth="1"/>
    <col min="117" max="117" width="13.33203125" style="273" bestFit="1" customWidth="1"/>
    <col min="118" max="118" width="13.44140625" style="273" bestFit="1" customWidth="1"/>
    <col min="119" max="119" width="11.6640625" style="273" bestFit="1" customWidth="1"/>
    <col min="120" max="120" width="13.33203125" style="273" bestFit="1" customWidth="1"/>
    <col min="121" max="121" width="14.44140625" style="273" bestFit="1" customWidth="1"/>
    <col min="122" max="122" width="15.109375" style="273" bestFit="1" customWidth="1"/>
    <col min="123" max="124" width="15.21875" style="273" bestFit="1" customWidth="1"/>
    <col min="125" max="126" width="15.6640625" style="273" bestFit="1" customWidth="1"/>
    <col min="127" max="127" width="14.77734375" style="273" bestFit="1" customWidth="1"/>
    <col min="128" max="128" width="15.21875" style="273" bestFit="1" customWidth="1"/>
    <col min="129" max="129" width="14.44140625" style="273" bestFit="1" customWidth="1"/>
    <col min="130" max="130" width="15.5546875" style="273" bestFit="1" customWidth="1"/>
    <col min="131" max="131" width="14.77734375" style="273" bestFit="1" customWidth="1"/>
    <col min="132" max="132" width="15.88671875" style="273" bestFit="1" customWidth="1"/>
    <col min="133" max="133" width="14.77734375" style="273" bestFit="1" customWidth="1"/>
    <col min="134" max="134" width="15.88671875" style="273" bestFit="1" customWidth="1"/>
    <col min="135" max="135" width="14.77734375" style="273" bestFit="1" customWidth="1"/>
    <col min="136" max="136" width="15.109375" style="273" bestFit="1" customWidth="1"/>
    <col min="137" max="137" width="15.33203125" style="273" bestFit="1" customWidth="1"/>
    <col min="138" max="138" width="11" style="273" bestFit="1" customWidth="1"/>
    <col min="139" max="139" width="12.33203125" style="273" bestFit="1" customWidth="1"/>
    <col min="140" max="140" width="13.21875" style="273" bestFit="1" customWidth="1"/>
    <col min="141" max="141" width="13.33203125" style="273" bestFit="1" customWidth="1"/>
    <col min="142" max="142" width="14.77734375" style="273" bestFit="1" customWidth="1"/>
    <col min="143" max="143" width="10.88671875" style="273" bestFit="1" customWidth="1"/>
    <col min="144" max="144" width="13.21875" style="273" bestFit="1" customWidth="1"/>
    <col min="145" max="145" width="14.77734375" style="273" bestFit="1" customWidth="1"/>
    <col min="146" max="146" width="14.5546875" style="273" bestFit="1" customWidth="1"/>
    <col min="147" max="148" width="13.21875" style="273" bestFit="1" customWidth="1"/>
    <col min="149" max="149" width="14.77734375" style="273" bestFit="1" customWidth="1"/>
    <col min="150" max="150" width="12.33203125" style="273" bestFit="1" customWidth="1"/>
    <col min="151" max="151" width="10.88671875" style="273" bestFit="1" customWidth="1"/>
    <col min="152" max="152" width="12.33203125" style="273" bestFit="1" customWidth="1"/>
    <col min="153" max="153" width="14.77734375" style="273" bestFit="1" customWidth="1"/>
    <col min="154" max="154" width="16.21875" style="273" bestFit="1" customWidth="1"/>
    <col min="155" max="155" width="13.21875" style="273" bestFit="1" customWidth="1"/>
    <col min="156" max="157" width="14.77734375" style="273" bestFit="1" customWidth="1"/>
    <col min="158" max="158" width="16.5546875" style="273" bestFit="1" customWidth="1"/>
    <col min="159" max="159" width="13.21875" style="273" bestFit="1" customWidth="1"/>
    <col min="160" max="160" width="14.77734375" style="273" bestFit="1" customWidth="1"/>
    <col min="161" max="164" width="14.44140625" style="273" bestFit="1" customWidth="1"/>
    <col min="165" max="165" width="15.77734375" style="273" bestFit="1" customWidth="1"/>
    <col min="166" max="166" width="16.21875" style="273" bestFit="1" customWidth="1"/>
    <col min="167" max="167" width="13.5546875" style="273" bestFit="1" customWidth="1"/>
    <col min="168" max="168" width="12" style="273" bestFit="1" customWidth="1"/>
    <col min="169" max="169" width="13.5546875" style="273" bestFit="1" customWidth="1"/>
    <col min="170" max="170" width="9.77734375" style="273" bestFit="1" customWidth="1"/>
    <col min="171" max="171" width="11" style="273" bestFit="1" customWidth="1"/>
    <col min="172" max="172" width="7.77734375" style="273" bestFit="1" customWidth="1"/>
    <col min="173" max="173" width="19" style="273" bestFit="1" customWidth="1"/>
    <col min="174" max="174" width="15.109375" style="273" bestFit="1" customWidth="1"/>
    <col min="175" max="175" width="7.109375" style="273" bestFit="1" customWidth="1"/>
    <col min="176" max="176" width="14.6640625" style="273" bestFit="1" customWidth="1"/>
    <col min="177" max="16384" width="8.88671875" style="273"/>
  </cols>
  <sheetData>
    <row r="1" spans="1:176" s="221" customFormat="1" ht="11.4">
      <c r="A1" s="220"/>
      <c r="D1" s="222"/>
      <c r="E1" s="223"/>
      <c r="F1" s="223"/>
      <c r="G1" s="229" t="s">
        <v>875</v>
      </c>
      <c r="H1" s="223"/>
      <c r="I1" s="223"/>
      <c r="J1" s="223"/>
      <c r="K1" s="223"/>
      <c r="L1" s="223"/>
      <c r="M1" s="223"/>
      <c r="N1" s="223"/>
      <c r="O1" s="223"/>
      <c r="P1" s="223"/>
      <c r="Q1" s="223"/>
      <c r="R1" s="223"/>
      <c r="S1" s="223"/>
      <c r="T1" s="223"/>
      <c r="U1" s="223"/>
      <c r="V1" s="223"/>
      <c r="W1" s="223"/>
      <c r="X1" s="223"/>
      <c r="Y1" s="223"/>
      <c r="Z1" s="223"/>
      <c r="AA1" s="223"/>
      <c r="AB1" s="223"/>
      <c r="AC1" s="223"/>
      <c r="AD1" s="223"/>
      <c r="AE1" s="223"/>
      <c r="AF1" s="223"/>
      <c r="AG1" s="223"/>
      <c r="AH1" s="223"/>
      <c r="AI1" s="223"/>
      <c r="AJ1" s="223"/>
      <c r="AK1" s="223"/>
      <c r="AL1" s="223"/>
      <c r="AM1" s="223"/>
      <c r="AN1" s="223"/>
      <c r="AO1" s="223"/>
      <c r="AP1" s="223"/>
      <c r="AQ1" s="223"/>
      <c r="AR1" s="223"/>
      <c r="AS1" s="223"/>
      <c r="AT1" s="223"/>
      <c r="AU1" s="223"/>
      <c r="AV1" s="223"/>
      <c r="AW1" s="223"/>
      <c r="AX1" s="223"/>
      <c r="AY1" s="223"/>
      <c r="AZ1" s="223"/>
      <c r="BA1" s="223"/>
      <c r="BB1" s="223"/>
      <c r="BC1" s="223"/>
      <c r="BD1" s="223"/>
      <c r="BE1" s="223"/>
      <c r="BF1" s="223"/>
      <c r="BG1" s="223"/>
      <c r="BH1" s="223"/>
      <c r="BI1" s="223"/>
      <c r="BJ1" s="223"/>
      <c r="BK1" s="223"/>
      <c r="BL1" s="223"/>
      <c r="BM1" s="223"/>
      <c r="BN1" s="223"/>
      <c r="BO1" s="223"/>
      <c r="BP1" s="223"/>
      <c r="BQ1" s="223"/>
      <c r="BR1" s="223"/>
      <c r="BS1" s="223"/>
      <c r="BT1" s="223"/>
      <c r="BU1" s="223"/>
      <c r="BV1" s="223"/>
      <c r="BW1" s="223"/>
      <c r="BX1" s="223"/>
      <c r="BY1" s="223"/>
      <c r="BZ1" s="223"/>
      <c r="CA1" s="223"/>
      <c r="CB1" s="223"/>
      <c r="CC1" s="223"/>
      <c r="CD1" s="223"/>
      <c r="CE1" s="223"/>
      <c r="CF1" s="223"/>
      <c r="CG1" s="395" t="s">
        <v>1272</v>
      </c>
      <c r="CH1" s="223"/>
      <c r="CI1" s="395" t="s">
        <v>1272</v>
      </c>
      <c r="CJ1" s="395" t="s">
        <v>1272</v>
      </c>
      <c r="CK1" s="395" t="s">
        <v>1272</v>
      </c>
      <c r="CL1" s="395" t="s">
        <v>1272</v>
      </c>
      <c r="CM1" s="395" t="s">
        <v>1272</v>
      </c>
      <c r="CN1" s="395" t="s">
        <v>1272</v>
      </c>
      <c r="CO1" s="223"/>
      <c r="CP1" s="223"/>
      <c r="CQ1" s="223"/>
      <c r="CR1" s="223"/>
      <c r="CS1" s="223"/>
      <c r="CT1" s="395" t="s">
        <v>1272</v>
      </c>
      <c r="CU1" s="223"/>
      <c r="CV1" s="223"/>
      <c r="CW1" s="223"/>
      <c r="CX1" s="223"/>
      <c r="CY1" s="223"/>
      <c r="CZ1" s="395" t="s">
        <v>1272</v>
      </c>
      <c r="DA1" s="395" t="s">
        <v>1272</v>
      </c>
      <c r="DB1" s="395" t="s">
        <v>1272</v>
      </c>
      <c r="DC1" s="395" t="s">
        <v>1272</v>
      </c>
      <c r="DD1" s="223"/>
      <c r="DE1" s="223"/>
      <c r="DF1" s="223"/>
      <c r="DG1" s="223"/>
      <c r="DH1" s="223"/>
      <c r="DI1" s="223"/>
      <c r="DJ1" s="223"/>
      <c r="DK1" s="223"/>
      <c r="DL1" s="223"/>
      <c r="DM1" s="223"/>
      <c r="DN1" s="223"/>
      <c r="DO1" s="223"/>
      <c r="DP1" s="223"/>
      <c r="DQ1" s="223"/>
      <c r="DR1" s="223"/>
      <c r="DS1" s="223"/>
      <c r="DT1" s="223"/>
      <c r="DU1" s="223"/>
      <c r="DV1" s="223"/>
      <c r="DW1" s="223"/>
      <c r="DX1" s="223"/>
      <c r="DY1" s="223"/>
      <c r="DZ1" s="223"/>
      <c r="EA1" s="223"/>
      <c r="EB1" s="223"/>
      <c r="EC1" s="223"/>
      <c r="ED1" s="223"/>
      <c r="EE1" s="223"/>
      <c r="EF1" s="223"/>
      <c r="EG1" s="223"/>
      <c r="EH1" s="223"/>
      <c r="EI1" s="223"/>
      <c r="EJ1" s="223"/>
      <c r="EK1" s="223"/>
      <c r="EL1" s="223"/>
      <c r="EM1" s="223"/>
      <c r="EN1" s="223"/>
      <c r="EO1" s="223"/>
      <c r="EP1" s="223"/>
      <c r="EQ1" s="223"/>
      <c r="ER1" s="223"/>
      <c r="ES1" s="223"/>
      <c r="ET1" s="223"/>
      <c r="EU1" s="223"/>
      <c r="EV1" s="223"/>
      <c r="EW1" s="223"/>
      <c r="EX1" s="223"/>
      <c r="EY1" s="223"/>
      <c r="EZ1" s="223"/>
      <c r="FA1" s="223"/>
      <c r="FB1" s="223"/>
      <c r="FC1" s="223"/>
      <c r="FD1" s="223"/>
      <c r="FE1" s="223"/>
      <c r="FF1" s="223"/>
      <c r="FG1" s="223"/>
      <c r="FH1" s="223"/>
      <c r="FI1" s="223"/>
      <c r="FJ1" s="223"/>
      <c r="FK1" s="223"/>
      <c r="FL1" s="223"/>
      <c r="FM1" s="223"/>
      <c r="FN1" s="275"/>
      <c r="FO1" s="225"/>
      <c r="FP1" s="226"/>
    </row>
    <row r="2" spans="1:176" s="228" customFormat="1" ht="11.4">
      <c r="A2" s="227"/>
      <c r="E2" s="229"/>
      <c r="F2" s="229"/>
      <c r="G2" s="229" t="s">
        <v>876</v>
      </c>
      <c r="H2" s="230" t="s">
        <v>1</v>
      </c>
      <c r="I2" s="230" t="s">
        <v>291</v>
      </c>
      <c r="J2" s="230" t="s">
        <v>293</v>
      </c>
      <c r="K2" s="230" t="s">
        <v>291</v>
      </c>
      <c r="L2" s="231" t="s">
        <v>775</v>
      </c>
      <c r="M2" s="231" t="s">
        <v>772</v>
      </c>
      <c r="N2" s="230" t="s">
        <v>1</v>
      </c>
      <c r="O2" s="230" t="s">
        <v>1</v>
      </c>
      <c r="P2" s="230" t="s">
        <v>291</v>
      </c>
      <c r="Q2" s="230" t="s">
        <v>291</v>
      </c>
      <c r="R2" s="230" t="s">
        <v>1</v>
      </c>
      <c r="S2" s="231" t="s">
        <v>775</v>
      </c>
      <c r="T2" s="230" t="s">
        <v>1</v>
      </c>
      <c r="U2" s="230" t="s">
        <v>1</v>
      </c>
      <c r="V2" s="230" t="s">
        <v>1</v>
      </c>
      <c r="W2" s="230" t="s">
        <v>1</v>
      </c>
      <c r="X2" s="230" t="s">
        <v>1</v>
      </c>
      <c r="Y2" s="230" t="s">
        <v>1</v>
      </c>
      <c r="Z2" s="230" t="s">
        <v>1</v>
      </c>
      <c r="AA2" s="230" t="s">
        <v>1</v>
      </c>
      <c r="AB2" s="230" t="s">
        <v>1</v>
      </c>
      <c r="AC2" s="231" t="s">
        <v>775</v>
      </c>
      <c r="AD2" s="230" t="s">
        <v>291</v>
      </c>
      <c r="AE2" s="230" t="s">
        <v>1</v>
      </c>
      <c r="AF2" s="230" t="s">
        <v>291</v>
      </c>
      <c r="AG2" s="231" t="s">
        <v>775</v>
      </c>
      <c r="AH2" s="230" t="s">
        <v>1</v>
      </c>
      <c r="AI2" s="230" t="s">
        <v>1</v>
      </c>
      <c r="AJ2" s="230" t="s">
        <v>1</v>
      </c>
      <c r="AK2" s="230" t="s">
        <v>1</v>
      </c>
      <c r="AL2" s="231" t="s">
        <v>775</v>
      </c>
      <c r="AM2" s="230" t="s">
        <v>1</v>
      </c>
      <c r="AN2" s="231" t="s">
        <v>774</v>
      </c>
      <c r="AO2" s="231" t="s">
        <v>772</v>
      </c>
      <c r="AP2" s="231" t="s">
        <v>772</v>
      </c>
      <c r="AQ2" s="230" t="s">
        <v>1</v>
      </c>
      <c r="AR2" s="230" t="s">
        <v>1</v>
      </c>
      <c r="AS2" s="231" t="s">
        <v>775</v>
      </c>
      <c r="AT2" s="230" t="s">
        <v>1</v>
      </c>
      <c r="AU2" s="230" t="s">
        <v>1</v>
      </c>
      <c r="AV2" s="230" t="s">
        <v>291</v>
      </c>
      <c r="AW2" s="230" t="s">
        <v>291</v>
      </c>
      <c r="AX2" s="231" t="s">
        <v>775</v>
      </c>
      <c r="AY2" s="230" t="s">
        <v>1</v>
      </c>
      <c r="AZ2" s="230" t="s">
        <v>1</v>
      </c>
      <c r="BA2" s="230" t="s">
        <v>1</v>
      </c>
      <c r="BB2" s="231" t="s">
        <v>774</v>
      </c>
      <c r="BC2" s="230" t="s">
        <v>1</v>
      </c>
      <c r="BD2" s="230" t="s">
        <v>1</v>
      </c>
      <c r="BE2" s="230" t="s">
        <v>1</v>
      </c>
      <c r="BF2" s="230" t="s">
        <v>1</v>
      </c>
      <c r="BG2" s="230" t="s">
        <v>1</v>
      </c>
      <c r="BH2" s="231" t="s">
        <v>776</v>
      </c>
      <c r="BI2" s="230" t="s">
        <v>1</v>
      </c>
      <c r="BJ2" s="230" t="s">
        <v>1</v>
      </c>
      <c r="BK2" s="231" t="s">
        <v>776</v>
      </c>
      <c r="BL2" s="231" t="s">
        <v>776</v>
      </c>
      <c r="BM2" s="230" t="s">
        <v>1</v>
      </c>
      <c r="BN2" s="230" t="s">
        <v>1</v>
      </c>
      <c r="BO2" s="230" t="s">
        <v>1</v>
      </c>
      <c r="BP2" s="230" t="s">
        <v>1</v>
      </c>
      <c r="BQ2" s="230" t="s">
        <v>1</v>
      </c>
      <c r="BR2" s="230" t="s">
        <v>1</v>
      </c>
      <c r="BS2" s="230" t="s">
        <v>1</v>
      </c>
      <c r="BT2" s="230" t="s">
        <v>1</v>
      </c>
      <c r="BU2" s="230" t="s">
        <v>1</v>
      </c>
      <c r="BV2" s="231" t="s">
        <v>776</v>
      </c>
      <c r="BW2" s="230" t="s">
        <v>1</v>
      </c>
      <c r="BX2" s="231" t="s">
        <v>776</v>
      </c>
      <c r="BY2" s="231" t="s">
        <v>776</v>
      </c>
      <c r="BZ2" s="231" t="s">
        <v>776</v>
      </c>
      <c r="CA2" s="231" t="s">
        <v>776</v>
      </c>
      <c r="CB2" s="230" t="s">
        <v>1</v>
      </c>
      <c r="CC2" s="230" t="s">
        <v>1</v>
      </c>
      <c r="CD2" s="231" t="s">
        <v>776</v>
      </c>
      <c r="CE2" s="230" t="s">
        <v>1</v>
      </c>
      <c r="CF2" s="230" t="s">
        <v>1</v>
      </c>
      <c r="CG2" s="231" t="s">
        <v>776</v>
      </c>
      <c r="CH2" s="230" t="s">
        <v>1</v>
      </c>
      <c r="CI2" s="231" t="s">
        <v>776</v>
      </c>
      <c r="CJ2" s="230" t="s">
        <v>1</v>
      </c>
      <c r="CK2" s="230" t="s">
        <v>1</v>
      </c>
      <c r="CL2" s="230" t="s">
        <v>1</v>
      </c>
      <c r="CM2" s="230" t="s">
        <v>1</v>
      </c>
      <c r="CN2" s="230" t="s">
        <v>1</v>
      </c>
      <c r="CO2" s="230" t="s">
        <v>1</v>
      </c>
      <c r="CP2" s="230" t="s">
        <v>1</v>
      </c>
      <c r="CQ2" s="230" t="s">
        <v>1</v>
      </c>
      <c r="CR2" s="230" t="s">
        <v>1</v>
      </c>
      <c r="CS2" s="230" t="s">
        <v>1</v>
      </c>
      <c r="CT2" s="230" t="s">
        <v>1</v>
      </c>
      <c r="CU2" s="231" t="s">
        <v>776</v>
      </c>
      <c r="CV2" s="231" t="s">
        <v>777</v>
      </c>
      <c r="CW2" s="230" t="s">
        <v>1</v>
      </c>
      <c r="CX2" s="230" t="s">
        <v>1</v>
      </c>
      <c r="CY2" s="231" t="s">
        <v>776</v>
      </c>
      <c r="CZ2" s="231" t="s">
        <v>777</v>
      </c>
      <c r="DA2" s="231" t="s">
        <v>777</v>
      </c>
      <c r="DB2" s="231" t="s">
        <v>777</v>
      </c>
      <c r="DC2" s="231" t="s">
        <v>777</v>
      </c>
      <c r="DD2" s="230" t="s">
        <v>1</v>
      </c>
      <c r="DE2" s="230" t="s">
        <v>1</v>
      </c>
      <c r="DF2" s="230" t="s">
        <v>1</v>
      </c>
      <c r="DG2" s="230" t="s">
        <v>1</v>
      </c>
      <c r="DH2" s="230" t="s">
        <v>1</v>
      </c>
      <c r="DI2" s="230" t="s">
        <v>1</v>
      </c>
      <c r="DJ2" s="230" t="s">
        <v>1</v>
      </c>
      <c r="DK2" s="230" t="s">
        <v>1</v>
      </c>
      <c r="DL2" s="230" t="s">
        <v>1</v>
      </c>
      <c r="DM2" s="230" t="s">
        <v>1</v>
      </c>
      <c r="DN2" s="230" t="s">
        <v>1</v>
      </c>
      <c r="DO2" s="230" t="s">
        <v>1</v>
      </c>
      <c r="DP2" s="230" t="s">
        <v>1</v>
      </c>
      <c r="DQ2" s="230" t="s">
        <v>291</v>
      </c>
      <c r="DR2" s="231" t="s">
        <v>772</v>
      </c>
      <c r="DS2" s="231" t="s">
        <v>775</v>
      </c>
      <c r="DT2" s="231" t="s">
        <v>775</v>
      </c>
      <c r="DU2" s="230" t="s">
        <v>291</v>
      </c>
      <c r="DV2" s="230" t="s">
        <v>291</v>
      </c>
      <c r="DW2" s="230" t="s">
        <v>291</v>
      </c>
      <c r="DX2" s="230" t="s">
        <v>291</v>
      </c>
      <c r="DY2" s="230" t="s">
        <v>1</v>
      </c>
      <c r="DZ2" s="230" t="s">
        <v>1</v>
      </c>
      <c r="EA2" s="230" t="s">
        <v>1</v>
      </c>
      <c r="EB2" s="230" t="s">
        <v>1</v>
      </c>
      <c r="EC2" s="230" t="s">
        <v>1</v>
      </c>
      <c r="ED2" s="230" t="s">
        <v>1</v>
      </c>
      <c r="EE2" s="230" t="s">
        <v>1</v>
      </c>
      <c r="EF2" s="230" t="s">
        <v>1</v>
      </c>
      <c r="EG2" s="230" t="s">
        <v>1</v>
      </c>
      <c r="EH2" s="230" t="s">
        <v>1</v>
      </c>
      <c r="EI2" s="230" t="s">
        <v>1</v>
      </c>
      <c r="EJ2" s="230" t="s">
        <v>1</v>
      </c>
      <c r="EK2" s="230" t="s">
        <v>1</v>
      </c>
      <c r="EL2" s="230" t="s">
        <v>1</v>
      </c>
      <c r="EM2" s="230" t="s">
        <v>1</v>
      </c>
      <c r="EN2" s="230" t="s">
        <v>1</v>
      </c>
      <c r="EO2" s="230" t="s">
        <v>1</v>
      </c>
      <c r="EP2" s="230" t="s">
        <v>1</v>
      </c>
      <c r="EQ2" s="230" t="s">
        <v>293</v>
      </c>
      <c r="ER2" s="230" t="s">
        <v>1</v>
      </c>
      <c r="ES2" s="230" t="s">
        <v>1</v>
      </c>
      <c r="ET2" s="230" t="s">
        <v>1</v>
      </c>
      <c r="EU2" s="230" t="s">
        <v>293</v>
      </c>
      <c r="EV2" s="230" t="s">
        <v>1</v>
      </c>
      <c r="EW2" s="230" t="s">
        <v>1</v>
      </c>
      <c r="EX2" s="230" t="s">
        <v>1</v>
      </c>
      <c r="EY2" s="230" t="s">
        <v>293</v>
      </c>
      <c r="EZ2" s="230" t="s">
        <v>1</v>
      </c>
      <c r="FA2" s="230" t="s">
        <v>1</v>
      </c>
      <c r="FB2" s="230" t="s">
        <v>1</v>
      </c>
      <c r="FC2" s="230" t="s">
        <v>293</v>
      </c>
      <c r="FD2" s="230" t="s">
        <v>1</v>
      </c>
      <c r="FE2" s="230" t="s">
        <v>291</v>
      </c>
      <c r="FF2" s="230" t="s">
        <v>1</v>
      </c>
      <c r="FG2" s="230" t="s">
        <v>1</v>
      </c>
      <c r="FH2" s="230" t="s">
        <v>1</v>
      </c>
      <c r="FI2" s="230" t="s">
        <v>1</v>
      </c>
      <c r="FJ2" s="230" t="s">
        <v>1</v>
      </c>
      <c r="FK2" s="230" t="s">
        <v>293</v>
      </c>
      <c r="FL2" s="230" t="s">
        <v>293</v>
      </c>
      <c r="FM2" s="230" t="s">
        <v>293</v>
      </c>
      <c r="FN2" s="275"/>
      <c r="FO2" s="232"/>
      <c r="FP2" s="233"/>
    </row>
    <row r="3" spans="1:176" s="228" customFormat="1">
      <c r="A3" s="227"/>
      <c r="E3" s="229"/>
      <c r="F3" s="229"/>
      <c r="G3" s="229" t="s">
        <v>296</v>
      </c>
      <c r="H3" s="230">
        <v>20</v>
      </c>
      <c r="I3" s="230">
        <v>20</v>
      </c>
      <c r="J3" s="230">
        <v>20</v>
      </c>
      <c r="K3" s="230">
        <v>20</v>
      </c>
      <c r="L3" s="230">
        <v>20</v>
      </c>
      <c r="M3" s="230">
        <v>20</v>
      </c>
      <c r="N3" s="230">
        <v>20</v>
      </c>
      <c r="O3" s="230">
        <v>20</v>
      </c>
      <c r="P3" s="230">
        <v>20</v>
      </c>
      <c r="Q3" s="230">
        <v>10</v>
      </c>
      <c r="R3" s="230">
        <v>20</v>
      </c>
      <c r="S3" s="230">
        <v>20</v>
      </c>
      <c r="T3" s="230">
        <v>20</v>
      </c>
      <c r="U3" s="230">
        <v>20</v>
      </c>
      <c r="V3" s="230">
        <v>10</v>
      </c>
      <c r="W3" s="230">
        <v>20</v>
      </c>
      <c r="X3" s="230">
        <v>20</v>
      </c>
      <c r="Y3" s="230">
        <v>20</v>
      </c>
      <c r="Z3" s="230">
        <v>10</v>
      </c>
      <c r="AA3" s="230">
        <v>20</v>
      </c>
      <c r="AB3" s="230">
        <v>20</v>
      </c>
      <c r="AC3" s="230">
        <v>20</v>
      </c>
      <c r="AD3" s="230">
        <v>20</v>
      </c>
      <c r="AE3" s="230">
        <v>20</v>
      </c>
      <c r="AF3" s="230">
        <v>20</v>
      </c>
      <c r="AG3" s="230">
        <v>10</v>
      </c>
      <c r="AH3" s="230">
        <v>10</v>
      </c>
      <c r="AI3" s="230">
        <v>10</v>
      </c>
      <c r="AJ3" s="230">
        <v>10</v>
      </c>
      <c r="AK3" s="230">
        <v>20</v>
      </c>
      <c r="AL3" s="230">
        <v>10</v>
      </c>
      <c r="AM3" s="230">
        <v>10</v>
      </c>
      <c r="AN3" s="230">
        <v>10</v>
      </c>
      <c r="AO3" s="230">
        <v>10</v>
      </c>
      <c r="AP3" s="230">
        <v>10</v>
      </c>
      <c r="AQ3" s="230">
        <v>20</v>
      </c>
      <c r="AR3" s="230">
        <v>20</v>
      </c>
      <c r="AS3" s="230">
        <v>10</v>
      </c>
      <c r="AT3" s="230">
        <v>10</v>
      </c>
      <c r="AU3" s="230">
        <v>20</v>
      </c>
      <c r="AV3" s="230">
        <v>10</v>
      </c>
      <c r="AW3" s="230">
        <v>10</v>
      </c>
      <c r="AX3" s="230">
        <v>10</v>
      </c>
      <c r="AY3" s="230">
        <v>10</v>
      </c>
      <c r="AZ3" s="230">
        <v>20</v>
      </c>
      <c r="BA3" s="230">
        <v>20</v>
      </c>
      <c r="BB3" s="230">
        <v>10</v>
      </c>
      <c r="BC3" s="230">
        <v>10</v>
      </c>
      <c r="BD3" s="230">
        <v>10</v>
      </c>
      <c r="BE3" s="230">
        <v>10</v>
      </c>
      <c r="BF3" s="230">
        <v>10</v>
      </c>
      <c r="BG3" s="230">
        <v>10</v>
      </c>
      <c r="BH3" s="230">
        <v>10</v>
      </c>
      <c r="BI3" s="230">
        <v>10</v>
      </c>
      <c r="BJ3" s="230">
        <v>10</v>
      </c>
      <c r="BK3" s="230">
        <v>10</v>
      </c>
      <c r="BL3" s="230">
        <v>10</v>
      </c>
      <c r="BM3" s="230">
        <v>10</v>
      </c>
      <c r="BN3" s="230">
        <v>5</v>
      </c>
      <c r="BO3" s="230">
        <v>10</v>
      </c>
      <c r="BP3" s="230">
        <v>10</v>
      </c>
      <c r="BQ3" s="230">
        <v>10</v>
      </c>
      <c r="BR3" s="230">
        <v>10</v>
      </c>
      <c r="BS3" s="230">
        <v>10</v>
      </c>
      <c r="BT3" s="230">
        <v>10</v>
      </c>
      <c r="BU3" s="230">
        <v>10</v>
      </c>
      <c r="BV3" s="230">
        <v>5</v>
      </c>
      <c r="BW3" s="230">
        <v>10</v>
      </c>
      <c r="BX3" s="230">
        <v>10</v>
      </c>
      <c r="BY3" s="230">
        <v>10</v>
      </c>
      <c r="BZ3" s="230">
        <v>10</v>
      </c>
      <c r="CA3" s="230">
        <v>5</v>
      </c>
      <c r="CB3" s="230">
        <v>4</v>
      </c>
      <c r="CC3" s="230">
        <v>5</v>
      </c>
      <c r="CD3" s="230">
        <v>5</v>
      </c>
      <c r="CE3" s="230">
        <v>10</v>
      </c>
      <c r="CF3" s="230">
        <v>10</v>
      </c>
      <c r="CG3" s="230">
        <v>10</v>
      </c>
      <c r="CH3" s="230">
        <v>10</v>
      </c>
      <c r="CI3" s="230">
        <v>1</v>
      </c>
      <c r="CJ3" s="230">
        <v>1</v>
      </c>
      <c r="CK3" s="230">
        <v>1</v>
      </c>
      <c r="CL3" s="230">
        <v>1</v>
      </c>
      <c r="CM3" s="230">
        <v>1</v>
      </c>
      <c r="CN3" s="230">
        <v>1</v>
      </c>
      <c r="CO3" s="230">
        <v>10</v>
      </c>
      <c r="CP3" s="230">
        <v>10</v>
      </c>
      <c r="CQ3" s="230">
        <v>5</v>
      </c>
      <c r="CR3" s="230">
        <v>10</v>
      </c>
      <c r="CS3" s="230">
        <v>5</v>
      </c>
      <c r="CT3" s="230">
        <v>4</v>
      </c>
      <c r="CU3" s="230">
        <v>5</v>
      </c>
      <c r="CV3" s="230">
        <v>5</v>
      </c>
      <c r="CW3" s="230">
        <v>10</v>
      </c>
      <c r="CX3" s="230">
        <v>10</v>
      </c>
      <c r="CY3" s="230">
        <v>10</v>
      </c>
      <c r="CZ3" s="230">
        <v>1</v>
      </c>
      <c r="DA3" s="230">
        <v>1</v>
      </c>
      <c r="DB3" s="230">
        <v>1</v>
      </c>
      <c r="DC3" s="230">
        <v>1</v>
      </c>
      <c r="DD3" s="230">
        <v>10</v>
      </c>
      <c r="DE3" s="230">
        <v>5</v>
      </c>
      <c r="DF3" s="230">
        <v>10</v>
      </c>
      <c r="DG3" s="230">
        <v>5</v>
      </c>
      <c r="DH3" s="230">
        <v>5</v>
      </c>
      <c r="DI3" s="230">
        <v>4</v>
      </c>
      <c r="DJ3" s="230">
        <v>5</v>
      </c>
      <c r="DK3" s="230">
        <v>5</v>
      </c>
      <c r="DL3" s="230">
        <v>10</v>
      </c>
      <c r="DM3" s="230">
        <v>10</v>
      </c>
      <c r="DN3" s="230">
        <v>10</v>
      </c>
      <c r="DO3" s="230">
        <v>10</v>
      </c>
      <c r="DP3" s="230">
        <v>10</v>
      </c>
      <c r="DQ3" s="230">
        <v>30</v>
      </c>
      <c r="DR3" s="230">
        <v>20</v>
      </c>
      <c r="DS3" s="230">
        <v>30</v>
      </c>
      <c r="DT3" s="230">
        <v>30</v>
      </c>
      <c r="DU3" s="230">
        <v>30</v>
      </c>
      <c r="DV3" s="230">
        <v>30</v>
      </c>
      <c r="DW3" s="230">
        <v>20</v>
      </c>
      <c r="DX3" s="230">
        <v>30</v>
      </c>
      <c r="DY3" s="230">
        <v>10</v>
      </c>
      <c r="DZ3" s="230">
        <v>10</v>
      </c>
      <c r="EA3" s="230">
        <v>10</v>
      </c>
      <c r="EB3" s="230">
        <v>10</v>
      </c>
      <c r="EC3" s="230">
        <v>10</v>
      </c>
      <c r="ED3" s="230">
        <v>10</v>
      </c>
      <c r="EE3" s="230">
        <v>10</v>
      </c>
      <c r="EF3" s="230">
        <v>10</v>
      </c>
      <c r="EG3" s="230">
        <v>10</v>
      </c>
      <c r="EH3" s="230">
        <v>10</v>
      </c>
      <c r="EI3" s="230">
        <v>10</v>
      </c>
      <c r="EJ3" s="230">
        <v>5</v>
      </c>
      <c r="EK3" s="230">
        <v>10</v>
      </c>
      <c r="EL3" s="230">
        <v>10</v>
      </c>
      <c r="EM3" s="230" t="s">
        <v>206</v>
      </c>
      <c r="EN3" s="230" t="s">
        <v>206</v>
      </c>
      <c r="EO3" s="230" t="s">
        <v>206</v>
      </c>
      <c r="EP3" s="230">
        <v>10</v>
      </c>
      <c r="EQ3" s="230">
        <v>10</v>
      </c>
      <c r="ER3" s="230">
        <v>10</v>
      </c>
      <c r="ES3" s="230">
        <v>10</v>
      </c>
      <c r="ET3" s="230">
        <v>5</v>
      </c>
      <c r="EU3" s="230">
        <v>10</v>
      </c>
      <c r="EV3" s="230">
        <v>10</v>
      </c>
      <c r="EW3" s="230">
        <v>5</v>
      </c>
      <c r="EX3" s="230">
        <v>5</v>
      </c>
      <c r="EY3" s="230">
        <v>10</v>
      </c>
      <c r="EZ3" s="230">
        <v>10</v>
      </c>
      <c r="FA3" s="230">
        <v>5</v>
      </c>
      <c r="FB3" s="230" t="s">
        <v>206</v>
      </c>
      <c r="FC3" s="230">
        <v>10</v>
      </c>
      <c r="FD3" s="230">
        <v>10</v>
      </c>
      <c r="FE3" s="230">
        <v>20</v>
      </c>
      <c r="FF3" s="230">
        <v>10</v>
      </c>
      <c r="FG3" s="230">
        <v>10</v>
      </c>
      <c r="FH3" s="230">
        <v>10</v>
      </c>
      <c r="FI3" s="230">
        <v>5</v>
      </c>
      <c r="FJ3" s="230">
        <v>10</v>
      </c>
      <c r="FK3" s="230">
        <v>8</v>
      </c>
      <c r="FL3" s="230">
        <v>5</v>
      </c>
      <c r="FM3" s="230">
        <v>4</v>
      </c>
      <c r="FN3" s="277"/>
      <c r="FO3" s="227"/>
      <c r="FQ3" s="232"/>
      <c r="FR3" s="233"/>
    </row>
    <row r="4" spans="1:176" s="235" customFormat="1" ht="30.6">
      <c r="A4" s="234"/>
      <c r="E4" s="234"/>
      <c r="F4" s="234"/>
      <c r="G4" s="234" t="s">
        <v>778</v>
      </c>
      <c r="H4" s="236" t="s">
        <v>453</v>
      </c>
      <c r="I4" s="236" t="s">
        <v>454</v>
      </c>
      <c r="J4" s="236" t="s">
        <v>455</v>
      </c>
      <c r="K4" s="236" t="s">
        <v>456</v>
      </c>
      <c r="L4" s="236" t="s">
        <v>297</v>
      </c>
      <c r="M4" s="236" t="s">
        <v>298</v>
      </c>
      <c r="N4" s="236" t="s">
        <v>458</v>
      </c>
      <c r="O4" s="236" t="s">
        <v>459</v>
      </c>
      <c r="P4" s="236" t="s">
        <v>460</v>
      </c>
      <c r="Q4" s="236" t="s">
        <v>461</v>
      </c>
      <c r="R4" s="236" t="s">
        <v>462</v>
      </c>
      <c r="S4" s="236" t="s">
        <v>463</v>
      </c>
      <c r="T4" s="236" t="s">
        <v>464</v>
      </c>
      <c r="U4" s="236" t="s">
        <v>465</v>
      </c>
      <c r="V4" s="236" t="s">
        <v>466</v>
      </c>
      <c r="W4" s="238" t="s">
        <v>468</v>
      </c>
      <c r="X4" s="238" t="s">
        <v>468</v>
      </c>
      <c r="Y4" s="236" t="s">
        <v>469</v>
      </c>
      <c r="Z4" s="236" t="s">
        <v>470</v>
      </c>
      <c r="AA4" s="236" t="s">
        <v>299</v>
      </c>
      <c r="AB4" s="236" t="s">
        <v>471</v>
      </c>
      <c r="AC4" s="236" t="s">
        <v>300</v>
      </c>
      <c r="AD4" s="236" t="s">
        <v>472</v>
      </c>
      <c r="AE4" s="236" t="s">
        <v>473</v>
      </c>
      <c r="AF4" s="236" t="s">
        <v>474</v>
      </c>
      <c r="AG4" s="236" t="s">
        <v>301</v>
      </c>
      <c r="AH4" s="236" t="s">
        <v>475</v>
      </c>
      <c r="AI4" s="236" t="s">
        <v>476</v>
      </c>
      <c r="AJ4" s="236" t="s">
        <v>477</v>
      </c>
      <c r="AK4" s="236" t="s">
        <v>478</v>
      </c>
      <c r="AL4" s="236" t="s">
        <v>479</v>
      </c>
      <c r="AM4" s="236" t="s">
        <v>480</v>
      </c>
      <c r="AN4" s="236" t="s">
        <v>302</v>
      </c>
      <c r="AO4" s="236" t="s">
        <v>482</v>
      </c>
      <c r="AP4" s="236" t="s">
        <v>483</v>
      </c>
      <c r="AQ4" s="236" t="s">
        <v>484</v>
      </c>
      <c r="AR4" s="236" t="s">
        <v>303</v>
      </c>
      <c r="AS4" s="236" t="s">
        <v>304</v>
      </c>
      <c r="AT4" s="236" t="s">
        <v>486</v>
      </c>
      <c r="AU4" s="236" t="s">
        <v>488</v>
      </c>
      <c r="AV4" s="236" t="s">
        <v>489</v>
      </c>
      <c r="AW4" s="236" t="s">
        <v>490</v>
      </c>
      <c r="AX4" s="236" t="s">
        <v>305</v>
      </c>
      <c r="AY4" s="236" t="s">
        <v>491</v>
      </c>
      <c r="AZ4" s="236" t="s">
        <v>492</v>
      </c>
      <c r="BA4" s="236" t="s">
        <v>493</v>
      </c>
      <c r="BB4" s="236" t="s">
        <v>306</v>
      </c>
      <c r="BC4" s="236" t="s">
        <v>494</v>
      </c>
      <c r="BD4" s="236" t="s">
        <v>495</v>
      </c>
      <c r="BE4" s="236" t="s">
        <v>783</v>
      </c>
      <c r="BF4" s="236" t="s">
        <v>784</v>
      </c>
      <c r="BG4" s="236" t="s">
        <v>1203</v>
      </c>
      <c r="BH4" s="236" t="s">
        <v>285</v>
      </c>
      <c r="BI4" s="236" t="s">
        <v>272</v>
      </c>
      <c r="BJ4" s="236" t="s">
        <v>257</v>
      </c>
      <c r="BK4" s="236" t="s">
        <v>258</v>
      </c>
      <c r="BL4" s="236" t="s">
        <v>273</v>
      </c>
      <c r="BM4" s="236" t="s">
        <v>500</v>
      </c>
      <c r="BN4" s="236" t="s">
        <v>20</v>
      </c>
      <c r="BO4" s="236" t="s">
        <v>11</v>
      </c>
      <c r="BP4" s="236" t="s">
        <v>12</v>
      </c>
      <c r="BQ4" s="236" t="s">
        <v>1026</v>
      </c>
      <c r="BR4" s="236" t="s">
        <v>13</v>
      </c>
      <c r="BS4" s="236" t="s">
        <v>70</v>
      </c>
      <c r="BT4" s="236" t="s">
        <v>501</v>
      </c>
      <c r="BU4" s="236" t="s">
        <v>231</v>
      </c>
      <c r="BV4" s="236" t="s">
        <v>17</v>
      </c>
      <c r="BW4" s="236" t="s">
        <v>14</v>
      </c>
      <c r="BX4" s="236" t="s">
        <v>6</v>
      </c>
      <c r="BY4" s="236" t="s">
        <v>7</v>
      </c>
      <c r="BZ4" s="236" t="s">
        <v>18</v>
      </c>
      <c r="CA4" s="236" t="s">
        <v>8</v>
      </c>
      <c r="CB4" s="236" t="s">
        <v>87</v>
      </c>
      <c r="CC4" s="236" t="s">
        <v>71</v>
      </c>
      <c r="CD4" s="236" t="s">
        <v>16</v>
      </c>
      <c r="CE4" s="236" t="s">
        <v>72</v>
      </c>
      <c r="CF4" s="236" t="s">
        <v>2</v>
      </c>
      <c r="CG4" s="236" t="s">
        <v>3</v>
      </c>
      <c r="CH4" s="236" t="s">
        <v>502</v>
      </c>
      <c r="CI4" s="236" t="s">
        <v>115</v>
      </c>
      <c r="CJ4" s="236" t="s">
        <v>115</v>
      </c>
      <c r="CK4" s="236" t="s">
        <v>115</v>
      </c>
      <c r="CL4" s="236" t="s">
        <v>115</v>
      </c>
      <c r="CM4" s="236" t="s">
        <v>115</v>
      </c>
      <c r="CN4" s="236" t="s">
        <v>115</v>
      </c>
      <c r="CO4" s="236" t="s">
        <v>308</v>
      </c>
      <c r="CP4" s="236" t="s">
        <v>9</v>
      </c>
      <c r="CQ4" s="236" t="s">
        <v>506</v>
      </c>
      <c r="CR4" s="236" t="s">
        <v>509</v>
      </c>
      <c r="CS4" s="236" t="s">
        <v>15</v>
      </c>
      <c r="CT4" s="236" t="s">
        <v>167</v>
      </c>
      <c r="CU4" s="236" t="s">
        <v>173</v>
      </c>
      <c r="CV4" s="236" t="s">
        <v>101</v>
      </c>
      <c r="CW4" s="236" t="s">
        <v>207</v>
      </c>
      <c r="CX4" s="236" t="s">
        <v>4</v>
      </c>
      <c r="CY4" s="236" t="s">
        <v>5</v>
      </c>
      <c r="CZ4" s="236" t="s">
        <v>175</v>
      </c>
      <c r="DA4" s="236" t="s">
        <v>227</v>
      </c>
      <c r="DB4" s="236" t="s">
        <v>227</v>
      </c>
      <c r="DC4" s="236" t="s">
        <v>227</v>
      </c>
      <c r="DD4" s="236" t="s">
        <v>10</v>
      </c>
      <c r="DE4" s="236" t="s">
        <v>10</v>
      </c>
      <c r="DF4" s="236" t="s">
        <v>19</v>
      </c>
      <c r="DG4" s="236" t="s">
        <v>1027</v>
      </c>
      <c r="DH4" s="236" t="s">
        <v>986</v>
      </c>
      <c r="DI4" s="236" t="s">
        <v>1028</v>
      </c>
      <c r="DJ4" s="236" t="s">
        <v>1029</v>
      </c>
      <c r="DK4" s="236" t="s">
        <v>987</v>
      </c>
      <c r="DL4" s="236" t="s">
        <v>1030</v>
      </c>
      <c r="DM4" s="236" t="s">
        <v>1031</v>
      </c>
      <c r="DN4" s="236" t="s">
        <v>1032</v>
      </c>
      <c r="DO4" s="236" t="s">
        <v>1033</v>
      </c>
      <c r="DP4" s="236" t="s">
        <v>1034</v>
      </c>
      <c r="DQ4" s="236" t="s">
        <v>512</v>
      </c>
      <c r="DR4" s="236" t="s">
        <v>513</v>
      </c>
      <c r="DS4" s="236" t="s">
        <v>309</v>
      </c>
      <c r="DT4" s="236" t="s">
        <v>514</v>
      </c>
      <c r="DU4" s="238" t="s">
        <v>310</v>
      </c>
      <c r="DV4" s="238" t="s">
        <v>310</v>
      </c>
      <c r="DW4" s="236" t="s">
        <v>515</v>
      </c>
      <c r="DX4" s="236" t="s">
        <v>516</v>
      </c>
      <c r="DY4" s="236" t="s">
        <v>517</v>
      </c>
      <c r="DZ4" s="236" t="s">
        <v>311</v>
      </c>
      <c r="EA4" s="236" t="s">
        <v>518</v>
      </c>
      <c r="EB4" s="236" t="s">
        <v>519</v>
      </c>
      <c r="EC4" s="236" t="s">
        <v>312</v>
      </c>
      <c r="ED4" s="236" t="s">
        <v>520</v>
      </c>
      <c r="EE4" s="236" t="s">
        <v>521</v>
      </c>
      <c r="EF4" s="236" t="s">
        <v>522</v>
      </c>
      <c r="EG4" s="236" t="s">
        <v>523</v>
      </c>
      <c r="EH4" s="236" t="s">
        <v>524</v>
      </c>
      <c r="EI4" s="236" t="s">
        <v>313</v>
      </c>
      <c r="EJ4" s="236" t="s">
        <v>525</v>
      </c>
      <c r="EK4" s="236" t="s">
        <v>526</v>
      </c>
      <c r="EL4" s="236" t="s">
        <v>527</v>
      </c>
      <c r="EM4" s="236" t="s">
        <v>1251</v>
      </c>
      <c r="EN4" s="236" t="s">
        <v>1252</v>
      </c>
      <c r="EO4" s="236" t="s">
        <v>1035</v>
      </c>
      <c r="EP4" s="236" t="s">
        <v>530</v>
      </c>
      <c r="EQ4" s="236" t="s">
        <v>531</v>
      </c>
      <c r="ER4" s="236" t="s">
        <v>287</v>
      </c>
      <c r="ES4" s="236" t="s">
        <v>314</v>
      </c>
      <c r="ET4" s="236" t="s">
        <v>261</v>
      </c>
      <c r="EU4" s="236" t="s">
        <v>532</v>
      </c>
      <c r="EV4" s="236" t="s">
        <v>208</v>
      </c>
      <c r="EW4" s="236" t="s">
        <v>228</v>
      </c>
      <c r="EX4" s="236" t="s">
        <v>209</v>
      </c>
      <c r="EY4" s="236" t="s">
        <v>533</v>
      </c>
      <c r="EZ4" s="236" t="s">
        <v>229</v>
      </c>
      <c r="FA4" s="236" t="s">
        <v>279</v>
      </c>
      <c r="FB4" s="236" t="s">
        <v>534</v>
      </c>
      <c r="FC4" s="236" t="s">
        <v>535</v>
      </c>
      <c r="FD4" s="236" t="s">
        <v>230</v>
      </c>
      <c r="FE4" s="236" t="s">
        <v>883</v>
      </c>
      <c r="FF4" s="236" t="s">
        <v>1140</v>
      </c>
      <c r="FG4" s="236" t="s">
        <v>536</v>
      </c>
      <c r="FH4" s="236" t="s">
        <v>315</v>
      </c>
      <c r="FI4" s="236" t="s">
        <v>538</v>
      </c>
      <c r="FJ4" s="236" t="s">
        <v>539</v>
      </c>
      <c r="FK4" s="236" t="s">
        <v>1253</v>
      </c>
      <c r="FL4" s="236" t="s">
        <v>1254</v>
      </c>
      <c r="FM4" s="236" t="s">
        <v>1255</v>
      </c>
      <c r="FN4" s="278"/>
      <c r="FO4" s="234"/>
      <c r="FQ4" s="240"/>
    </row>
    <row r="5" spans="1:176" s="221" customFormat="1" ht="11.4">
      <c r="A5" s="241"/>
      <c r="D5" s="222"/>
      <c r="E5" s="223" t="s">
        <v>316</v>
      </c>
      <c r="F5" s="242" t="s">
        <v>870</v>
      </c>
      <c r="G5" s="223" t="s">
        <v>317</v>
      </c>
      <c r="H5" s="243" t="s">
        <v>540</v>
      </c>
      <c r="I5" s="243" t="s">
        <v>541</v>
      </c>
      <c r="J5" s="243" t="s">
        <v>542</v>
      </c>
      <c r="K5" s="243" t="s">
        <v>543</v>
      </c>
      <c r="L5" s="243" t="s">
        <v>318</v>
      </c>
      <c r="M5" s="243" t="s">
        <v>319</v>
      </c>
      <c r="N5" s="243" t="s">
        <v>545</v>
      </c>
      <c r="O5" s="243" t="s">
        <v>546</v>
      </c>
      <c r="P5" s="243" t="s">
        <v>547</v>
      </c>
      <c r="Q5" s="243" t="s">
        <v>548</v>
      </c>
      <c r="R5" s="243" t="s">
        <v>549</v>
      </c>
      <c r="S5" s="243" t="s">
        <v>550</v>
      </c>
      <c r="T5" s="243" t="s">
        <v>551</v>
      </c>
      <c r="U5" s="243" t="s">
        <v>552</v>
      </c>
      <c r="V5" s="243" t="s">
        <v>553</v>
      </c>
      <c r="W5" s="243" t="s">
        <v>885</v>
      </c>
      <c r="X5" s="243" t="s">
        <v>555</v>
      </c>
      <c r="Y5" s="243" t="s">
        <v>556</v>
      </c>
      <c r="Z5" s="243" t="s">
        <v>557</v>
      </c>
      <c r="AA5" s="243" t="s">
        <v>886</v>
      </c>
      <c r="AB5" s="243" t="s">
        <v>558</v>
      </c>
      <c r="AC5" s="243" t="s">
        <v>321</v>
      </c>
      <c r="AD5" s="243" t="s">
        <v>559</v>
      </c>
      <c r="AE5" s="243" t="s">
        <v>560</v>
      </c>
      <c r="AF5" s="243" t="s">
        <v>561</v>
      </c>
      <c r="AG5" s="243" t="s">
        <v>322</v>
      </c>
      <c r="AH5" s="243" t="s">
        <v>562</v>
      </c>
      <c r="AI5" s="243" t="s">
        <v>563</v>
      </c>
      <c r="AJ5" s="243" t="s">
        <v>564</v>
      </c>
      <c r="AK5" s="243" t="s">
        <v>565</v>
      </c>
      <c r="AL5" s="243" t="s">
        <v>566</v>
      </c>
      <c r="AM5" s="243" t="s">
        <v>567</v>
      </c>
      <c r="AN5" s="243" t="s">
        <v>323</v>
      </c>
      <c r="AO5" s="243" t="s">
        <v>569</v>
      </c>
      <c r="AP5" s="243" t="s">
        <v>570</v>
      </c>
      <c r="AQ5" s="243" t="s">
        <v>571</v>
      </c>
      <c r="AR5" s="243" t="s">
        <v>324</v>
      </c>
      <c r="AS5" s="243" t="s">
        <v>325</v>
      </c>
      <c r="AT5" s="243" t="s">
        <v>574</v>
      </c>
      <c r="AU5" s="243" t="s">
        <v>576</v>
      </c>
      <c r="AV5" s="243" t="s">
        <v>577</v>
      </c>
      <c r="AW5" s="243" t="s">
        <v>578</v>
      </c>
      <c r="AX5" s="243" t="s">
        <v>326</v>
      </c>
      <c r="AY5" s="243" t="s">
        <v>579</v>
      </c>
      <c r="AZ5" s="243" t="s">
        <v>580</v>
      </c>
      <c r="BA5" s="243" t="s">
        <v>581</v>
      </c>
      <c r="BB5" s="243" t="s">
        <v>327</v>
      </c>
      <c r="BC5" s="243" t="s">
        <v>582</v>
      </c>
      <c r="BD5" s="243" t="s">
        <v>583</v>
      </c>
      <c r="BE5" s="243" t="s">
        <v>1204</v>
      </c>
      <c r="BF5" s="243" t="s">
        <v>798</v>
      </c>
      <c r="BG5" s="243" t="s">
        <v>1206</v>
      </c>
      <c r="BH5" s="243" t="s">
        <v>286</v>
      </c>
      <c r="BI5" s="243" t="s">
        <v>274</v>
      </c>
      <c r="BJ5" s="243" t="s">
        <v>259</v>
      </c>
      <c r="BK5" s="243" t="s">
        <v>260</v>
      </c>
      <c r="BL5" s="243" t="s">
        <v>275</v>
      </c>
      <c r="BM5" s="243" t="s">
        <v>588</v>
      </c>
      <c r="BN5" s="243" t="s">
        <v>40</v>
      </c>
      <c r="BO5" s="243" t="s">
        <v>30</v>
      </c>
      <c r="BP5" s="243" t="s">
        <v>31</v>
      </c>
      <c r="BQ5" s="243" t="s">
        <v>1041</v>
      </c>
      <c r="BR5" s="243" t="s">
        <v>32</v>
      </c>
      <c r="BS5" s="243" t="s">
        <v>249</v>
      </c>
      <c r="BT5" s="243" t="s">
        <v>1207</v>
      </c>
      <c r="BU5" s="243" t="s">
        <v>232</v>
      </c>
      <c r="BV5" s="243" t="s">
        <v>37</v>
      </c>
      <c r="BW5" s="243" t="s">
        <v>33</v>
      </c>
      <c r="BX5" s="243" t="s">
        <v>25</v>
      </c>
      <c r="BY5" s="243" t="s">
        <v>26</v>
      </c>
      <c r="BZ5" s="243" t="s">
        <v>38</v>
      </c>
      <c r="CA5" s="243" t="s">
        <v>27</v>
      </c>
      <c r="CB5" s="243" t="s">
        <v>88</v>
      </c>
      <c r="CC5" s="243" t="s">
        <v>74</v>
      </c>
      <c r="CD5" s="243" t="s">
        <v>35</v>
      </c>
      <c r="CE5" s="243" t="s">
        <v>75</v>
      </c>
      <c r="CF5" s="243" t="s">
        <v>21</v>
      </c>
      <c r="CG5" s="243" t="s">
        <v>22</v>
      </c>
      <c r="CH5" s="243" t="s">
        <v>590</v>
      </c>
      <c r="CI5" s="243" t="s">
        <v>188</v>
      </c>
      <c r="CJ5" s="243" t="s">
        <v>591</v>
      </c>
      <c r="CK5" s="243" t="s">
        <v>592</v>
      </c>
      <c r="CL5" s="243" t="s">
        <v>594</v>
      </c>
      <c r="CM5" s="243" t="s">
        <v>595</v>
      </c>
      <c r="CN5" s="243" t="s">
        <v>596</v>
      </c>
      <c r="CO5" s="243" t="s">
        <v>329</v>
      </c>
      <c r="CP5" s="243" t="s">
        <v>28</v>
      </c>
      <c r="CQ5" s="243" t="s">
        <v>600</v>
      </c>
      <c r="CR5" s="243" t="s">
        <v>603</v>
      </c>
      <c r="CS5" s="243" t="s">
        <v>116</v>
      </c>
      <c r="CT5" s="243" t="s">
        <v>168</v>
      </c>
      <c r="CU5" s="243" t="s">
        <v>169</v>
      </c>
      <c r="CV5" s="243" t="s">
        <v>102</v>
      </c>
      <c r="CW5" s="243" t="s">
        <v>189</v>
      </c>
      <c r="CX5" s="243" t="s">
        <v>23</v>
      </c>
      <c r="CY5" s="243" t="s">
        <v>24</v>
      </c>
      <c r="CZ5" s="243" t="s">
        <v>170</v>
      </c>
      <c r="DA5" s="243" t="s">
        <v>606</v>
      </c>
      <c r="DB5" s="243" t="s">
        <v>608</v>
      </c>
      <c r="DC5" s="243" t="s">
        <v>609</v>
      </c>
      <c r="DD5" s="243" t="s">
        <v>29</v>
      </c>
      <c r="DE5" s="243" t="s">
        <v>610</v>
      </c>
      <c r="DF5" s="243" t="s">
        <v>39</v>
      </c>
      <c r="DG5" s="243" t="s">
        <v>1042</v>
      </c>
      <c r="DH5" s="243" t="s">
        <v>989</v>
      </c>
      <c r="DI5" s="243" t="s">
        <v>1043</v>
      </c>
      <c r="DJ5" s="243" t="s">
        <v>1044</v>
      </c>
      <c r="DK5" s="243" t="s">
        <v>990</v>
      </c>
      <c r="DL5" s="243" t="s">
        <v>1045</v>
      </c>
      <c r="DM5" s="243" t="s">
        <v>1046</v>
      </c>
      <c r="DN5" s="243" t="s">
        <v>1047</v>
      </c>
      <c r="DO5" s="243" t="s">
        <v>1048</v>
      </c>
      <c r="DP5" s="243" t="s">
        <v>1049</v>
      </c>
      <c r="DQ5" s="243" t="s">
        <v>611</v>
      </c>
      <c r="DR5" s="243" t="s">
        <v>612</v>
      </c>
      <c r="DS5" s="243" t="s">
        <v>330</v>
      </c>
      <c r="DT5" s="243" t="s">
        <v>613</v>
      </c>
      <c r="DU5" s="243" t="s">
        <v>1256</v>
      </c>
      <c r="DV5" s="243" t="s">
        <v>331</v>
      </c>
      <c r="DW5" s="243" t="s">
        <v>614</v>
      </c>
      <c r="DX5" s="243" t="s">
        <v>615</v>
      </c>
      <c r="DY5" s="243" t="s">
        <v>616</v>
      </c>
      <c r="DZ5" s="243" t="s">
        <v>332</v>
      </c>
      <c r="EA5" s="243" t="s">
        <v>617</v>
      </c>
      <c r="EB5" s="243" t="s">
        <v>618</v>
      </c>
      <c r="EC5" s="243" t="s">
        <v>333</v>
      </c>
      <c r="ED5" s="243" t="s">
        <v>619</v>
      </c>
      <c r="EE5" s="243" t="s">
        <v>620</v>
      </c>
      <c r="EF5" s="243" t="s">
        <v>621</v>
      </c>
      <c r="EG5" s="243" t="s">
        <v>622</v>
      </c>
      <c r="EH5" s="243" t="s">
        <v>623</v>
      </c>
      <c r="EI5" s="243" t="s">
        <v>335</v>
      </c>
      <c r="EJ5" s="243" t="s">
        <v>624</v>
      </c>
      <c r="EK5" s="243" t="s">
        <v>625</v>
      </c>
      <c r="EL5" s="243" t="s">
        <v>626</v>
      </c>
      <c r="EM5" s="243" t="s">
        <v>1257</v>
      </c>
      <c r="EN5" s="243" t="s">
        <v>1258</v>
      </c>
      <c r="EO5" s="243" t="s">
        <v>1050</v>
      </c>
      <c r="EP5" s="243" t="s">
        <v>629</v>
      </c>
      <c r="EQ5" s="243" t="s">
        <v>630</v>
      </c>
      <c r="ER5" s="243" t="s">
        <v>288</v>
      </c>
      <c r="ES5" s="243" t="s">
        <v>280</v>
      </c>
      <c r="ET5" s="243" t="s">
        <v>210</v>
      </c>
      <c r="EU5" s="243" t="s">
        <v>631</v>
      </c>
      <c r="EV5" s="243" t="s">
        <v>197</v>
      </c>
      <c r="EW5" s="243" t="s">
        <v>211</v>
      </c>
      <c r="EX5" s="243" t="s">
        <v>212</v>
      </c>
      <c r="EY5" s="243" t="s">
        <v>632</v>
      </c>
      <c r="EZ5" s="243" t="s">
        <v>213</v>
      </c>
      <c r="FA5" s="243" t="s">
        <v>281</v>
      </c>
      <c r="FB5" s="243" t="s">
        <v>633</v>
      </c>
      <c r="FC5" s="243" t="s">
        <v>198</v>
      </c>
      <c r="FD5" s="243" t="s">
        <v>214</v>
      </c>
      <c r="FE5" s="243" t="s">
        <v>889</v>
      </c>
      <c r="FF5" s="243" t="s">
        <v>1141</v>
      </c>
      <c r="FG5" s="243" t="s">
        <v>634</v>
      </c>
      <c r="FH5" s="243" t="s">
        <v>336</v>
      </c>
      <c r="FI5" s="243" t="s">
        <v>1259</v>
      </c>
      <c r="FJ5" s="243" t="s">
        <v>637</v>
      </c>
      <c r="FK5" s="385" t="s">
        <v>1260</v>
      </c>
      <c r="FL5" s="385" t="s">
        <v>1261</v>
      </c>
      <c r="FM5" s="385" t="s">
        <v>1262</v>
      </c>
      <c r="FN5" s="279"/>
      <c r="FO5" s="225"/>
      <c r="FP5" s="226"/>
    </row>
    <row r="6" spans="1:176" s="227" customFormat="1" ht="11.4">
      <c r="A6" s="245" t="s">
        <v>877</v>
      </c>
      <c r="B6" s="222" t="s">
        <v>878</v>
      </c>
      <c r="C6" s="222" t="s">
        <v>879</v>
      </c>
      <c r="D6" s="222" t="s">
        <v>880</v>
      </c>
      <c r="E6" s="246" t="s">
        <v>804</v>
      </c>
      <c r="F6" s="246"/>
      <c r="G6" s="247" t="s">
        <v>805</v>
      </c>
      <c r="H6" s="248" t="s">
        <v>638</v>
      </c>
      <c r="I6" s="248" t="s">
        <v>639</v>
      </c>
      <c r="J6" s="248" t="s">
        <v>640</v>
      </c>
      <c r="K6" s="248" t="s">
        <v>641</v>
      </c>
      <c r="L6" s="248" t="s">
        <v>1209</v>
      </c>
      <c r="M6" s="248" t="s">
        <v>340</v>
      </c>
      <c r="N6" s="248" t="s">
        <v>643</v>
      </c>
      <c r="O6" s="248" t="s">
        <v>644</v>
      </c>
      <c r="P6" s="248" t="s">
        <v>645</v>
      </c>
      <c r="Q6" s="248" t="s">
        <v>646</v>
      </c>
      <c r="R6" s="248" t="s">
        <v>647</v>
      </c>
      <c r="S6" s="248" t="s">
        <v>648</v>
      </c>
      <c r="T6" s="248" t="s">
        <v>649</v>
      </c>
      <c r="U6" s="248" t="s">
        <v>650</v>
      </c>
      <c r="V6" s="248" t="s">
        <v>651</v>
      </c>
      <c r="W6" s="248" t="s">
        <v>653</v>
      </c>
      <c r="X6" s="248" t="s">
        <v>653</v>
      </c>
      <c r="Y6" s="248" t="s">
        <v>654</v>
      </c>
      <c r="Z6" s="248" t="s">
        <v>655</v>
      </c>
      <c r="AA6" s="248" t="s">
        <v>341</v>
      </c>
      <c r="AB6" s="248" t="s">
        <v>656</v>
      </c>
      <c r="AC6" s="248" t="s">
        <v>342</v>
      </c>
      <c r="AD6" s="248" t="s">
        <v>657</v>
      </c>
      <c r="AE6" s="248" t="s">
        <v>658</v>
      </c>
      <c r="AF6" s="248" t="s">
        <v>659</v>
      </c>
      <c r="AG6" s="248" t="s">
        <v>343</v>
      </c>
      <c r="AH6" s="248" t="s">
        <v>660</v>
      </c>
      <c r="AI6" s="248" t="s">
        <v>661</v>
      </c>
      <c r="AJ6" s="248" t="s">
        <v>662</v>
      </c>
      <c r="AK6" s="248" t="s">
        <v>663</v>
      </c>
      <c r="AL6" s="248" t="s">
        <v>664</v>
      </c>
      <c r="AM6" s="248" t="s">
        <v>665</v>
      </c>
      <c r="AN6" s="248" t="s">
        <v>344</v>
      </c>
      <c r="AO6" s="248" t="s">
        <v>667</v>
      </c>
      <c r="AP6" s="248" t="s">
        <v>668</v>
      </c>
      <c r="AQ6" s="248" t="s">
        <v>669</v>
      </c>
      <c r="AR6" s="248" t="s">
        <v>345</v>
      </c>
      <c r="AS6" s="248" t="s">
        <v>346</v>
      </c>
      <c r="AT6" s="248" t="s">
        <v>672</v>
      </c>
      <c r="AU6" s="248" t="s">
        <v>674</v>
      </c>
      <c r="AV6" s="248" t="s">
        <v>675</v>
      </c>
      <c r="AW6" s="248" t="s">
        <v>676</v>
      </c>
      <c r="AX6" s="248" t="s">
        <v>347</v>
      </c>
      <c r="AY6" s="248" t="s">
        <v>677</v>
      </c>
      <c r="AZ6" s="248" t="s">
        <v>678</v>
      </c>
      <c r="BA6" s="248" t="s">
        <v>679</v>
      </c>
      <c r="BB6" s="248" t="s">
        <v>348</v>
      </c>
      <c r="BC6" s="248" t="s">
        <v>680</v>
      </c>
      <c r="BD6" s="248" t="s">
        <v>681</v>
      </c>
      <c r="BE6" s="248" t="s">
        <v>810</v>
      </c>
      <c r="BF6" s="248" t="s">
        <v>811</v>
      </c>
      <c r="BG6" s="248" t="s">
        <v>1213</v>
      </c>
      <c r="BH6" s="248" t="s">
        <v>350</v>
      </c>
      <c r="BI6" s="248" t="s">
        <v>686</v>
      </c>
      <c r="BJ6" s="248" t="s">
        <v>351</v>
      </c>
      <c r="BK6" s="248" t="s">
        <v>352</v>
      </c>
      <c r="BL6" s="248" t="s">
        <v>687</v>
      </c>
      <c r="BM6" s="248" t="s">
        <v>688</v>
      </c>
      <c r="BN6" s="248" t="s">
        <v>353</v>
      </c>
      <c r="BO6" s="248" t="s">
        <v>354</v>
      </c>
      <c r="BP6" s="248" t="s">
        <v>355</v>
      </c>
      <c r="BQ6" s="248" t="s">
        <v>1052</v>
      </c>
      <c r="BR6" s="248" t="s">
        <v>689</v>
      </c>
      <c r="BS6" s="248" t="s">
        <v>356</v>
      </c>
      <c r="BT6" s="248" t="s">
        <v>690</v>
      </c>
      <c r="BU6" s="248" t="s">
        <v>691</v>
      </c>
      <c r="BV6" s="248" t="s">
        <v>357</v>
      </c>
      <c r="BW6" s="248" t="s">
        <v>358</v>
      </c>
      <c r="BX6" s="248" t="s">
        <v>692</v>
      </c>
      <c r="BY6" s="248" t="s">
        <v>359</v>
      </c>
      <c r="BZ6" s="248" t="s">
        <v>360</v>
      </c>
      <c r="CA6" s="248" t="s">
        <v>693</v>
      </c>
      <c r="CB6" s="248" t="s">
        <v>694</v>
      </c>
      <c r="CC6" s="248" t="s">
        <v>695</v>
      </c>
      <c r="CD6" s="248" t="s">
        <v>696</v>
      </c>
      <c r="CE6" s="248" t="s">
        <v>361</v>
      </c>
      <c r="CF6" s="248" t="s">
        <v>362</v>
      </c>
      <c r="CG6" s="248" t="s">
        <v>363</v>
      </c>
      <c r="CH6" s="248" t="s">
        <v>697</v>
      </c>
      <c r="CI6" s="248" t="s">
        <v>698</v>
      </c>
      <c r="CJ6" s="248" t="s">
        <v>699</v>
      </c>
      <c r="CK6" s="248" t="s">
        <v>700</v>
      </c>
      <c r="CL6" s="248" t="s">
        <v>702</v>
      </c>
      <c r="CM6" s="248" t="s">
        <v>703</v>
      </c>
      <c r="CN6" s="248" t="s">
        <v>704</v>
      </c>
      <c r="CO6" s="248" t="s">
        <v>364</v>
      </c>
      <c r="CP6" s="248" t="s">
        <v>365</v>
      </c>
      <c r="CQ6" s="248" t="s">
        <v>708</v>
      </c>
      <c r="CR6" s="248" t="s">
        <v>711</v>
      </c>
      <c r="CS6" s="248" t="s">
        <v>366</v>
      </c>
      <c r="CT6" s="248" t="s">
        <v>714</v>
      </c>
      <c r="CU6" s="248" t="s">
        <v>715</v>
      </c>
      <c r="CV6" s="248" t="s">
        <v>716</v>
      </c>
      <c r="CW6" s="248" t="s">
        <v>367</v>
      </c>
      <c r="CX6" s="248" t="s">
        <v>717</v>
      </c>
      <c r="CY6" s="248" t="s">
        <v>368</v>
      </c>
      <c r="CZ6" s="248" t="s">
        <v>1263</v>
      </c>
      <c r="DA6" s="248" t="s">
        <v>718</v>
      </c>
      <c r="DB6" s="248" t="s">
        <v>720</v>
      </c>
      <c r="DC6" s="248" t="s">
        <v>721</v>
      </c>
      <c r="DD6" s="248" t="s">
        <v>722</v>
      </c>
      <c r="DE6" s="248" t="s">
        <v>723</v>
      </c>
      <c r="DF6" s="248" t="s">
        <v>370</v>
      </c>
      <c r="DG6" s="248" t="s">
        <v>1053</v>
      </c>
      <c r="DH6" s="248" t="s">
        <v>991</v>
      </c>
      <c r="DI6" s="248" t="s">
        <v>1054</v>
      </c>
      <c r="DJ6" s="248" t="s">
        <v>1055</v>
      </c>
      <c r="DK6" s="248" t="s">
        <v>992</v>
      </c>
      <c r="DL6" s="248" t="s">
        <v>1056</v>
      </c>
      <c r="DM6" s="248" t="s">
        <v>1057</v>
      </c>
      <c r="DN6" s="248" t="s">
        <v>1058</v>
      </c>
      <c r="DO6" s="248" t="s">
        <v>1059</v>
      </c>
      <c r="DP6" s="248" t="s">
        <v>1060</v>
      </c>
      <c r="DQ6" s="248" t="s">
        <v>724</v>
      </c>
      <c r="DR6" s="248" t="s">
        <v>725</v>
      </c>
      <c r="DS6" s="248" t="s">
        <v>1143</v>
      </c>
      <c r="DT6" s="248" t="s">
        <v>726</v>
      </c>
      <c r="DU6" s="248" t="s">
        <v>372</v>
      </c>
      <c r="DV6" s="248" t="s">
        <v>372</v>
      </c>
      <c r="DW6" s="248" t="s">
        <v>727</v>
      </c>
      <c r="DX6" s="248" t="s">
        <v>728</v>
      </c>
      <c r="DY6" s="248" t="s">
        <v>729</v>
      </c>
      <c r="DZ6" s="248" t="s">
        <v>373</v>
      </c>
      <c r="EA6" s="248" t="s">
        <v>730</v>
      </c>
      <c r="EB6" s="248" t="s">
        <v>731</v>
      </c>
      <c r="EC6" s="248" t="s">
        <v>374</v>
      </c>
      <c r="ED6" s="248" t="s">
        <v>732</v>
      </c>
      <c r="EE6" s="248" t="s">
        <v>733</v>
      </c>
      <c r="EF6" s="248" t="s">
        <v>734</v>
      </c>
      <c r="EG6" s="248" t="s">
        <v>735</v>
      </c>
      <c r="EH6" s="248" t="s">
        <v>736</v>
      </c>
      <c r="EI6" s="248" t="s">
        <v>375</v>
      </c>
      <c r="EJ6" s="248" t="s">
        <v>737</v>
      </c>
      <c r="EK6" s="248" t="s">
        <v>738</v>
      </c>
      <c r="EL6" s="248" t="s">
        <v>739</v>
      </c>
      <c r="EM6" s="248" t="s">
        <v>1264</v>
      </c>
      <c r="EN6" s="248" t="s">
        <v>1265</v>
      </c>
      <c r="EO6" s="248" t="s">
        <v>1061</v>
      </c>
      <c r="EP6" s="248" t="s">
        <v>742</v>
      </c>
      <c r="EQ6" s="248" t="s">
        <v>743</v>
      </c>
      <c r="ER6" s="248" t="s">
        <v>376</v>
      </c>
      <c r="ES6" s="248" t="s">
        <v>377</v>
      </c>
      <c r="ET6" s="248" t="s">
        <v>744</v>
      </c>
      <c r="EU6" s="248" t="s">
        <v>745</v>
      </c>
      <c r="EV6" s="248" t="s">
        <v>378</v>
      </c>
      <c r="EW6" s="248" t="s">
        <v>746</v>
      </c>
      <c r="EX6" s="248" t="s">
        <v>747</v>
      </c>
      <c r="EY6" s="248" t="s">
        <v>748</v>
      </c>
      <c r="EZ6" s="248" t="s">
        <v>379</v>
      </c>
      <c r="FA6" s="248" t="s">
        <v>749</v>
      </c>
      <c r="FB6" s="248" t="s">
        <v>750</v>
      </c>
      <c r="FC6" s="248" t="s">
        <v>751</v>
      </c>
      <c r="FD6" s="248" t="s">
        <v>380</v>
      </c>
      <c r="FE6" s="248" t="s">
        <v>891</v>
      </c>
      <c r="FF6" s="248" t="s">
        <v>1144</v>
      </c>
      <c r="FG6" s="248" t="s">
        <v>752</v>
      </c>
      <c r="FH6" s="248" t="s">
        <v>381</v>
      </c>
      <c r="FI6" s="248" t="s">
        <v>1266</v>
      </c>
      <c r="FJ6" s="248" t="s">
        <v>755</v>
      </c>
      <c r="FK6" s="248" t="s">
        <v>1267</v>
      </c>
      <c r="FL6" s="248" t="s">
        <v>1268</v>
      </c>
      <c r="FM6" s="248" t="s">
        <v>1269</v>
      </c>
      <c r="FN6" s="250" t="s">
        <v>872</v>
      </c>
      <c r="FO6" s="250" t="s">
        <v>382</v>
      </c>
      <c r="FP6" s="250" t="s">
        <v>383</v>
      </c>
      <c r="FQ6" s="250" t="s">
        <v>873</v>
      </c>
      <c r="FR6" s="250" t="s">
        <v>874</v>
      </c>
      <c r="FS6" s="228"/>
      <c r="FT6" s="227" t="s">
        <v>881</v>
      </c>
    </row>
    <row r="7" spans="1:176" s="260" customFormat="1">
      <c r="A7" s="251" t="s">
        <v>385</v>
      </c>
      <c r="B7" s="251" t="s">
        <v>385</v>
      </c>
      <c r="C7" s="251" t="s">
        <v>386</v>
      </c>
      <c r="D7" s="251" t="s">
        <v>291</v>
      </c>
      <c r="E7" s="252" t="s">
        <v>387</v>
      </c>
      <c r="F7" s="251" t="s">
        <v>388</v>
      </c>
      <c r="G7" s="251"/>
      <c r="H7" s="253"/>
      <c r="I7" s="253"/>
      <c r="J7" s="253"/>
      <c r="K7" s="253"/>
      <c r="L7" s="253"/>
      <c r="M7" s="253"/>
      <c r="N7" s="253"/>
      <c r="O7" s="253"/>
      <c r="P7" s="253"/>
      <c r="Q7" s="253"/>
      <c r="R7" s="253"/>
      <c r="S7" s="253"/>
      <c r="T7" s="253"/>
      <c r="U7" s="253"/>
      <c r="V7" s="253"/>
      <c r="W7" s="253"/>
      <c r="X7" s="253"/>
      <c r="Y7" s="253"/>
      <c r="Z7" s="253"/>
      <c r="AA7" s="253"/>
      <c r="AB7" s="253"/>
      <c r="AC7" s="253"/>
      <c r="AD7" s="255">
        <f>2000-2000</f>
        <v>0</v>
      </c>
      <c r="AE7" s="253"/>
      <c r="AF7" s="255">
        <f>2000-2000</f>
        <v>0</v>
      </c>
      <c r="AG7" s="253"/>
      <c r="AH7" s="253"/>
      <c r="AI7" s="253"/>
      <c r="AJ7" s="253"/>
      <c r="AK7" s="253"/>
      <c r="AL7" s="254">
        <f>3000-3000+20-20</f>
        <v>0</v>
      </c>
      <c r="AM7" s="253"/>
      <c r="AN7" s="254">
        <f>3000-3000+90-90</f>
        <v>0</v>
      </c>
      <c r="AO7" s="253"/>
      <c r="AP7" s="255">
        <f>5000-5000</f>
        <v>0</v>
      </c>
      <c r="AQ7" s="253"/>
      <c r="AR7" s="253"/>
      <c r="AS7" s="253"/>
      <c r="AT7" s="253"/>
      <c r="AU7" s="253"/>
      <c r="AV7" s="255">
        <f>500-500</f>
        <v>0</v>
      </c>
      <c r="AW7" s="255">
        <f>100-100</f>
        <v>0</v>
      </c>
      <c r="AX7" s="253"/>
      <c r="AY7" s="253"/>
      <c r="AZ7" s="253"/>
      <c r="BA7" s="253"/>
      <c r="BB7" s="254">
        <f>10000-10000+3300-1010</f>
        <v>2290</v>
      </c>
      <c r="BC7" s="253"/>
      <c r="BD7" s="253"/>
      <c r="BE7" s="253"/>
      <c r="BF7" s="253"/>
      <c r="BG7" s="253"/>
      <c r="BH7" s="253"/>
      <c r="BI7" s="253"/>
      <c r="BJ7" s="253"/>
      <c r="BK7" s="253"/>
      <c r="BL7" s="253"/>
      <c r="BM7" s="253"/>
      <c r="BN7" s="253"/>
      <c r="BO7" s="253"/>
      <c r="BP7" s="253"/>
      <c r="BQ7" s="253"/>
      <c r="BR7" s="253"/>
      <c r="BS7" s="253"/>
      <c r="BT7" s="253"/>
      <c r="BU7" s="253"/>
      <c r="BV7" s="253"/>
      <c r="BW7" s="253"/>
      <c r="BX7" s="253"/>
      <c r="BY7" s="253"/>
      <c r="BZ7" s="253"/>
      <c r="CA7" s="253"/>
      <c r="CB7" s="253"/>
      <c r="CC7" s="253"/>
      <c r="CD7" s="253"/>
      <c r="CE7" s="253"/>
      <c r="CF7" s="253"/>
      <c r="CG7" s="253"/>
      <c r="CH7" s="253"/>
      <c r="CI7" s="253"/>
      <c r="CJ7" s="253"/>
      <c r="CK7" s="253"/>
      <c r="CL7" s="253"/>
      <c r="CM7" s="253"/>
      <c r="CN7" s="253"/>
      <c r="CO7" s="253"/>
      <c r="CP7" s="253"/>
      <c r="CQ7" s="253"/>
      <c r="CR7" s="253"/>
      <c r="CS7" s="253"/>
      <c r="CT7" s="253"/>
      <c r="CU7" s="253"/>
      <c r="CV7" s="253"/>
      <c r="CW7" s="253"/>
      <c r="CX7" s="253"/>
      <c r="CY7" s="253"/>
      <c r="CZ7" s="253"/>
      <c r="DA7" s="253"/>
      <c r="DB7" s="253"/>
      <c r="DC7" s="253"/>
      <c r="DD7" s="253"/>
      <c r="DE7" s="253"/>
      <c r="DF7" s="253"/>
      <c r="DG7" s="253"/>
      <c r="DH7" s="253"/>
      <c r="DI7" s="253"/>
      <c r="DJ7" s="253"/>
      <c r="DK7" s="253"/>
      <c r="DL7" s="253"/>
      <c r="DM7" s="253"/>
      <c r="DN7" s="253"/>
      <c r="DO7" s="253"/>
      <c r="DP7" s="253"/>
      <c r="DQ7" s="253"/>
      <c r="DR7" s="253"/>
      <c r="DS7" s="253"/>
      <c r="DT7" s="253"/>
      <c r="DU7" s="253"/>
      <c r="DV7" s="253"/>
      <c r="DW7" s="253"/>
      <c r="DX7" s="253"/>
      <c r="DY7" s="253"/>
      <c r="DZ7" s="253"/>
      <c r="EA7" s="253"/>
      <c r="EB7" s="253"/>
      <c r="EC7" s="253"/>
      <c r="ED7" s="253"/>
      <c r="EE7" s="253"/>
      <c r="EF7" s="253"/>
      <c r="EG7" s="253"/>
      <c r="EH7" s="253"/>
      <c r="EI7" s="253"/>
      <c r="EJ7" s="253"/>
      <c r="EK7" s="253"/>
      <c r="EL7" s="253"/>
      <c r="EM7" s="253"/>
      <c r="EN7" s="253"/>
      <c r="EO7" s="253"/>
      <c r="EP7" s="253"/>
      <c r="EQ7" s="253"/>
      <c r="ER7" s="253"/>
      <c r="ES7" s="253"/>
      <c r="ET7" s="253"/>
      <c r="EU7" s="253"/>
      <c r="EV7" s="253"/>
      <c r="EW7" s="253"/>
      <c r="EX7" s="253"/>
      <c r="EY7" s="253"/>
      <c r="EZ7" s="253"/>
      <c r="FA7" s="253"/>
      <c r="FB7" s="253"/>
      <c r="FC7" s="253"/>
      <c r="FD7" s="253"/>
      <c r="FE7" s="253"/>
      <c r="FF7" s="253"/>
      <c r="FG7" s="253"/>
      <c r="FH7" s="253"/>
      <c r="FI7" s="253"/>
      <c r="FJ7" s="253"/>
      <c r="FK7" s="253"/>
      <c r="FL7" s="253"/>
      <c r="FM7" s="253"/>
      <c r="FN7" s="256"/>
      <c r="FO7" s="257" t="s">
        <v>1270</v>
      </c>
      <c r="FP7" s="258" t="s">
        <v>389</v>
      </c>
      <c r="FQ7" s="258"/>
      <c r="FR7" s="258" t="s">
        <v>390</v>
      </c>
      <c r="FS7" s="259">
        <f t="shared" ref="FS7:FS39" si="0">SUM(H7:FM7)</f>
        <v>2290</v>
      </c>
      <c r="FT7" s="260" t="s">
        <v>410</v>
      </c>
    </row>
    <row r="8" spans="1:176" s="260" customFormat="1">
      <c r="A8" s="251" t="s">
        <v>385</v>
      </c>
      <c r="B8" s="251" t="s">
        <v>385</v>
      </c>
      <c r="C8" s="251" t="s">
        <v>386</v>
      </c>
      <c r="D8" s="251" t="s">
        <v>1</v>
      </c>
      <c r="E8" s="252" t="s">
        <v>387</v>
      </c>
      <c r="F8" s="251" t="s">
        <v>388</v>
      </c>
      <c r="G8" s="251"/>
      <c r="H8" s="255">
        <f>100-100+19</f>
        <v>19</v>
      </c>
      <c r="I8" s="253"/>
      <c r="J8" s="253"/>
      <c r="K8" s="253"/>
      <c r="L8" s="253"/>
      <c r="M8" s="253"/>
      <c r="N8" s="253"/>
      <c r="O8" s="253"/>
      <c r="P8" s="253"/>
      <c r="Q8" s="253"/>
      <c r="R8" s="255">
        <f>500-500</f>
        <v>0</v>
      </c>
      <c r="S8" s="253"/>
      <c r="T8" s="255">
        <f>1000-1000</f>
        <v>0</v>
      </c>
      <c r="U8" s="255">
        <f>200-200</f>
        <v>0</v>
      </c>
      <c r="V8" s="253"/>
      <c r="W8" s="254">
        <f>40-40</f>
        <v>0</v>
      </c>
      <c r="X8" s="253"/>
      <c r="Y8" s="255">
        <f>300-300</f>
        <v>0</v>
      </c>
      <c r="Z8" s="255">
        <f>1000-1000</f>
        <v>0</v>
      </c>
      <c r="AA8" s="255">
        <f>4000-4000</f>
        <v>0</v>
      </c>
      <c r="AB8" s="255">
        <f>1000-1000</f>
        <v>0</v>
      </c>
      <c r="AC8" s="254">
        <f>500-500+160-30</f>
        <v>130</v>
      </c>
      <c r="AD8" s="253"/>
      <c r="AE8" s="254">
        <f>60-60</f>
        <v>0</v>
      </c>
      <c r="AF8" s="253"/>
      <c r="AG8" s="254">
        <f>3000-3000+10-10</f>
        <v>0</v>
      </c>
      <c r="AH8" s="255">
        <f>500-500</f>
        <v>0</v>
      </c>
      <c r="AI8" s="255">
        <f>300-300</f>
        <v>0</v>
      </c>
      <c r="AJ8" s="255">
        <f>500-500</f>
        <v>0</v>
      </c>
      <c r="AK8" s="255">
        <f>300-300</f>
        <v>0</v>
      </c>
      <c r="AL8" s="253"/>
      <c r="AM8" s="255">
        <f>200-200</f>
        <v>0</v>
      </c>
      <c r="AN8" s="253"/>
      <c r="AO8" s="254">
        <f>300-300+20-20</f>
        <v>0</v>
      </c>
      <c r="AP8" s="253"/>
      <c r="AQ8" s="255">
        <f>500-500+159</f>
        <v>159</v>
      </c>
      <c r="AR8" s="254">
        <f>300-300+91-91</f>
        <v>0</v>
      </c>
      <c r="AS8" s="254">
        <f>15000-15000+720-130</f>
        <v>590</v>
      </c>
      <c r="AT8" s="253"/>
      <c r="AU8" s="253"/>
      <c r="AV8" s="253"/>
      <c r="AW8" s="253"/>
      <c r="AX8" s="254">
        <f>3000-3000+480-290</f>
        <v>190</v>
      </c>
      <c r="AY8" s="255">
        <f>500-500</f>
        <v>0</v>
      </c>
      <c r="AZ8" s="255">
        <f>200-200</f>
        <v>0</v>
      </c>
      <c r="BA8" s="255">
        <f>100-100</f>
        <v>0</v>
      </c>
      <c r="BB8" s="255">
        <v>1840</v>
      </c>
      <c r="BC8" s="254">
        <f>200-200+78-78</f>
        <v>0</v>
      </c>
      <c r="BD8" s="255">
        <f>1000-1000</f>
        <v>0</v>
      </c>
      <c r="BE8" s="253"/>
      <c r="BF8" s="253"/>
      <c r="BG8" s="253"/>
      <c r="BH8" s="254">
        <f>2000-2000+990-170</f>
        <v>820</v>
      </c>
      <c r="BI8" s="254">
        <f>800-800+10-10</f>
        <v>0</v>
      </c>
      <c r="BJ8" s="254">
        <f>3000-3000+60-60</f>
        <v>0</v>
      </c>
      <c r="BK8" s="254">
        <f>8000-8000+3640-680</f>
        <v>2960</v>
      </c>
      <c r="BL8" s="254">
        <f>4000-4000+22-22</f>
        <v>0</v>
      </c>
      <c r="BM8" s="255">
        <f>1000-1000</f>
        <v>0</v>
      </c>
      <c r="BN8" s="254">
        <f>2000-2000+35-10</f>
        <v>25</v>
      </c>
      <c r="BO8" s="254">
        <f>500-500</f>
        <v>0</v>
      </c>
      <c r="BP8" s="254">
        <f>5000-5000+5-5</f>
        <v>0</v>
      </c>
      <c r="BQ8" s="254">
        <f>1000-1000+10-10</f>
        <v>0</v>
      </c>
      <c r="BR8" s="254">
        <f>4000-4000+40-10</f>
        <v>30</v>
      </c>
      <c r="BS8" s="254">
        <f>4000-4000+3-3</f>
        <v>0</v>
      </c>
      <c r="BT8" s="254">
        <f>500-500+90-40</f>
        <v>50</v>
      </c>
      <c r="BU8" s="254">
        <f>2000-2000+2-2</f>
        <v>0</v>
      </c>
      <c r="BV8" s="254">
        <f>2000-2000+1400-115</f>
        <v>1285</v>
      </c>
      <c r="BW8" s="254">
        <f>1000-1000+70-70</f>
        <v>0</v>
      </c>
      <c r="BX8" s="254">
        <f>3000-3000+40-40</f>
        <v>0</v>
      </c>
      <c r="BY8" s="254">
        <f>6000-6000+2120-360</f>
        <v>1760</v>
      </c>
      <c r="BZ8" s="254">
        <f>4000-4000+670-120</f>
        <v>550</v>
      </c>
      <c r="CA8" s="254">
        <f>1500-1500+15-15</f>
        <v>0</v>
      </c>
      <c r="CB8" s="254">
        <f>400-400</f>
        <v>0</v>
      </c>
      <c r="CC8" s="254">
        <f>400-400</f>
        <v>0</v>
      </c>
      <c r="CD8" s="254">
        <f>500-500+655-35</f>
        <v>620</v>
      </c>
      <c r="CE8" s="254">
        <f>1000-1000+70-70</f>
        <v>0</v>
      </c>
      <c r="CF8" s="254">
        <f>4000-4000</f>
        <v>0</v>
      </c>
      <c r="CG8" s="254">
        <f>4000-4000+800-60</f>
        <v>740</v>
      </c>
      <c r="CH8" s="254">
        <f>1000-1000</f>
        <v>0</v>
      </c>
      <c r="CI8" s="254">
        <f>100-100+155-45</f>
        <v>110</v>
      </c>
      <c r="CJ8" s="254"/>
      <c r="CK8" s="254"/>
      <c r="CL8" s="254"/>
      <c r="CM8" s="254"/>
      <c r="CN8" s="254"/>
      <c r="CO8" s="254">
        <f>2000-2000</f>
        <v>0</v>
      </c>
      <c r="CP8" s="254">
        <f>1500-1500+40-40</f>
        <v>0</v>
      </c>
      <c r="CQ8" s="253"/>
      <c r="CR8" s="253"/>
      <c r="CS8" s="255">
        <f>500-500</f>
        <v>0</v>
      </c>
      <c r="CT8" s="254">
        <v>18</v>
      </c>
      <c r="CU8" s="254">
        <v>2</v>
      </c>
      <c r="CV8" s="255">
        <f>300-300</f>
        <v>0</v>
      </c>
      <c r="CW8" s="255">
        <f>500-500</f>
        <v>0</v>
      </c>
      <c r="CX8" s="255">
        <f>1000-1000</f>
        <v>0</v>
      </c>
      <c r="CY8" s="254">
        <f>2000-2000+470-80</f>
        <v>390</v>
      </c>
      <c r="CZ8" s="253"/>
      <c r="DA8" s="253"/>
      <c r="DB8" s="253"/>
      <c r="DC8" s="253"/>
      <c r="DD8" s="255">
        <f>1000-1000+3</f>
        <v>3</v>
      </c>
      <c r="DE8" s="253"/>
      <c r="DF8" s="254">
        <f>500-500+5-5</f>
        <v>0</v>
      </c>
      <c r="DG8" s="253"/>
      <c r="DH8" s="255">
        <f>1000-1000</f>
        <v>0</v>
      </c>
      <c r="DI8" s="255">
        <f>500-500</f>
        <v>0</v>
      </c>
      <c r="DJ8" s="255">
        <f>500-500</f>
        <v>0</v>
      </c>
      <c r="DK8" s="255">
        <f>1000-1000</f>
        <v>0</v>
      </c>
      <c r="DL8" s="254">
        <f>1000-1000+190-50</f>
        <v>140</v>
      </c>
      <c r="DM8" s="254">
        <f>1000-1000</f>
        <v>0</v>
      </c>
      <c r="DN8" s="254">
        <f>3000-3000+510-150</f>
        <v>360</v>
      </c>
      <c r="DO8" s="255">
        <f>2000-2000</f>
        <v>0</v>
      </c>
      <c r="DP8" s="255">
        <f>2000-2000</f>
        <v>0</v>
      </c>
      <c r="DQ8" s="253"/>
      <c r="DR8" s="253"/>
      <c r="DS8" s="253"/>
      <c r="DT8" s="253"/>
      <c r="DU8" s="253"/>
      <c r="DV8" s="253"/>
      <c r="DW8" s="253"/>
      <c r="DX8" s="253"/>
      <c r="DY8" s="255">
        <f>100-100</f>
        <v>0</v>
      </c>
      <c r="DZ8" s="255">
        <f>100-100</f>
        <v>0</v>
      </c>
      <c r="EA8" s="253"/>
      <c r="EB8" s="253"/>
      <c r="EC8" s="255">
        <f>500-500</f>
        <v>0</v>
      </c>
      <c r="ED8" s="255">
        <f>300-300</f>
        <v>0</v>
      </c>
      <c r="EE8" s="253"/>
      <c r="EF8" s="253"/>
      <c r="EG8" s="255">
        <f>500-500</f>
        <v>0</v>
      </c>
      <c r="EH8" s="255">
        <f>200-200</f>
        <v>0</v>
      </c>
      <c r="EI8" s="255">
        <f>1000-1000</f>
        <v>0</v>
      </c>
      <c r="EJ8" s="255">
        <f>500-500</f>
        <v>0</v>
      </c>
      <c r="EK8" s="254">
        <f>500-500+25-25</f>
        <v>0</v>
      </c>
      <c r="EL8" s="255">
        <f>3000-3000</f>
        <v>0</v>
      </c>
      <c r="EM8" s="253"/>
      <c r="EN8" s="253"/>
      <c r="EO8" s="253"/>
      <c r="EP8" s="255">
        <f>3000-3000+40</f>
        <v>40</v>
      </c>
      <c r="EQ8" s="253"/>
      <c r="ER8" s="254">
        <f>4000-4000+35-35</f>
        <v>0</v>
      </c>
      <c r="ES8" s="255">
        <f>5000-5000+80</f>
        <v>80</v>
      </c>
      <c r="ET8" s="254">
        <f>1000-1000+4-4</f>
        <v>0</v>
      </c>
      <c r="EU8" s="253"/>
      <c r="EV8" s="255">
        <f>2000-2000</f>
        <v>0</v>
      </c>
      <c r="EW8" s="255">
        <f>2000-2000+1</f>
        <v>1</v>
      </c>
      <c r="EX8" s="255">
        <f>500-500</f>
        <v>0</v>
      </c>
      <c r="EY8" s="253"/>
      <c r="EZ8" s="255">
        <f>4000-4000+5</f>
        <v>5</v>
      </c>
      <c r="FA8" s="255">
        <f>500-500+20</f>
        <v>20</v>
      </c>
      <c r="FB8" s="255">
        <f>300-300</f>
        <v>0</v>
      </c>
      <c r="FC8" s="253"/>
      <c r="FD8" s="255">
        <f>800-800+4</f>
        <v>4</v>
      </c>
      <c r="FE8" s="253"/>
      <c r="FF8" s="253"/>
      <c r="FG8" s="255">
        <f>1000-1000</f>
        <v>0</v>
      </c>
      <c r="FH8" s="255">
        <f>1000-1000</f>
        <v>0</v>
      </c>
      <c r="FI8" s="253"/>
      <c r="FJ8" s="253"/>
      <c r="FK8" s="253"/>
      <c r="FL8" s="253"/>
      <c r="FM8" s="253"/>
      <c r="FN8" s="256"/>
      <c r="FO8" s="257" t="s">
        <v>1270</v>
      </c>
      <c r="FP8" s="258" t="s">
        <v>389</v>
      </c>
      <c r="FQ8" s="258"/>
      <c r="FR8" s="258" t="s">
        <v>390</v>
      </c>
      <c r="FS8" s="259">
        <f t="shared" si="0"/>
        <v>12941</v>
      </c>
      <c r="FT8" s="260" t="s">
        <v>410</v>
      </c>
    </row>
    <row r="9" spans="1:176" s="260" customFormat="1">
      <c r="A9" s="251" t="s">
        <v>385</v>
      </c>
      <c r="B9" s="251" t="s">
        <v>385</v>
      </c>
      <c r="C9" s="251" t="s">
        <v>386</v>
      </c>
      <c r="D9" s="251" t="s">
        <v>293</v>
      </c>
      <c r="E9" s="252" t="s">
        <v>387</v>
      </c>
      <c r="F9" s="251" t="s">
        <v>388</v>
      </c>
      <c r="G9" s="251"/>
      <c r="H9" s="253"/>
      <c r="I9" s="253"/>
      <c r="J9" s="253"/>
      <c r="K9" s="253"/>
      <c r="L9" s="253"/>
      <c r="M9" s="253"/>
      <c r="N9" s="253"/>
      <c r="O9" s="253"/>
      <c r="P9" s="253"/>
      <c r="Q9" s="253"/>
      <c r="R9" s="253"/>
      <c r="S9" s="253"/>
      <c r="T9" s="253"/>
      <c r="U9" s="253"/>
      <c r="V9" s="253"/>
      <c r="W9" s="253"/>
      <c r="X9" s="253"/>
      <c r="Y9" s="253"/>
      <c r="Z9" s="253"/>
      <c r="AA9" s="253"/>
      <c r="AB9" s="253"/>
      <c r="AC9" s="253"/>
      <c r="AD9" s="253"/>
      <c r="AE9" s="253"/>
      <c r="AF9" s="253"/>
      <c r="AG9" s="253"/>
      <c r="AH9" s="253"/>
      <c r="AI9" s="253"/>
      <c r="AJ9" s="253"/>
      <c r="AK9" s="253"/>
      <c r="AL9" s="253"/>
      <c r="AM9" s="253"/>
      <c r="AN9" s="255">
        <v>30</v>
      </c>
      <c r="AO9" s="253"/>
      <c r="AP9" s="253"/>
      <c r="AQ9" s="253"/>
      <c r="AR9" s="253"/>
      <c r="AS9" s="253"/>
      <c r="AT9" s="253"/>
      <c r="AU9" s="253"/>
      <c r="AV9" s="253"/>
      <c r="AW9" s="253"/>
      <c r="AX9" s="253"/>
      <c r="AY9" s="253"/>
      <c r="AZ9" s="253"/>
      <c r="BA9" s="253"/>
      <c r="BB9" s="253"/>
      <c r="BC9" s="253"/>
      <c r="BD9" s="253"/>
      <c r="BE9" s="253"/>
      <c r="BF9" s="253"/>
      <c r="BG9" s="253"/>
      <c r="BH9" s="253"/>
      <c r="BI9" s="253"/>
      <c r="BJ9" s="253"/>
      <c r="BK9" s="253"/>
      <c r="BL9" s="253"/>
      <c r="BM9" s="253"/>
      <c r="BN9" s="253"/>
      <c r="BO9" s="253"/>
      <c r="BP9" s="253"/>
      <c r="BQ9" s="253"/>
      <c r="BR9" s="253"/>
      <c r="BS9" s="253"/>
      <c r="BT9" s="253"/>
      <c r="BU9" s="253"/>
      <c r="BV9" s="253"/>
      <c r="BW9" s="253"/>
      <c r="BX9" s="253"/>
      <c r="BY9" s="253"/>
      <c r="BZ9" s="255">
        <v>90</v>
      </c>
      <c r="CA9" s="253"/>
      <c r="CB9" s="253"/>
      <c r="CC9" s="253"/>
      <c r="CD9" s="253"/>
      <c r="CE9" s="253"/>
      <c r="CF9" s="253"/>
      <c r="CG9" s="253"/>
      <c r="CH9" s="253"/>
      <c r="CI9" s="253"/>
      <c r="CJ9" s="253"/>
      <c r="CK9" s="253"/>
      <c r="CL9" s="253"/>
      <c r="CM9" s="253"/>
      <c r="CN9" s="253"/>
      <c r="CO9" s="253"/>
      <c r="CP9" s="253"/>
      <c r="CQ9" s="253"/>
      <c r="CR9" s="253"/>
      <c r="CS9" s="253"/>
      <c r="CT9" s="253"/>
      <c r="CU9" s="255">
        <v>70</v>
      </c>
      <c r="CV9" s="253"/>
      <c r="CW9" s="253"/>
      <c r="CX9" s="253"/>
      <c r="CY9" s="253"/>
      <c r="CZ9" s="254">
        <f>80-80+30-11</f>
        <v>19</v>
      </c>
      <c r="DA9" s="253"/>
      <c r="DB9" s="253"/>
      <c r="DC9" s="253"/>
      <c r="DD9" s="253"/>
      <c r="DE9" s="253"/>
      <c r="DF9" s="253"/>
      <c r="DG9" s="253"/>
      <c r="DH9" s="253"/>
      <c r="DI9" s="253"/>
      <c r="DJ9" s="253"/>
      <c r="DK9" s="253"/>
      <c r="DL9" s="253"/>
      <c r="DM9" s="253"/>
      <c r="DN9" s="253"/>
      <c r="DO9" s="253"/>
      <c r="DP9" s="253"/>
      <c r="DQ9" s="253"/>
      <c r="DR9" s="253"/>
      <c r="DS9" s="253"/>
      <c r="DT9" s="253"/>
      <c r="DU9" s="253"/>
      <c r="DV9" s="253"/>
      <c r="DW9" s="253"/>
      <c r="DX9" s="253"/>
      <c r="DY9" s="253"/>
      <c r="DZ9" s="253"/>
      <c r="EA9" s="253"/>
      <c r="EB9" s="253"/>
      <c r="EC9" s="253"/>
      <c r="ED9" s="253"/>
      <c r="EE9" s="253"/>
      <c r="EF9" s="253"/>
      <c r="EG9" s="253"/>
      <c r="EH9" s="253"/>
      <c r="EI9" s="253"/>
      <c r="EJ9" s="253"/>
      <c r="EK9" s="253"/>
      <c r="EL9" s="253"/>
      <c r="EM9" s="253"/>
      <c r="EN9" s="253"/>
      <c r="EO9" s="253"/>
      <c r="EP9" s="253"/>
      <c r="EQ9" s="255">
        <f>1000-1000</f>
        <v>0</v>
      </c>
      <c r="ER9" s="253"/>
      <c r="ES9" s="253"/>
      <c r="ET9" s="253"/>
      <c r="EU9" s="255">
        <f>500-500</f>
        <v>0</v>
      </c>
      <c r="EV9" s="253"/>
      <c r="EW9" s="253"/>
      <c r="EX9" s="253"/>
      <c r="EY9" s="255">
        <f>100-100</f>
        <v>0</v>
      </c>
      <c r="EZ9" s="253"/>
      <c r="FA9" s="253"/>
      <c r="FB9" s="253"/>
      <c r="FC9" s="255">
        <f>100-100</f>
        <v>0</v>
      </c>
      <c r="FD9" s="253"/>
      <c r="FE9" s="253"/>
      <c r="FF9" s="253"/>
      <c r="FG9" s="253"/>
      <c r="FH9" s="253"/>
      <c r="FI9" s="253"/>
      <c r="FJ9" s="253"/>
      <c r="FK9" s="253"/>
      <c r="FL9" s="253"/>
      <c r="FM9" s="253"/>
      <c r="FN9" s="256"/>
      <c r="FO9" s="257" t="s">
        <v>1270</v>
      </c>
      <c r="FP9" s="258" t="s">
        <v>389</v>
      </c>
      <c r="FQ9" s="258"/>
      <c r="FR9" s="258" t="s">
        <v>390</v>
      </c>
      <c r="FS9" s="259">
        <f t="shared" si="0"/>
        <v>209</v>
      </c>
      <c r="FT9" s="260" t="s">
        <v>410</v>
      </c>
    </row>
    <row r="10" spans="1:176" s="260" customFormat="1">
      <c r="A10" s="251" t="s">
        <v>385</v>
      </c>
      <c r="B10" s="251" t="s">
        <v>385</v>
      </c>
      <c r="C10" s="251" t="s">
        <v>386</v>
      </c>
      <c r="D10" s="251" t="s">
        <v>1</v>
      </c>
      <c r="E10" s="263" t="s">
        <v>387</v>
      </c>
      <c r="F10" s="251" t="s">
        <v>388</v>
      </c>
      <c r="G10" s="251"/>
      <c r="H10" s="253"/>
      <c r="I10" s="253"/>
      <c r="J10" s="253"/>
      <c r="K10" s="253"/>
      <c r="L10" s="253"/>
      <c r="M10" s="253"/>
      <c r="N10" s="253"/>
      <c r="O10" s="253"/>
      <c r="P10" s="253"/>
      <c r="Q10" s="253"/>
      <c r="R10" s="253"/>
      <c r="S10" s="253"/>
      <c r="T10" s="253"/>
      <c r="U10" s="253"/>
      <c r="V10" s="253"/>
      <c r="W10" s="253"/>
      <c r="X10" s="253"/>
      <c r="Y10" s="253"/>
      <c r="Z10" s="253"/>
      <c r="AA10" s="253"/>
      <c r="AB10" s="253"/>
      <c r="AC10" s="253"/>
      <c r="AD10" s="253"/>
      <c r="AE10" s="253"/>
      <c r="AF10" s="253"/>
      <c r="AG10" s="253"/>
      <c r="AH10" s="253"/>
      <c r="AI10" s="253"/>
      <c r="AJ10" s="253"/>
      <c r="AK10" s="253"/>
      <c r="AL10" s="253"/>
      <c r="AM10" s="253"/>
      <c r="AN10" s="253"/>
      <c r="AO10" s="253"/>
      <c r="AP10" s="253"/>
      <c r="AQ10" s="253"/>
      <c r="AR10" s="253"/>
      <c r="AS10" s="253"/>
      <c r="AT10" s="253"/>
      <c r="AU10" s="253"/>
      <c r="AV10" s="253"/>
      <c r="AW10" s="253"/>
      <c r="AX10" s="253"/>
      <c r="AY10" s="253"/>
      <c r="AZ10" s="253"/>
      <c r="BA10" s="253"/>
      <c r="BB10" s="253"/>
      <c r="BC10" s="253"/>
      <c r="BD10" s="253"/>
      <c r="BE10" s="253"/>
      <c r="BF10" s="253"/>
      <c r="BG10" s="253"/>
      <c r="BH10" s="253"/>
      <c r="BI10" s="253"/>
      <c r="BJ10" s="253"/>
      <c r="BK10" s="253"/>
      <c r="BL10" s="253"/>
      <c r="BM10" s="253"/>
      <c r="BN10" s="253"/>
      <c r="BO10" s="253"/>
      <c r="BP10" s="253"/>
      <c r="BQ10" s="253"/>
      <c r="BR10" s="253"/>
      <c r="BS10" s="253"/>
      <c r="BT10" s="253"/>
      <c r="BU10" s="253"/>
      <c r="BV10" s="253"/>
      <c r="BW10" s="253"/>
      <c r="BX10" s="253"/>
      <c r="BY10" s="253"/>
      <c r="BZ10" s="253"/>
      <c r="CA10" s="253"/>
      <c r="CB10" s="253"/>
      <c r="CC10" s="253"/>
      <c r="CD10" s="253"/>
      <c r="CE10" s="253"/>
      <c r="CF10" s="253"/>
      <c r="CG10" s="253"/>
      <c r="CH10" s="253"/>
      <c r="CI10" s="253"/>
      <c r="CJ10" s="253"/>
      <c r="CK10" s="253"/>
      <c r="CL10" s="253"/>
      <c r="CM10" s="253"/>
      <c r="CN10" s="253"/>
      <c r="CO10" s="253"/>
      <c r="CP10" s="253"/>
      <c r="CQ10" s="253"/>
      <c r="CR10" s="253"/>
      <c r="CS10" s="253"/>
      <c r="CT10" s="253"/>
      <c r="CU10" s="253"/>
      <c r="CV10" s="253"/>
      <c r="CW10" s="253"/>
      <c r="CX10" s="253"/>
      <c r="CY10" s="253"/>
      <c r="CZ10" s="253"/>
      <c r="DA10" s="253"/>
      <c r="DB10" s="253"/>
      <c r="DC10" s="253"/>
      <c r="DD10" s="253"/>
      <c r="DE10" s="253"/>
      <c r="DF10" s="253"/>
      <c r="DG10" s="255">
        <f>3000-3000</f>
        <v>0</v>
      </c>
      <c r="DH10" s="253"/>
      <c r="DI10" s="253"/>
      <c r="DJ10" s="253"/>
      <c r="DK10" s="253"/>
      <c r="DL10" s="253"/>
      <c r="DM10" s="253"/>
      <c r="DN10" s="253"/>
      <c r="DO10" s="253"/>
      <c r="DP10" s="253"/>
      <c r="DQ10" s="253"/>
      <c r="DR10" s="253"/>
      <c r="DS10" s="253"/>
      <c r="DT10" s="253"/>
      <c r="DU10" s="253"/>
      <c r="DV10" s="253"/>
      <c r="DW10" s="253"/>
      <c r="DX10" s="253"/>
      <c r="DY10" s="253"/>
      <c r="DZ10" s="253"/>
      <c r="EA10" s="253"/>
      <c r="EB10" s="253"/>
      <c r="EC10" s="253"/>
      <c r="ED10" s="253"/>
      <c r="EE10" s="253"/>
      <c r="EF10" s="253"/>
      <c r="EG10" s="253"/>
      <c r="EH10" s="253"/>
      <c r="EI10" s="253"/>
      <c r="EJ10" s="253"/>
      <c r="EK10" s="253"/>
      <c r="EL10" s="253"/>
      <c r="EM10" s="253"/>
      <c r="EN10" s="253"/>
      <c r="EO10" s="253"/>
      <c r="EP10" s="253"/>
      <c r="EQ10" s="253"/>
      <c r="ER10" s="253"/>
      <c r="ES10" s="253"/>
      <c r="ET10" s="253"/>
      <c r="EU10" s="253"/>
      <c r="EV10" s="253"/>
      <c r="EW10" s="253"/>
      <c r="EX10" s="253"/>
      <c r="EY10" s="253"/>
      <c r="EZ10" s="253"/>
      <c r="FA10" s="253"/>
      <c r="FB10" s="253"/>
      <c r="FC10" s="253"/>
      <c r="FD10" s="253"/>
      <c r="FE10" s="253"/>
      <c r="FF10" s="253"/>
      <c r="FG10" s="253"/>
      <c r="FH10" s="253"/>
      <c r="FI10" s="253"/>
      <c r="FJ10" s="253"/>
      <c r="FK10" s="253"/>
      <c r="FL10" s="253"/>
      <c r="FM10" s="253"/>
      <c r="FN10" s="256"/>
      <c r="FO10" s="257" t="s">
        <v>1270</v>
      </c>
      <c r="FP10" s="258" t="s">
        <v>1271</v>
      </c>
      <c r="FQ10" s="258"/>
      <c r="FR10" s="258" t="s">
        <v>390</v>
      </c>
      <c r="FS10" s="259">
        <f t="shared" si="0"/>
        <v>0</v>
      </c>
      <c r="FT10" s="260" t="s">
        <v>410</v>
      </c>
    </row>
    <row r="11" spans="1:176" s="260" customFormat="1">
      <c r="A11" s="251" t="s">
        <v>385</v>
      </c>
      <c r="B11" s="251" t="s">
        <v>392</v>
      </c>
      <c r="C11" s="251" t="s">
        <v>386</v>
      </c>
      <c r="D11" s="251" t="s">
        <v>291</v>
      </c>
      <c r="E11" s="252" t="s">
        <v>387</v>
      </c>
      <c r="F11" s="251" t="s">
        <v>388</v>
      </c>
      <c r="G11" s="251"/>
      <c r="H11" s="253"/>
      <c r="I11" s="255">
        <f>4000-4000</f>
        <v>0</v>
      </c>
      <c r="J11" s="253"/>
      <c r="K11" s="255">
        <f>4000-4000</f>
        <v>0</v>
      </c>
      <c r="L11" s="254">
        <f>8000-8000+1960-900</f>
        <v>1060</v>
      </c>
      <c r="M11" s="255">
        <f>10000-10000</f>
        <v>0</v>
      </c>
      <c r="N11" s="253"/>
      <c r="O11" s="253"/>
      <c r="P11" s="253"/>
      <c r="Q11" s="253"/>
      <c r="R11" s="253"/>
      <c r="S11" s="253"/>
      <c r="T11" s="253"/>
      <c r="U11" s="253"/>
      <c r="V11" s="253"/>
      <c r="W11" s="253"/>
      <c r="X11" s="253"/>
      <c r="Y11" s="253"/>
      <c r="Z11" s="253"/>
      <c r="AA11" s="253"/>
      <c r="AB11" s="253"/>
      <c r="AC11" s="253"/>
      <c r="AD11" s="253"/>
      <c r="AE11" s="253"/>
      <c r="AF11" s="253"/>
      <c r="AG11" s="253"/>
      <c r="AH11" s="253"/>
      <c r="AI11" s="253"/>
      <c r="AJ11" s="253"/>
      <c r="AK11" s="253"/>
      <c r="AL11" s="253"/>
      <c r="AM11" s="253"/>
      <c r="AN11" s="253"/>
      <c r="AO11" s="253"/>
      <c r="AP11" s="253"/>
      <c r="AQ11" s="253"/>
      <c r="AR11" s="253"/>
      <c r="AS11" s="253"/>
      <c r="AT11" s="253"/>
      <c r="AU11" s="253"/>
      <c r="AV11" s="253"/>
      <c r="AW11" s="253"/>
      <c r="AX11" s="253"/>
      <c r="AY11" s="253"/>
      <c r="AZ11" s="253"/>
      <c r="BA11" s="253"/>
      <c r="BB11" s="253"/>
      <c r="BC11" s="253"/>
      <c r="BD11" s="253"/>
      <c r="BE11" s="253"/>
      <c r="BF11" s="253"/>
      <c r="BG11" s="253"/>
      <c r="BH11" s="253"/>
      <c r="BI11" s="253"/>
      <c r="BJ11" s="253"/>
      <c r="BK11" s="253"/>
      <c r="BL11" s="253"/>
      <c r="BM11" s="253"/>
      <c r="BN11" s="253"/>
      <c r="BO11" s="253"/>
      <c r="BP11" s="253"/>
      <c r="BQ11" s="253"/>
      <c r="BR11" s="253"/>
      <c r="BS11" s="253"/>
      <c r="BT11" s="253"/>
      <c r="BU11" s="253"/>
      <c r="BV11" s="253"/>
      <c r="BW11" s="253"/>
      <c r="BX11" s="253"/>
      <c r="BY11" s="253"/>
      <c r="BZ11" s="253"/>
      <c r="CA11" s="253"/>
      <c r="CB11" s="253"/>
      <c r="CC11" s="253"/>
      <c r="CD11" s="253"/>
      <c r="CE11" s="253"/>
      <c r="CF11" s="253"/>
      <c r="CG11" s="253"/>
      <c r="CH11" s="253"/>
      <c r="CI11" s="253"/>
      <c r="CJ11" s="253"/>
      <c r="CK11" s="253"/>
      <c r="CL11" s="253"/>
      <c r="CM11" s="253"/>
      <c r="CN11" s="253"/>
      <c r="CO11" s="253"/>
      <c r="CP11" s="253"/>
      <c r="CQ11" s="253"/>
      <c r="CR11" s="253"/>
      <c r="CS11" s="253"/>
      <c r="CT11" s="253"/>
      <c r="CU11" s="253"/>
      <c r="CV11" s="253"/>
      <c r="CW11" s="253"/>
      <c r="CX11" s="253"/>
      <c r="CY11" s="253"/>
      <c r="CZ11" s="253"/>
      <c r="DA11" s="253"/>
      <c r="DB11" s="253"/>
      <c r="DC11" s="253"/>
      <c r="DD11" s="253"/>
      <c r="DE11" s="253"/>
      <c r="DF11" s="253"/>
      <c r="DG11" s="253"/>
      <c r="DH11" s="253"/>
      <c r="DI11" s="253"/>
      <c r="DJ11" s="253"/>
      <c r="DK11" s="253"/>
      <c r="DL11" s="253"/>
      <c r="DM11" s="253"/>
      <c r="DN11" s="253"/>
      <c r="DO11" s="253"/>
      <c r="DP11" s="253"/>
      <c r="DQ11" s="255">
        <f>2000-2000</f>
        <v>0</v>
      </c>
      <c r="DR11" s="253"/>
      <c r="DS11" s="254">
        <f>8000-8000+2800-480</f>
        <v>2320</v>
      </c>
      <c r="DT11" s="253"/>
      <c r="DU11" s="253"/>
      <c r="DV11" s="255">
        <f>5000-5000</f>
        <v>0</v>
      </c>
      <c r="DW11" s="255">
        <f>1500-1500</f>
        <v>0</v>
      </c>
      <c r="DX11" s="254">
        <f>1500-1500+14-14</f>
        <v>0</v>
      </c>
      <c r="DY11" s="253"/>
      <c r="DZ11" s="253"/>
      <c r="EA11" s="253"/>
      <c r="EB11" s="253"/>
      <c r="EC11" s="253"/>
      <c r="ED11" s="253"/>
      <c r="EE11" s="253"/>
      <c r="EF11" s="253"/>
      <c r="EG11" s="253"/>
      <c r="EH11" s="253"/>
      <c r="EI11" s="253"/>
      <c r="EJ11" s="253"/>
      <c r="EK11" s="253"/>
      <c r="EL11" s="253"/>
      <c r="EM11" s="253"/>
      <c r="EN11" s="253"/>
      <c r="EO11" s="253"/>
      <c r="EP11" s="253"/>
      <c r="EQ11" s="253"/>
      <c r="ER11" s="253"/>
      <c r="ES11" s="253"/>
      <c r="ET11" s="253"/>
      <c r="EU11" s="253"/>
      <c r="EV11" s="253"/>
      <c r="EW11" s="253"/>
      <c r="EX11" s="253"/>
      <c r="EY11" s="253"/>
      <c r="EZ11" s="253"/>
      <c r="FA11" s="253"/>
      <c r="FB11" s="253"/>
      <c r="FC11" s="253"/>
      <c r="FD11" s="253"/>
      <c r="FE11" s="253"/>
      <c r="FF11" s="253"/>
      <c r="FG11" s="253"/>
      <c r="FH11" s="253"/>
      <c r="FI11" s="253"/>
      <c r="FJ11" s="253"/>
      <c r="FK11" s="253"/>
      <c r="FL11" s="253"/>
      <c r="FM11" s="253"/>
      <c r="FN11" s="256"/>
      <c r="FO11" s="257" t="s">
        <v>1270</v>
      </c>
      <c r="FP11" s="258" t="s">
        <v>389</v>
      </c>
      <c r="FQ11" s="258"/>
      <c r="FR11" s="258" t="s">
        <v>390</v>
      </c>
      <c r="FS11" s="259">
        <f t="shared" si="0"/>
        <v>3380</v>
      </c>
      <c r="FT11" s="260" t="s">
        <v>410</v>
      </c>
    </row>
    <row r="12" spans="1:176" s="260" customFormat="1">
      <c r="A12" s="251" t="s">
        <v>385</v>
      </c>
      <c r="B12" s="251" t="s">
        <v>392</v>
      </c>
      <c r="C12" s="251" t="s">
        <v>386</v>
      </c>
      <c r="D12" s="251" t="s">
        <v>1</v>
      </c>
      <c r="E12" s="252" t="s">
        <v>387</v>
      </c>
      <c r="F12" s="251" t="s">
        <v>388</v>
      </c>
      <c r="G12" s="251"/>
      <c r="H12" s="253"/>
      <c r="I12" s="253"/>
      <c r="J12" s="253"/>
      <c r="K12" s="253"/>
      <c r="L12" s="253"/>
      <c r="M12" s="253"/>
      <c r="N12" s="255">
        <f>10000-10000</f>
        <v>0</v>
      </c>
      <c r="O12" s="255">
        <f>10000-10000</f>
        <v>0</v>
      </c>
      <c r="P12" s="253"/>
      <c r="Q12" s="253"/>
      <c r="R12" s="253"/>
      <c r="S12" s="253"/>
      <c r="T12" s="253"/>
      <c r="U12" s="253"/>
      <c r="V12" s="253"/>
      <c r="W12" s="253"/>
      <c r="X12" s="253"/>
      <c r="Y12" s="253"/>
      <c r="Z12" s="253"/>
      <c r="AA12" s="253"/>
      <c r="AB12" s="253"/>
      <c r="AC12" s="253"/>
      <c r="AD12" s="253"/>
      <c r="AE12" s="253"/>
      <c r="AF12" s="253"/>
      <c r="AG12" s="253"/>
      <c r="AH12" s="253"/>
      <c r="AI12" s="253"/>
      <c r="AJ12" s="253"/>
      <c r="AK12" s="253"/>
      <c r="AL12" s="253"/>
      <c r="AM12" s="253"/>
      <c r="AN12" s="253"/>
      <c r="AO12" s="253"/>
      <c r="AP12" s="253"/>
      <c r="AQ12" s="253"/>
      <c r="AR12" s="253"/>
      <c r="AS12" s="253"/>
      <c r="AT12" s="253"/>
      <c r="AU12" s="253"/>
      <c r="AV12" s="253"/>
      <c r="AW12" s="253"/>
      <c r="AX12" s="253"/>
      <c r="AY12" s="253"/>
      <c r="AZ12" s="253"/>
      <c r="BA12" s="253"/>
      <c r="BB12" s="253"/>
      <c r="BC12" s="253"/>
      <c r="BD12" s="253"/>
      <c r="BE12" s="253"/>
      <c r="BF12" s="253"/>
      <c r="BG12" s="253"/>
      <c r="BH12" s="253"/>
      <c r="BI12" s="253"/>
      <c r="BJ12" s="253"/>
      <c r="BK12" s="253"/>
      <c r="BL12" s="253"/>
      <c r="BM12" s="253"/>
      <c r="BN12" s="253"/>
      <c r="BO12" s="253"/>
      <c r="BP12" s="253"/>
      <c r="BQ12" s="253"/>
      <c r="BR12" s="253"/>
      <c r="BS12" s="253"/>
      <c r="BT12" s="253"/>
      <c r="BU12" s="253"/>
      <c r="BV12" s="253"/>
      <c r="BW12" s="253"/>
      <c r="BX12" s="253"/>
      <c r="BY12" s="253"/>
      <c r="BZ12" s="253"/>
      <c r="CA12" s="253"/>
      <c r="CB12" s="253"/>
      <c r="CC12" s="253"/>
      <c r="CD12" s="253"/>
      <c r="CE12" s="253"/>
      <c r="CF12" s="253"/>
      <c r="CG12" s="253"/>
      <c r="CH12" s="253"/>
      <c r="CI12" s="253"/>
      <c r="CJ12" s="253"/>
      <c r="CK12" s="253"/>
      <c r="CL12" s="253"/>
      <c r="CM12" s="253"/>
      <c r="CN12" s="253"/>
      <c r="CO12" s="253"/>
      <c r="CP12" s="253"/>
      <c r="CQ12" s="253"/>
      <c r="CR12" s="253"/>
      <c r="CS12" s="253"/>
      <c r="CT12" s="253"/>
      <c r="CU12" s="253"/>
      <c r="CV12" s="253"/>
      <c r="CW12" s="253"/>
      <c r="CX12" s="253"/>
      <c r="CY12" s="253"/>
      <c r="CZ12" s="253"/>
      <c r="DA12" s="253"/>
      <c r="DB12" s="253"/>
      <c r="DC12" s="253"/>
      <c r="DD12" s="253"/>
      <c r="DE12" s="253"/>
      <c r="DF12" s="253"/>
      <c r="DG12" s="253"/>
      <c r="DH12" s="253"/>
      <c r="DI12" s="253"/>
      <c r="DJ12" s="253"/>
      <c r="DK12" s="253"/>
      <c r="DL12" s="253"/>
      <c r="DM12" s="253"/>
      <c r="DN12" s="253"/>
      <c r="DO12" s="253"/>
      <c r="DP12" s="253"/>
      <c r="DQ12" s="253"/>
      <c r="DR12" s="254">
        <f>3000-3000+8-8</f>
        <v>0</v>
      </c>
      <c r="DS12" s="255">
        <v>350</v>
      </c>
      <c r="DT12" s="255">
        <f>5000-5000</f>
        <v>0</v>
      </c>
      <c r="DU12" s="253"/>
      <c r="DV12" s="253"/>
      <c r="DW12" s="253"/>
      <c r="DX12" s="253"/>
      <c r="DY12" s="253"/>
      <c r="DZ12" s="253"/>
      <c r="EA12" s="253"/>
      <c r="EB12" s="253"/>
      <c r="EC12" s="253"/>
      <c r="ED12" s="253"/>
      <c r="EE12" s="253"/>
      <c r="EF12" s="253"/>
      <c r="EG12" s="253"/>
      <c r="EH12" s="253"/>
      <c r="EI12" s="253"/>
      <c r="EJ12" s="253"/>
      <c r="EK12" s="253"/>
      <c r="EL12" s="253"/>
      <c r="EM12" s="253"/>
      <c r="EN12" s="253"/>
      <c r="EO12" s="253"/>
      <c r="EP12" s="253"/>
      <c r="EQ12" s="253"/>
      <c r="ER12" s="253"/>
      <c r="ES12" s="253"/>
      <c r="ET12" s="253"/>
      <c r="EU12" s="253"/>
      <c r="EV12" s="253"/>
      <c r="EW12" s="253"/>
      <c r="EX12" s="253"/>
      <c r="EY12" s="253"/>
      <c r="EZ12" s="253"/>
      <c r="FA12" s="253"/>
      <c r="FB12" s="253"/>
      <c r="FC12" s="253"/>
      <c r="FD12" s="253"/>
      <c r="FE12" s="253"/>
      <c r="FF12" s="253"/>
      <c r="FG12" s="255">
        <f>2000-2000</f>
        <v>0</v>
      </c>
      <c r="FH12" s="255">
        <f>2000-2000</f>
        <v>0</v>
      </c>
      <c r="FI12" s="253"/>
      <c r="FJ12" s="253"/>
      <c r="FK12" s="253"/>
      <c r="FL12" s="253"/>
      <c r="FM12" s="253"/>
      <c r="FN12" s="256"/>
      <c r="FO12" s="257" t="s">
        <v>1270</v>
      </c>
      <c r="FP12" s="258" t="s">
        <v>389</v>
      </c>
      <c r="FQ12" s="258"/>
      <c r="FR12" s="258" t="s">
        <v>390</v>
      </c>
      <c r="FS12" s="259">
        <f t="shared" si="0"/>
        <v>350</v>
      </c>
      <c r="FT12" s="260" t="s">
        <v>410</v>
      </c>
    </row>
    <row r="13" spans="1:176" s="260" customFormat="1">
      <c r="A13" s="251" t="s">
        <v>385</v>
      </c>
      <c r="B13" s="251" t="s">
        <v>392</v>
      </c>
      <c r="C13" s="251" t="s">
        <v>386</v>
      </c>
      <c r="D13" s="251" t="s">
        <v>293</v>
      </c>
      <c r="E13" s="252" t="s">
        <v>387</v>
      </c>
      <c r="F13" s="251" t="s">
        <v>388</v>
      </c>
      <c r="G13" s="251"/>
      <c r="H13" s="253"/>
      <c r="I13" s="253"/>
      <c r="J13" s="255">
        <f>4000-4000</f>
        <v>0</v>
      </c>
      <c r="K13" s="253"/>
      <c r="L13" s="253"/>
      <c r="M13" s="253"/>
      <c r="N13" s="253"/>
      <c r="O13" s="253"/>
      <c r="P13" s="253"/>
      <c r="Q13" s="253"/>
      <c r="R13" s="253"/>
      <c r="S13" s="253"/>
      <c r="T13" s="253"/>
      <c r="U13" s="253"/>
      <c r="V13" s="253"/>
      <c r="W13" s="253"/>
      <c r="X13" s="253"/>
      <c r="Y13" s="253"/>
      <c r="Z13" s="253"/>
      <c r="AA13" s="253"/>
      <c r="AB13" s="253"/>
      <c r="AC13" s="253"/>
      <c r="AD13" s="253"/>
      <c r="AE13" s="253"/>
      <c r="AF13" s="253"/>
      <c r="AG13" s="253"/>
      <c r="AH13" s="253"/>
      <c r="AI13" s="253"/>
      <c r="AJ13" s="253"/>
      <c r="AK13" s="253"/>
      <c r="AL13" s="253"/>
      <c r="AM13" s="253"/>
      <c r="AN13" s="253"/>
      <c r="AO13" s="253"/>
      <c r="AP13" s="253"/>
      <c r="AQ13" s="253"/>
      <c r="AR13" s="253"/>
      <c r="AS13" s="253"/>
      <c r="AT13" s="253"/>
      <c r="AU13" s="253"/>
      <c r="AV13" s="253"/>
      <c r="AW13" s="253"/>
      <c r="AX13" s="253"/>
      <c r="AY13" s="253"/>
      <c r="AZ13" s="253"/>
      <c r="BA13" s="253"/>
      <c r="BB13" s="253"/>
      <c r="BC13" s="253"/>
      <c r="BD13" s="253"/>
      <c r="BE13" s="253"/>
      <c r="BF13" s="253"/>
      <c r="BG13" s="253"/>
      <c r="BH13" s="253"/>
      <c r="BI13" s="253"/>
      <c r="BJ13" s="253"/>
      <c r="BK13" s="253"/>
      <c r="BL13" s="253"/>
      <c r="BM13" s="253"/>
      <c r="BN13" s="253"/>
      <c r="BO13" s="253"/>
      <c r="BP13" s="253"/>
      <c r="BQ13" s="253"/>
      <c r="BR13" s="253"/>
      <c r="BS13" s="253"/>
      <c r="BT13" s="253"/>
      <c r="BU13" s="253"/>
      <c r="BV13" s="253"/>
      <c r="BW13" s="253"/>
      <c r="BX13" s="253"/>
      <c r="BY13" s="253"/>
      <c r="BZ13" s="253"/>
      <c r="CA13" s="253"/>
      <c r="CB13" s="253"/>
      <c r="CC13" s="253"/>
      <c r="CD13" s="253"/>
      <c r="CE13" s="253"/>
      <c r="CF13" s="253"/>
      <c r="CG13" s="253"/>
      <c r="CH13" s="253"/>
      <c r="CI13" s="253"/>
      <c r="CJ13" s="253"/>
      <c r="CK13" s="253"/>
      <c r="CL13" s="253"/>
      <c r="CM13" s="253"/>
      <c r="CN13" s="253"/>
      <c r="CO13" s="253"/>
      <c r="CP13" s="253"/>
      <c r="CQ13" s="253"/>
      <c r="CR13" s="253"/>
      <c r="CS13" s="253"/>
      <c r="CT13" s="253"/>
      <c r="CU13" s="253"/>
      <c r="CV13" s="253"/>
      <c r="CW13" s="253"/>
      <c r="CX13" s="253"/>
      <c r="CY13" s="253"/>
      <c r="CZ13" s="253"/>
      <c r="DA13" s="253"/>
      <c r="DB13" s="253"/>
      <c r="DC13" s="253"/>
      <c r="DD13" s="253"/>
      <c r="DE13" s="253"/>
      <c r="DF13" s="253"/>
      <c r="DG13" s="253"/>
      <c r="DH13" s="253"/>
      <c r="DI13" s="253"/>
      <c r="DJ13" s="253"/>
      <c r="DK13" s="253"/>
      <c r="DL13" s="253"/>
      <c r="DM13" s="253"/>
      <c r="DN13" s="253"/>
      <c r="DO13" s="253"/>
      <c r="DP13" s="253"/>
      <c r="DQ13" s="253"/>
      <c r="DR13" s="253"/>
      <c r="DS13" s="253"/>
      <c r="DT13" s="253"/>
      <c r="DU13" s="253"/>
      <c r="DV13" s="253"/>
      <c r="DW13" s="253"/>
      <c r="DX13" s="253"/>
      <c r="DY13" s="253"/>
      <c r="DZ13" s="253"/>
      <c r="EA13" s="253"/>
      <c r="EB13" s="253"/>
      <c r="EC13" s="253"/>
      <c r="ED13" s="253"/>
      <c r="EE13" s="253"/>
      <c r="EF13" s="253"/>
      <c r="EG13" s="253"/>
      <c r="EH13" s="253"/>
      <c r="EI13" s="253"/>
      <c r="EJ13" s="253"/>
      <c r="EK13" s="253"/>
      <c r="EL13" s="253"/>
      <c r="EM13" s="253"/>
      <c r="EN13" s="253"/>
      <c r="EO13" s="253"/>
      <c r="EP13" s="253"/>
      <c r="EQ13" s="253"/>
      <c r="ER13" s="253"/>
      <c r="ES13" s="253"/>
      <c r="ET13" s="253"/>
      <c r="EU13" s="253"/>
      <c r="EV13" s="253"/>
      <c r="EW13" s="253"/>
      <c r="EX13" s="253"/>
      <c r="EY13" s="253"/>
      <c r="EZ13" s="253"/>
      <c r="FA13" s="253"/>
      <c r="FB13" s="253"/>
      <c r="FC13" s="253"/>
      <c r="FD13" s="253"/>
      <c r="FE13" s="253"/>
      <c r="FF13" s="253"/>
      <c r="FG13" s="253"/>
      <c r="FH13" s="253"/>
      <c r="FI13" s="253"/>
      <c r="FJ13" s="253"/>
      <c r="FK13" s="253"/>
      <c r="FL13" s="253"/>
      <c r="FM13" s="253"/>
      <c r="FN13" s="256"/>
      <c r="FO13" s="257" t="s">
        <v>1270</v>
      </c>
      <c r="FP13" s="258" t="s">
        <v>389</v>
      </c>
      <c r="FQ13" s="258"/>
      <c r="FR13" s="258" t="s">
        <v>390</v>
      </c>
      <c r="FS13" s="259">
        <f t="shared" si="0"/>
        <v>0</v>
      </c>
      <c r="FT13" s="260" t="s">
        <v>410</v>
      </c>
    </row>
    <row r="14" spans="1:176" s="260" customFormat="1" hidden="1">
      <c r="A14" s="251" t="s">
        <v>417</v>
      </c>
      <c r="B14" s="251" t="s">
        <v>385</v>
      </c>
      <c r="C14" s="251" t="s">
        <v>394</v>
      </c>
      <c r="D14" s="251" t="s">
        <v>773</v>
      </c>
      <c r="E14" s="252" t="s">
        <v>1146</v>
      </c>
      <c r="F14" s="251" t="s">
        <v>388</v>
      </c>
      <c r="G14" s="251"/>
      <c r="H14" s="253"/>
      <c r="I14" s="253"/>
      <c r="J14" s="253"/>
      <c r="K14" s="253"/>
      <c r="L14" s="254">
        <f>500-500+400</f>
        <v>400</v>
      </c>
      <c r="M14" s="253"/>
      <c r="N14" s="253"/>
      <c r="O14" s="253"/>
      <c r="P14" s="253"/>
      <c r="Q14" s="253"/>
      <c r="R14" s="253"/>
      <c r="S14" s="253"/>
      <c r="T14" s="253"/>
      <c r="U14" s="253"/>
      <c r="V14" s="253"/>
      <c r="W14" s="253"/>
      <c r="X14" s="253"/>
      <c r="Y14" s="253"/>
      <c r="Z14" s="253"/>
      <c r="AA14" s="253"/>
      <c r="AB14" s="253"/>
      <c r="AC14" s="253"/>
      <c r="AD14" s="253"/>
      <c r="AE14" s="253"/>
      <c r="AF14" s="253"/>
      <c r="AG14" s="253"/>
      <c r="AH14" s="253"/>
      <c r="AI14" s="253"/>
      <c r="AJ14" s="253"/>
      <c r="AK14" s="253"/>
      <c r="AL14" s="253"/>
      <c r="AM14" s="253"/>
      <c r="AN14" s="253"/>
      <c r="AO14" s="253"/>
      <c r="AP14" s="253"/>
      <c r="AQ14" s="253"/>
      <c r="AR14" s="253"/>
      <c r="AS14" s="253"/>
      <c r="AT14" s="253"/>
      <c r="AU14" s="253"/>
      <c r="AV14" s="253"/>
      <c r="AW14" s="253"/>
      <c r="AX14" s="253"/>
      <c r="AY14" s="253"/>
      <c r="AZ14" s="253"/>
      <c r="BA14" s="253"/>
      <c r="BB14" s="253"/>
      <c r="BC14" s="253"/>
      <c r="BD14" s="253"/>
      <c r="BE14" s="253"/>
      <c r="BF14" s="253"/>
      <c r="BG14" s="253"/>
      <c r="BH14" s="253"/>
      <c r="BI14" s="253"/>
      <c r="BJ14" s="253"/>
      <c r="BK14" s="253"/>
      <c r="BL14" s="253"/>
      <c r="BM14" s="253"/>
      <c r="BN14" s="253"/>
      <c r="BO14" s="253"/>
      <c r="BP14" s="253"/>
      <c r="BQ14" s="253"/>
      <c r="BR14" s="253"/>
      <c r="BS14" s="253"/>
      <c r="BT14" s="253"/>
      <c r="BU14" s="253"/>
      <c r="BV14" s="253"/>
      <c r="BW14" s="253"/>
      <c r="BX14" s="253"/>
      <c r="BY14" s="253"/>
      <c r="BZ14" s="253"/>
      <c r="CA14" s="253"/>
      <c r="CB14" s="253"/>
      <c r="CC14" s="253"/>
      <c r="CD14" s="253"/>
      <c r="CE14" s="253"/>
      <c r="CF14" s="253"/>
      <c r="CG14" s="253"/>
      <c r="CH14" s="253"/>
      <c r="CI14" s="253"/>
      <c r="CJ14" s="253"/>
      <c r="CK14" s="253"/>
      <c r="CL14" s="253"/>
      <c r="CM14" s="253"/>
      <c r="CN14" s="253"/>
      <c r="CO14" s="253"/>
      <c r="CP14" s="253"/>
      <c r="CQ14" s="253"/>
      <c r="CR14" s="253"/>
      <c r="CS14" s="253"/>
      <c r="CT14" s="253"/>
      <c r="CU14" s="253"/>
      <c r="CV14" s="253"/>
      <c r="CW14" s="253"/>
      <c r="CX14" s="253"/>
      <c r="CY14" s="253"/>
      <c r="CZ14" s="253"/>
      <c r="DA14" s="253"/>
      <c r="DB14" s="253"/>
      <c r="DC14" s="253"/>
      <c r="DD14" s="253"/>
      <c r="DE14" s="253"/>
      <c r="DF14" s="253"/>
      <c r="DG14" s="253"/>
      <c r="DH14" s="253"/>
      <c r="DI14" s="253"/>
      <c r="DJ14" s="253"/>
      <c r="DK14" s="253"/>
      <c r="DL14" s="253"/>
      <c r="DM14" s="253"/>
      <c r="DN14" s="253"/>
      <c r="DO14" s="253"/>
      <c r="DP14" s="253"/>
      <c r="DQ14" s="253"/>
      <c r="DR14" s="253"/>
      <c r="DS14" s="253"/>
      <c r="DT14" s="253"/>
      <c r="DU14" s="253"/>
      <c r="DV14" s="253"/>
      <c r="DW14" s="253"/>
      <c r="DX14" s="253"/>
      <c r="DY14" s="253"/>
      <c r="DZ14" s="253"/>
      <c r="EA14" s="253"/>
      <c r="EB14" s="253"/>
      <c r="EC14" s="253"/>
      <c r="ED14" s="253"/>
      <c r="EE14" s="253"/>
      <c r="EF14" s="253"/>
      <c r="EG14" s="253"/>
      <c r="EH14" s="253"/>
      <c r="EI14" s="253"/>
      <c r="EJ14" s="253"/>
      <c r="EK14" s="253"/>
      <c r="EL14" s="253"/>
      <c r="EM14" s="253"/>
      <c r="EN14" s="253"/>
      <c r="EO14" s="253"/>
      <c r="EP14" s="253"/>
      <c r="EQ14" s="253"/>
      <c r="ER14" s="253"/>
      <c r="ES14" s="253"/>
      <c r="ET14" s="253"/>
      <c r="EU14" s="253"/>
      <c r="EV14" s="253"/>
      <c r="EW14" s="253"/>
      <c r="EX14" s="253"/>
      <c r="EY14" s="253"/>
      <c r="EZ14" s="253"/>
      <c r="FA14" s="253"/>
      <c r="FB14" s="253"/>
      <c r="FC14" s="253"/>
      <c r="FD14" s="253"/>
      <c r="FE14" s="253"/>
      <c r="FF14" s="253"/>
      <c r="FG14" s="253"/>
      <c r="FH14" s="253"/>
      <c r="FI14" s="253"/>
      <c r="FJ14" s="253"/>
      <c r="FK14" s="253"/>
      <c r="FL14" s="253"/>
      <c r="FM14" s="253"/>
      <c r="FN14" s="256"/>
      <c r="FO14" s="257" t="s">
        <v>1270</v>
      </c>
      <c r="FP14" s="258" t="s">
        <v>389</v>
      </c>
      <c r="FQ14" s="258" t="s">
        <v>1147</v>
      </c>
      <c r="FR14" s="258" t="s">
        <v>1148</v>
      </c>
      <c r="FS14" s="259">
        <f t="shared" ref="FS14" si="1">SUM(H14:FM14)</f>
        <v>400</v>
      </c>
      <c r="FT14" s="260" t="s">
        <v>398</v>
      </c>
    </row>
    <row r="15" spans="1:176" s="260" customFormat="1" hidden="1">
      <c r="A15" s="251" t="s">
        <v>417</v>
      </c>
      <c r="B15" s="251" t="s">
        <v>385</v>
      </c>
      <c r="C15" s="251" t="s">
        <v>394</v>
      </c>
      <c r="D15" s="251" t="s">
        <v>1</v>
      </c>
      <c r="E15" s="252" t="s">
        <v>1146</v>
      </c>
      <c r="F15" s="251" t="s">
        <v>388</v>
      </c>
      <c r="G15" s="251"/>
      <c r="H15" s="253"/>
      <c r="I15" s="253"/>
      <c r="J15" s="253"/>
      <c r="K15" s="253"/>
      <c r="L15" s="253"/>
      <c r="M15" s="253"/>
      <c r="N15" s="253"/>
      <c r="O15" s="253"/>
      <c r="P15" s="253"/>
      <c r="Q15" s="253"/>
      <c r="R15" s="253"/>
      <c r="S15" s="253"/>
      <c r="T15" s="253"/>
      <c r="U15" s="253"/>
      <c r="V15" s="253"/>
      <c r="W15" s="253"/>
      <c r="X15" s="253"/>
      <c r="Y15" s="253"/>
      <c r="Z15" s="253"/>
      <c r="AA15" s="253"/>
      <c r="AB15" s="253"/>
      <c r="AC15" s="253"/>
      <c r="AD15" s="253"/>
      <c r="AE15" s="253"/>
      <c r="AF15" s="253"/>
      <c r="AG15" s="253"/>
      <c r="AH15" s="253"/>
      <c r="AI15" s="253"/>
      <c r="AJ15" s="253"/>
      <c r="AK15" s="253"/>
      <c r="AL15" s="253"/>
      <c r="AM15" s="253"/>
      <c r="AN15" s="253"/>
      <c r="AO15" s="253"/>
      <c r="AP15" s="253"/>
      <c r="AQ15" s="253"/>
      <c r="AR15" s="253"/>
      <c r="AS15" s="253"/>
      <c r="AT15" s="253"/>
      <c r="AU15" s="253"/>
      <c r="AV15" s="253"/>
      <c r="AW15" s="253"/>
      <c r="AX15" s="253"/>
      <c r="AY15" s="253"/>
      <c r="AZ15" s="253"/>
      <c r="BA15" s="253"/>
      <c r="BB15" s="253"/>
      <c r="BC15" s="253"/>
      <c r="BD15" s="253"/>
      <c r="BE15" s="253"/>
      <c r="BF15" s="253"/>
      <c r="BG15" s="253"/>
      <c r="BH15" s="253"/>
      <c r="BI15" s="253"/>
      <c r="BJ15" s="253"/>
      <c r="BK15" s="253"/>
      <c r="BL15" s="253"/>
      <c r="BM15" s="253"/>
      <c r="BN15" s="253"/>
      <c r="BO15" s="253"/>
      <c r="BP15" s="253"/>
      <c r="BQ15" s="253"/>
      <c r="BR15" s="253"/>
      <c r="BS15" s="253"/>
      <c r="BT15" s="253"/>
      <c r="BU15" s="253"/>
      <c r="BV15" s="253"/>
      <c r="BW15" s="253"/>
      <c r="BX15" s="253"/>
      <c r="BY15" s="253"/>
      <c r="BZ15" s="253"/>
      <c r="CA15" s="253"/>
      <c r="CB15" s="253"/>
      <c r="CC15" s="253"/>
      <c r="CD15" s="253"/>
      <c r="CE15" s="253"/>
      <c r="CF15" s="253"/>
      <c r="CG15" s="253"/>
      <c r="CH15" s="253"/>
      <c r="CI15" s="253"/>
      <c r="CJ15" s="253"/>
      <c r="CK15" s="253"/>
      <c r="CL15" s="253"/>
      <c r="CM15" s="253"/>
      <c r="CN15" s="253"/>
      <c r="CO15" s="253"/>
      <c r="CP15" s="253"/>
      <c r="CQ15" s="253"/>
      <c r="CR15" s="253"/>
      <c r="CS15" s="253"/>
      <c r="CT15" s="253"/>
      <c r="CU15" s="253"/>
      <c r="CV15" s="253"/>
      <c r="CW15" s="253"/>
      <c r="CX15" s="253"/>
      <c r="CY15" s="253"/>
      <c r="CZ15" s="253"/>
      <c r="DA15" s="253"/>
      <c r="DB15" s="253"/>
      <c r="DC15" s="253"/>
      <c r="DD15" s="253"/>
      <c r="DE15" s="253"/>
      <c r="DF15" s="253"/>
      <c r="DG15" s="253"/>
      <c r="DH15" s="253"/>
      <c r="DI15" s="253"/>
      <c r="DJ15" s="253"/>
      <c r="DK15" s="253"/>
      <c r="DL15" s="253"/>
      <c r="DM15" s="253"/>
      <c r="DN15" s="253"/>
      <c r="DO15" s="253"/>
      <c r="DP15" s="253"/>
      <c r="DQ15" s="253"/>
      <c r="DR15" s="253"/>
      <c r="DS15" s="253"/>
      <c r="DT15" s="253"/>
      <c r="DU15" s="253"/>
      <c r="DV15" s="253"/>
      <c r="DW15" s="253"/>
      <c r="DX15" s="253"/>
      <c r="DY15" s="253"/>
      <c r="DZ15" s="253"/>
      <c r="EA15" s="253"/>
      <c r="EB15" s="253"/>
      <c r="EC15" s="253"/>
      <c r="ED15" s="253"/>
      <c r="EE15" s="253"/>
      <c r="EF15" s="253"/>
      <c r="EG15" s="253"/>
      <c r="EH15" s="253"/>
      <c r="EI15" s="253"/>
      <c r="EJ15" s="253"/>
      <c r="EK15" s="253"/>
      <c r="EL15" s="253"/>
      <c r="EM15" s="253"/>
      <c r="EN15" s="253"/>
      <c r="EO15" s="253"/>
      <c r="EP15" s="253"/>
      <c r="EQ15" s="253"/>
      <c r="ER15" s="253"/>
      <c r="ES15" s="253"/>
      <c r="ET15" s="253"/>
      <c r="EU15" s="253"/>
      <c r="EV15" s="253"/>
      <c r="EW15" s="253"/>
      <c r="EX15" s="253"/>
      <c r="EY15" s="253"/>
      <c r="EZ15" s="253"/>
      <c r="FA15" s="253"/>
      <c r="FB15" s="253"/>
      <c r="FC15" s="253"/>
      <c r="FD15" s="253"/>
      <c r="FE15" s="253"/>
      <c r="FF15" s="253"/>
      <c r="FG15" s="253"/>
      <c r="FH15" s="253"/>
      <c r="FI15" s="253"/>
      <c r="FJ15" s="253"/>
      <c r="FK15" s="253"/>
      <c r="FL15" s="253"/>
      <c r="FM15" s="253"/>
      <c r="FN15" s="256"/>
      <c r="FO15" s="257" t="s">
        <v>1270</v>
      </c>
      <c r="FP15" s="258" t="s">
        <v>389</v>
      </c>
      <c r="FQ15" s="258" t="s">
        <v>1147</v>
      </c>
      <c r="FR15" s="258" t="s">
        <v>1148</v>
      </c>
      <c r="FS15" s="259">
        <f t="shared" si="0"/>
        <v>0</v>
      </c>
      <c r="FT15" s="260" t="s">
        <v>398</v>
      </c>
    </row>
    <row r="16" spans="1:176" s="260" customFormat="1" hidden="1">
      <c r="A16" s="251" t="s">
        <v>393</v>
      </c>
      <c r="B16" s="251" t="s">
        <v>385</v>
      </c>
      <c r="C16" s="251" t="s">
        <v>394</v>
      </c>
      <c r="D16" s="251" t="s">
        <v>291</v>
      </c>
      <c r="E16" s="252" t="s">
        <v>395</v>
      </c>
      <c r="F16" s="251" t="s">
        <v>388</v>
      </c>
      <c r="G16" s="251"/>
      <c r="H16" s="253"/>
      <c r="I16" s="253"/>
      <c r="J16" s="253"/>
      <c r="K16" s="253"/>
      <c r="L16" s="253"/>
      <c r="M16" s="253"/>
      <c r="N16" s="253"/>
      <c r="O16" s="253"/>
      <c r="P16" s="253"/>
      <c r="Q16" s="253"/>
      <c r="R16" s="253"/>
      <c r="S16" s="253"/>
      <c r="T16" s="253"/>
      <c r="U16" s="253"/>
      <c r="V16" s="253"/>
      <c r="W16" s="253"/>
      <c r="X16" s="253"/>
      <c r="Y16" s="253"/>
      <c r="Z16" s="253"/>
      <c r="AA16" s="253"/>
      <c r="AB16" s="253"/>
      <c r="AC16" s="253"/>
      <c r="AD16" s="253"/>
      <c r="AE16" s="253"/>
      <c r="AF16" s="255">
        <f>500-500</f>
        <v>0</v>
      </c>
      <c r="AG16" s="253"/>
      <c r="AH16" s="253"/>
      <c r="AI16" s="253"/>
      <c r="AJ16" s="253"/>
      <c r="AK16" s="253"/>
      <c r="AL16" s="253"/>
      <c r="AM16" s="253"/>
      <c r="AN16" s="253"/>
      <c r="AO16" s="253"/>
      <c r="AP16" s="253"/>
      <c r="AQ16" s="253"/>
      <c r="AR16" s="253"/>
      <c r="AS16" s="253"/>
      <c r="AT16" s="253"/>
      <c r="AU16" s="253"/>
      <c r="AV16" s="253"/>
      <c r="AW16" s="253"/>
      <c r="AX16" s="253"/>
      <c r="AY16" s="253"/>
      <c r="AZ16" s="253"/>
      <c r="BA16" s="253"/>
      <c r="BB16" s="253"/>
      <c r="BC16" s="253"/>
      <c r="BD16" s="253"/>
      <c r="BE16" s="253"/>
      <c r="BF16" s="253"/>
      <c r="BG16" s="253"/>
      <c r="BH16" s="253"/>
      <c r="BI16" s="253"/>
      <c r="BJ16" s="253"/>
      <c r="BK16" s="253"/>
      <c r="BL16" s="253"/>
      <c r="BM16" s="253"/>
      <c r="BN16" s="253"/>
      <c r="BO16" s="253"/>
      <c r="BP16" s="253"/>
      <c r="BQ16" s="253"/>
      <c r="BR16" s="253"/>
      <c r="BS16" s="253"/>
      <c r="BT16" s="253"/>
      <c r="BU16" s="253"/>
      <c r="BV16" s="253"/>
      <c r="BW16" s="253"/>
      <c r="BX16" s="253"/>
      <c r="BY16" s="253"/>
      <c r="BZ16" s="253"/>
      <c r="CA16" s="253"/>
      <c r="CB16" s="253"/>
      <c r="CC16" s="253"/>
      <c r="CD16" s="253"/>
      <c r="CE16" s="253"/>
      <c r="CF16" s="253"/>
      <c r="CG16" s="253"/>
      <c r="CH16" s="253"/>
      <c r="CI16" s="253"/>
      <c r="CJ16" s="253"/>
      <c r="CK16" s="253"/>
      <c r="CL16" s="253"/>
      <c r="CM16" s="253"/>
      <c r="CN16" s="253"/>
      <c r="CO16" s="253"/>
      <c r="CP16" s="253"/>
      <c r="CQ16" s="253"/>
      <c r="CR16" s="253"/>
      <c r="CS16" s="253"/>
      <c r="CT16" s="253"/>
      <c r="CU16" s="253"/>
      <c r="CV16" s="253"/>
      <c r="CW16" s="253"/>
      <c r="CX16" s="253"/>
      <c r="CY16" s="253"/>
      <c r="CZ16" s="253"/>
      <c r="DA16" s="253"/>
      <c r="DB16" s="253"/>
      <c r="DC16" s="253"/>
      <c r="DD16" s="253"/>
      <c r="DE16" s="253"/>
      <c r="DF16" s="253"/>
      <c r="DG16" s="253"/>
      <c r="DH16" s="253"/>
      <c r="DI16" s="253"/>
      <c r="DJ16" s="253"/>
      <c r="DK16" s="253"/>
      <c r="DL16" s="253"/>
      <c r="DM16" s="253"/>
      <c r="DN16" s="253"/>
      <c r="DO16" s="253"/>
      <c r="DP16" s="253"/>
      <c r="DQ16" s="253"/>
      <c r="DR16" s="253"/>
      <c r="DS16" s="253"/>
      <c r="DT16" s="253"/>
      <c r="DU16" s="253"/>
      <c r="DV16" s="253"/>
      <c r="DW16" s="253"/>
      <c r="DX16" s="253"/>
      <c r="DY16" s="253"/>
      <c r="DZ16" s="253"/>
      <c r="EA16" s="253"/>
      <c r="EB16" s="253"/>
      <c r="EC16" s="253"/>
      <c r="ED16" s="253"/>
      <c r="EE16" s="253"/>
      <c r="EF16" s="253"/>
      <c r="EG16" s="253"/>
      <c r="EH16" s="253"/>
      <c r="EI16" s="253"/>
      <c r="EJ16" s="253"/>
      <c r="EK16" s="253"/>
      <c r="EL16" s="253"/>
      <c r="EM16" s="253"/>
      <c r="EN16" s="253"/>
      <c r="EO16" s="253"/>
      <c r="EP16" s="253"/>
      <c r="EQ16" s="253"/>
      <c r="ER16" s="253"/>
      <c r="ES16" s="253"/>
      <c r="ET16" s="253"/>
      <c r="EU16" s="253"/>
      <c r="EV16" s="253"/>
      <c r="EW16" s="253"/>
      <c r="EX16" s="253"/>
      <c r="EY16" s="253"/>
      <c r="EZ16" s="253"/>
      <c r="FA16" s="253"/>
      <c r="FB16" s="253"/>
      <c r="FC16" s="253"/>
      <c r="FD16" s="253"/>
      <c r="FE16" s="253"/>
      <c r="FF16" s="253"/>
      <c r="FG16" s="253"/>
      <c r="FH16" s="253"/>
      <c r="FI16" s="253"/>
      <c r="FJ16" s="253"/>
      <c r="FK16" s="253"/>
      <c r="FL16" s="253"/>
      <c r="FM16" s="253"/>
      <c r="FN16" s="256"/>
      <c r="FO16" s="257" t="s">
        <v>1270</v>
      </c>
      <c r="FP16" s="258" t="s">
        <v>389</v>
      </c>
      <c r="FQ16" s="258" t="s">
        <v>396</v>
      </c>
      <c r="FR16" s="258" t="s">
        <v>397</v>
      </c>
      <c r="FS16" s="259">
        <f t="shared" si="0"/>
        <v>0</v>
      </c>
      <c r="FT16" s="260" t="s">
        <v>398</v>
      </c>
    </row>
    <row r="17" spans="1:176" s="260" customFormat="1" hidden="1">
      <c r="A17" s="251" t="s">
        <v>393</v>
      </c>
      <c r="B17" s="251" t="s">
        <v>385</v>
      </c>
      <c r="C17" s="251" t="s">
        <v>394</v>
      </c>
      <c r="D17" s="251" t="s">
        <v>1</v>
      </c>
      <c r="E17" s="252" t="s">
        <v>395</v>
      </c>
      <c r="F17" s="251" t="s">
        <v>388</v>
      </c>
      <c r="G17" s="251"/>
      <c r="H17" s="253"/>
      <c r="I17" s="253"/>
      <c r="J17" s="253"/>
      <c r="K17" s="253"/>
      <c r="L17" s="253"/>
      <c r="M17" s="253"/>
      <c r="N17" s="255">
        <f>500-500</f>
        <v>0</v>
      </c>
      <c r="O17" s="253"/>
      <c r="P17" s="253"/>
      <c r="Q17" s="253"/>
      <c r="R17" s="253"/>
      <c r="S17" s="253"/>
      <c r="T17" s="255">
        <f>1000-1000</f>
        <v>0</v>
      </c>
      <c r="U17" s="253"/>
      <c r="V17" s="253"/>
      <c r="W17" s="253"/>
      <c r="X17" s="253"/>
      <c r="Y17" s="253"/>
      <c r="Z17" s="253"/>
      <c r="AA17" s="253"/>
      <c r="AB17" s="253"/>
      <c r="AC17" s="253"/>
      <c r="AD17" s="253"/>
      <c r="AE17" s="253"/>
      <c r="AF17" s="253"/>
      <c r="AG17" s="253"/>
      <c r="AH17" s="253"/>
      <c r="AI17" s="253"/>
      <c r="AJ17" s="253"/>
      <c r="AK17" s="253"/>
      <c r="AL17" s="253"/>
      <c r="AM17" s="253"/>
      <c r="AN17" s="253"/>
      <c r="AO17" s="253"/>
      <c r="AP17" s="253"/>
      <c r="AQ17" s="253"/>
      <c r="AR17" s="253"/>
      <c r="AS17" s="255">
        <f>500-500</f>
        <v>0</v>
      </c>
      <c r="AT17" s="253"/>
      <c r="AU17" s="253"/>
      <c r="AV17" s="253"/>
      <c r="AW17" s="253"/>
      <c r="AX17" s="253"/>
      <c r="AY17" s="253"/>
      <c r="AZ17" s="253"/>
      <c r="BA17" s="253"/>
      <c r="BB17" s="253"/>
      <c r="BC17" s="253"/>
      <c r="BD17" s="253"/>
      <c r="BE17" s="253"/>
      <c r="BF17" s="253"/>
      <c r="BG17" s="253"/>
      <c r="BH17" s="253"/>
      <c r="BI17" s="253"/>
      <c r="BJ17" s="253"/>
      <c r="BK17" s="253"/>
      <c r="BL17" s="253"/>
      <c r="BM17" s="253"/>
      <c r="BN17" s="253"/>
      <c r="BO17" s="253"/>
      <c r="BP17" s="253"/>
      <c r="BQ17" s="253"/>
      <c r="BR17" s="253"/>
      <c r="BS17" s="253"/>
      <c r="BT17" s="253"/>
      <c r="BU17" s="253"/>
      <c r="BV17" s="253"/>
      <c r="BW17" s="253"/>
      <c r="BX17" s="253"/>
      <c r="BY17" s="253"/>
      <c r="BZ17" s="253"/>
      <c r="CA17" s="253"/>
      <c r="CB17" s="253"/>
      <c r="CC17" s="253"/>
      <c r="CD17" s="253"/>
      <c r="CE17" s="253"/>
      <c r="CF17" s="253"/>
      <c r="CG17" s="253"/>
      <c r="CH17" s="253"/>
      <c r="CI17" s="253"/>
      <c r="CJ17" s="253"/>
      <c r="CK17" s="253"/>
      <c r="CL17" s="253"/>
      <c r="CM17" s="253"/>
      <c r="CN17" s="253"/>
      <c r="CO17" s="253"/>
      <c r="CP17" s="253"/>
      <c r="CQ17" s="253"/>
      <c r="CR17" s="253"/>
      <c r="CS17" s="253"/>
      <c r="CT17" s="253"/>
      <c r="CU17" s="253"/>
      <c r="CV17" s="253"/>
      <c r="CW17" s="253"/>
      <c r="CX17" s="253"/>
      <c r="CY17" s="253"/>
      <c r="CZ17" s="253"/>
      <c r="DA17" s="253"/>
      <c r="DB17" s="253"/>
      <c r="DC17" s="253"/>
      <c r="DD17" s="253"/>
      <c r="DE17" s="253"/>
      <c r="DF17" s="253"/>
      <c r="DG17" s="253"/>
      <c r="DH17" s="253"/>
      <c r="DI17" s="253"/>
      <c r="DJ17" s="253"/>
      <c r="DK17" s="253"/>
      <c r="DL17" s="253"/>
      <c r="DM17" s="253"/>
      <c r="DN17" s="253"/>
      <c r="DO17" s="253"/>
      <c r="DP17" s="253"/>
      <c r="DQ17" s="253"/>
      <c r="DR17" s="253"/>
      <c r="DS17" s="253"/>
      <c r="DT17" s="253"/>
      <c r="DU17" s="253"/>
      <c r="DV17" s="253"/>
      <c r="DW17" s="253"/>
      <c r="DX17" s="253"/>
      <c r="DY17" s="253"/>
      <c r="DZ17" s="253"/>
      <c r="EA17" s="253"/>
      <c r="EB17" s="253"/>
      <c r="EC17" s="253"/>
      <c r="ED17" s="253"/>
      <c r="EE17" s="253"/>
      <c r="EF17" s="253"/>
      <c r="EG17" s="253"/>
      <c r="EH17" s="253"/>
      <c r="EI17" s="253"/>
      <c r="EJ17" s="253"/>
      <c r="EK17" s="253"/>
      <c r="EL17" s="253"/>
      <c r="EM17" s="253"/>
      <c r="EN17" s="253"/>
      <c r="EO17" s="253"/>
      <c r="EP17" s="253"/>
      <c r="EQ17" s="253"/>
      <c r="ER17" s="255">
        <f>200-200+5</f>
        <v>5</v>
      </c>
      <c r="ES17" s="255">
        <f>200-200</f>
        <v>0</v>
      </c>
      <c r="ET17" s="255">
        <f>200-200</f>
        <v>0</v>
      </c>
      <c r="EU17" s="253"/>
      <c r="EV17" s="255">
        <f>300-300</f>
        <v>0</v>
      </c>
      <c r="EW17" s="255">
        <f>100-100</f>
        <v>0</v>
      </c>
      <c r="EX17" s="255">
        <f>100-100</f>
        <v>0</v>
      </c>
      <c r="EY17" s="253"/>
      <c r="EZ17" s="255">
        <f>100-100</f>
        <v>0</v>
      </c>
      <c r="FA17" s="253"/>
      <c r="FB17" s="253"/>
      <c r="FC17" s="253"/>
      <c r="FD17" s="253"/>
      <c r="FE17" s="253"/>
      <c r="FF17" s="253"/>
      <c r="FG17" s="253"/>
      <c r="FH17" s="253"/>
      <c r="FI17" s="253"/>
      <c r="FJ17" s="253"/>
      <c r="FK17" s="253"/>
      <c r="FL17" s="253"/>
      <c r="FM17" s="253"/>
      <c r="FN17" s="256"/>
      <c r="FO17" s="257" t="s">
        <v>1270</v>
      </c>
      <c r="FP17" s="258" t="s">
        <v>389</v>
      </c>
      <c r="FQ17" s="258" t="s">
        <v>396</v>
      </c>
      <c r="FR17" s="258" t="s">
        <v>397</v>
      </c>
      <c r="FS17" s="259">
        <f t="shared" si="0"/>
        <v>5</v>
      </c>
      <c r="FT17" s="260" t="s">
        <v>398</v>
      </c>
    </row>
    <row r="18" spans="1:176" s="260" customFormat="1" hidden="1">
      <c r="A18" s="251" t="s">
        <v>393</v>
      </c>
      <c r="B18" s="251" t="s">
        <v>385</v>
      </c>
      <c r="C18" s="251" t="s">
        <v>394</v>
      </c>
      <c r="D18" s="251" t="s">
        <v>291</v>
      </c>
      <c r="E18" s="252" t="s">
        <v>818</v>
      </c>
      <c r="F18" s="251" t="s">
        <v>388</v>
      </c>
      <c r="G18" s="251"/>
      <c r="H18" s="253"/>
      <c r="I18" s="253"/>
      <c r="J18" s="253"/>
      <c r="K18" s="253"/>
      <c r="L18" s="253"/>
      <c r="M18" s="253"/>
      <c r="N18" s="253"/>
      <c r="O18" s="253"/>
      <c r="P18" s="253"/>
      <c r="Q18" s="253"/>
      <c r="R18" s="253"/>
      <c r="S18" s="253"/>
      <c r="T18" s="253"/>
      <c r="U18" s="253"/>
      <c r="V18" s="253"/>
      <c r="W18" s="253"/>
      <c r="X18" s="253"/>
      <c r="Y18" s="253"/>
      <c r="Z18" s="253"/>
      <c r="AA18" s="253"/>
      <c r="AB18" s="253"/>
      <c r="AC18" s="253"/>
      <c r="AD18" s="255">
        <f>50-50</f>
        <v>0</v>
      </c>
      <c r="AE18" s="253"/>
      <c r="AF18" s="253"/>
      <c r="AG18" s="255">
        <f>50-50</f>
        <v>0</v>
      </c>
      <c r="AH18" s="253"/>
      <c r="AI18" s="253"/>
      <c r="AJ18" s="253"/>
      <c r="AK18" s="253"/>
      <c r="AL18" s="253"/>
      <c r="AM18" s="253"/>
      <c r="AN18" s="253"/>
      <c r="AO18" s="253"/>
      <c r="AP18" s="253"/>
      <c r="AQ18" s="253"/>
      <c r="AR18" s="253"/>
      <c r="AS18" s="253"/>
      <c r="AT18" s="253"/>
      <c r="AU18" s="253"/>
      <c r="AV18" s="253"/>
      <c r="AW18" s="253"/>
      <c r="AX18" s="253"/>
      <c r="AY18" s="253"/>
      <c r="AZ18" s="253"/>
      <c r="BA18" s="253"/>
      <c r="BB18" s="254">
        <f>50-50+20</f>
        <v>20</v>
      </c>
      <c r="BC18" s="253"/>
      <c r="BD18" s="253"/>
      <c r="BE18" s="253"/>
      <c r="BF18" s="253"/>
      <c r="BG18" s="253"/>
      <c r="BH18" s="253"/>
      <c r="BI18" s="253"/>
      <c r="BJ18" s="253"/>
      <c r="BK18" s="253"/>
      <c r="BL18" s="253"/>
      <c r="BM18" s="253"/>
      <c r="BN18" s="253"/>
      <c r="BO18" s="253"/>
      <c r="BP18" s="253"/>
      <c r="BQ18" s="253"/>
      <c r="BR18" s="253"/>
      <c r="BS18" s="253"/>
      <c r="BT18" s="253"/>
      <c r="BU18" s="253"/>
      <c r="BV18" s="253"/>
      <c r="BW18" s="253"/>
      <c r="BX18" s="253"/>
      <c r="BY18" s="253"/>
      <c r="BZ18" s="253"/>
      <c r="CA18" s="253"/>
      <c r="CB18" s="253"/>
      <c r="CC18" s="253"/>
      <c r="CD18" s="253"/>
      <c r="CE18" s="253"/>
      <c r="CF18" s="253"/>
      <c r="CG18" s="253"/>
      <c r="CH18" s="253"/>
      <c r="CI18" s="253"/>
      <c r="CJ18" s="253"/>
      <c r="CK18" s="253"/>
      <c r="CL18" s="253"/>
      <c r="CM18" s="253"/>
      <c r="CN18" s="253"/>
      <c r="CO18" s="253"/>
      <c r="CP18" s="253"/>
      <c r="CQ18" s="253"/>
      <c r="CR18" s="253"/>
      <c r="CS18" s="253"/>
      <c r="CT18" s="253"/>
      <c r="CU18" s="253"/>
      <c r="CV18" s="253"/>
      <c r="CW18" s="253"/>
      <c r="CX18" s="253"/>
      <c r="CY18" s="253"/>
      <c r="CZ18" s="253"/>
      <c r="DA18" s="253"/>
      <c r="DB18" s="253"/>
      <c r="DC18" s="253"/>
      <c r="DD18" s="253"/>
      <c r="DE18" s="253"/>
      <c r="DF18" s="253"/>
      <c r="DG18" s="253"/>
      <c r="DH18" s="253"/>
      <c r="DI18" s="253"/>
      <c r="DJ18" s="253"/>
      <c r="DK18" s="253"/>
      <c r="DL18" s="253"/>
      <c r="DM18" s="253"/>
      <c r="DN18" s="253"/>
      <c r="DO18" s="253"/>
      <c r="DP18" s="253"/>
      <c r="DQ18" s="253"/>
      <c r="DR18" s="253"/>
      <c r="DS18" s="253"/>
      <c r="DT18" s="253"/>
      <c r="DU18" s="253"/>
      <c r="DV18" s="253"/>
      <c r="DW18" s="253"/>
      <c r="DX18" s="253"/>
      <c r="DY18" s="253"/>
      <c r="DZ18" s="253"/>
      <c r="EA18" s="253"/>
      <c r="EB18" s="253"/>
      <c r="EC18" s="253"/>
      <c r="ED18" s="253"/>
      <c r="EE18" s="253"/>
      <c r="EF18" s="253"/>
      <c r="EG18" s="253"/>
      <c r="EH18" s="253"/>
      <c r="EI18" s="253"/>
      <c r="EJ18" s="253"/>
      <c r="EK18" s="253"/>
      <c r="EL18" s="253"/>
      <c r="EM18" s="253"/>
      <c r="EN18" s="253"/>
      <c r="EO18" s="253"/>
      <c r="EP18" s="253"/>
      <c r="EQ18" s="253"/>
      <c r="ER18" s="253"/>
      <c r="ES18" s="253"/>
      <c r="ET18" s="253"/>
      <c r="EU18" s="253"/>
      <c r="EV18" s="253"/>
      <c r="EW18" s="253"/>
      <c r="EX18" s="253"/>
      <c r="EY18" s="253"/>
      <c r="EZ18" s="253"/>
      <c r="FA18" s="253"/>
      <c r="FB18" s="253"/>
      <c r="FC18" s="253"/>
      <c r="FD18" s="253"/>
      <c r="FE18" s="253"/>
      <c r="FF18" s="253"/>
      <c r="FG18" s="253"/>
      <c r="FH18" s="253"/>
      <c r="FI18" s="253"/>
      <c r="FJ18" s="253"/>
      <c r="FK18" s="253"/>
      <c r="FL18" s="253"/>
      <c r="FM18" s="253"/>
      <c r="FN18" s="256"/>
      <c r="FO18" s="257" t="s">
        <v>1270</v>
      </c>
      <c r="FP18" s="258" t="s">
        <v>389</v>
      </c>
      <c r="FQ18" s="258"/>
      <c r="FR18" s="258" t="s">
        <v>819</v>
      </c>
      <c r="FS18" s="259">
        <f t="shared" si="0"/>
        <v>20</v>
      </c>
      <c r="FT18" s="260" t="s">
        <v>820</v>
      </c>
    </row>
    <row r="19" spans="1:176" s="260" customFormat="1" hidden="1">
      <c r="A19" s="251" t="s">
        <v>393</v>
      </c>
      <c r="B19" s="251" t="s">
        <v>385</v>
      </c>
      <c r="C19" s="251" t="s">
        <v>394</v>
      </c>
      <c r="D19" s="251" t="s">
        <v>1</v>
      </c>
      <c r="E19" s="252" t="s">
        <v>818</v>
      </c>
      <c r="F19" s="251" t="s">
        <v>388</v>
      </c>
      <c r="G19" s="251"/>
      <c r="H19" s="253"/>
      <c r="I19" s="253"/>
      <c r="J19" s="253"/>
      <c r="K19" s="253"/>
      <c r="L19" s="253"/>
      <c r="M19" s="253"/>
      <c r="N19" s="253"/>
      <c r="O19" s="253"/>
      <c r="P19" s="253"/>
      <c r="Q19" s="253"/>
      <c r="R19" s="253"/>
      <c r="S19" s="253"/>
      <c r="T19" s="253"/>
      <c r="U19" s="253"/>
      <c r="V19" s="253"/>
      <c r="W19" s="253"/>
      <c r="X19" s="253"/>
      <c r="Y19" s="253"/>
      <c r="Z19" s="253"/>
      <c r="AA19" s="255">
        <f>50-50</f>
        <v>0</v>
      </c>
      <c r="AB19" s="253"/>
      <c r="AC19" s="253"/>
      <c r="AD19" s="253"/>
      <c r="AE19" s="253"/>
      <c r="AF19" s="253"/>
      <c r="AG19" s="254">
        <f>0+10</f>
        <v>10</v>
      </c>
      <c r="AH19" s="253"/>
      <c r="AI19" s="253"/>
      <c r="AJ19" s="253"/>
      <c r="AK19" s="253"/>
      <c r="AL19" s="253"/>
      <c r="AM19" s="253"/>
      <c r="AN19" s="253"/>
      <c r="AO19" s="253"/>
      <c r="AP19" s="253"/>
      <c r="AQ19" s="253"/>
      <c r="AR19" s="253"/>
      <c r="AS19" s="254">
        <f>100-100+10</f>
        <v>10</v>
      </c>
      <c r="AT19" s="253"/>
      <c r="AU19" s="253"/>
      <c r="AV19" s="253"/>
      <c r="AW19" s="253"/>
      <c r="AX19" s="253"/>
      <c r="AY19" s="253"/>
      <c r="AZ19" s="253"/>
      <c r="BA19" s="253"/>
      <c r="BB19" s="253"/>
      <c r="BC19" s="253"/>
      <c r="BD19" s="255">
        <f>20-20</f>
        <v>0</v>
      </c>
      <c r="BE19" s="253"/>
      <c r="BF19" s="253"/>
      <c r="BG19" s="253"/>
      <c r="BH19" s="253"/>
      <c r="BI19" s="253"/>
      <c r="BJ19" s="253"/>
      <c r="BK19" s="253"/>
      <c r="BL19" s="253"/>
      <c r="BM19" s="253"/>
      <c r="BN19" s="253"/>
      <c r="BO19" s="253"/>
      <c r="BP19" s="253"/>
      <c r="BQ19" s="253"/>
      <c r="BR19" s="253"/>
      <c r="BS19" s="253"/>
      <c r="BT19" s="253"/>
      <c r="BU19" s="253"/>
      <c r="BV19" s="253"/>
      <c r="BW19" s="253"/>
      <c r="BX19" s="253"/>
      <c r="BY19" s="253"/>
      <c r="BZ19" s="253"/>
      <c r="CA19" s="253"/>
      <c r="CB19" s="253"/>
      <c r="CC19" s="253"/>
      <c r="CD19" s="253"/>
      <c r="CE19" s="253"/>
      <c r="CF19" s="253"/>
      <c r="CG19" s="253"/>
      <c r="CH19" s="253"/>
      <c r="CI19" s="253"/>
      <c r="CJ19" s="253"/>
      <c r="CK19" s="253"/>
      <c r="CL19" s="253"/>
      <c r="CM19" s="253"/>
      <c r="CN19" s="253"/>
      <c r="CO19" s="253"/>
      <c r="CP19" s="253"/>
      <c r="CQ19" s="253"/>
      <c r="CR19" s="253"/>
      <c r="CS19" s="253"/>
      <c r="CT19" s="253"/>
      <c r="CU19" s="253"/>
      <c r="CV19" s="253"/>
      <c r="CW19" s="253"/>
      <c r="CX19" s="253"/>
      <c r="CY19" s="253"/>
      <c r="CZ19" s="253"/>
      <c r="DA19" s="253"/>
      <c r="DB19" s="253"/>
      <c r="DC19" s="253"/>
      <c r="DD19" s="253"/>
      <c r="DE19" s="253"/>
      <c r="DF19" s="253"/>
      <c r="DG19" s="253"/>
      <c r="DH19" s="253"/>
      <c r="DI19" s="253"/>
      <c r="DJ19" s="253"/>
      <c r="DK19" s="253"/>
      <c r="DL19" s="253"/>
      <c r="DM19" s="253"/>
      <c r="DN19" s="253"/>
      <c r="DO19" s="253"/>
      <c r="DP19" s="253"/>
      <c r="DQ19" s="253"/>
      <c r="DR19" s="253"/>
      <c r="DS19" s="253"/>
      <c r="DT19" s="253"/>
      <c r="DU19" s="253"/>
      <c r="DV19" s="253"/>
      <c r="DW19" s="253"/>
      <c r="DX19" s="253"/>
      <c r="DY19" s="253"/>
      <c r="DZ19" s="253"/>
      <c r="EA19" s="253"/>
      <c r="EB19" s="253"/>
      <c r="EC19" s="253"/>
      <c r="ED19" s="253"/>
      <c r="EE19" s="253"/>
      <c r="EF19" s="253"/>
      <c r="EG19" s="253"/>
      <c r="EH19" s="253"/>
      <c r="EI19" s="253"/>
      <c r="EJ19" s="253"/>
      <c r="EK19" s="253"/>
      <c r="EL19" s="253"/>
      <c r="EM19" s="253"/>
      <c r="EN19" s="253"/>
      <c r="EO19" s="253"/>
      <c r="EP19" s="253"/>
      <c r="EQ19" s="253"/>
      <c r="ER19" s="253"/>
      <c r="ES19" s="253"/>
      <c r="ET19" s="253"/>
      <c r="EU19" s="253"/>
      <c r="EV19" s="253"/>
      <c r="EW19" s="253"/>
      <c r="EX19" s="253"/>
      <c r="EY19" s="253"/>
      <c r="EZ19" s="253"/>
      <c r="FA19" s="253"/>
      <c r="FB19" s="253"/>
      <c r="FC19" s="253"/>
      <c r="FD19" s="253"/>
      <c r="FE19" s="253"/>
      <c r="FF19" s="253"/>
      <c r="FG19" s="253"/>
      <c r="FH19" s="253"/>
      <c r="FI19" s="253"/>
      <c r="FJ19" s="253"/>
      <c r="FK19" s="253"/>
      <c r="FL19" s="253"/>
      <c r="FM19" s="253"/>
      <c r="FN19" s="256"/>
      <c r="FO19" s="257" t="s">
        <v>1270</v>
      </c>
      <c r="FP19" s="258" t="s">
        <v>389</v>
      </c>
      <c r="FQ19" s="258"/>
      <c r="FR19" s="258" t="s">
        <v>819</v>
      </c>
      <c r="FS19" s="259">
        <f t="shared" si="0"/>
        <v>20</v>
      </c>
      <c r="FT19" s="260" t="s">
        <v>820</v>
      </c>
    </row>
    <row r="20" spans="1:176" s="260" customFormat="1" hidden="1">
      <c r="A20" s="251" t="s">
        <v>393</v>
      </c>
      <c r="B20" s="251" t="s">
        <v>385</v>
      </c>
      <c r="C20" s="251" t="s">
        <v>394</v>
      </c>
      <c r="D20" s="251" t="s">
        <v>291</v>
      </c>
      <c r="E20" s="252" t="s">
        <v>399</v>
      </c>
      <c r="F20" s="251" t="s">
        <v>388</v>
      </c>
      <c r="G20" s="251"/>
      <c r="H20" s="253"/>
      <c r="I20" s="253"/>
      <c r="J20" s="253"/>
      <c r="K20" s="253"/>
      <c r="L20" s="253"/>
      <c r="M20" s="253"/>
      <c r="N20" s="253"/>
      <c r="O20" s="253"/>
      <c r="P20" s="253"/>
      <c r="Q20" s="253"/>
      <c r="R20" s="253"/>
      <c r="S20" s="253"/>
      <c r="T20" s="253"/>
      <c r="U20" s="253"/>
      <c r="V20" s="253"/>
      <c r="W20" s="253"/>
      <c r="X20" s="253"/>
      <c r="Y20" s="253"/>
      <c r="Z20" s="253"/>
      <c r="AA20" s="253"/>
      <c r="AB20" s="253"/>
      <c r="AC20" s="253"/>
      <c r="AD20" s="255">
        <f>1500-1500</f>
        <v>0</v>
      </c>
      <c r="AE20" s="253"/>
      <c r="AF20" s="253"/>
      <c r="AG20" s="253"/>
      <c r="AH20" s="253"/>
      <c r="AI20" s="253"/>
      <c r="AJ20" s="253"/>
      <c r="AK20" s="253"/>
      <c r="AL20" s="253"/>
      <c r="AM20" s="253"/>
      <c r="AN20" s="253"/>
      <c r="AO20" s="253"/>
      <c r="AP20" s="253"/>
      <c r="AQ20" s="253"/>
      <c r="AR20" s="253"/>
      <c r="AS20" s="253"/>
      <c r="AT20" s="253"/>
      <c r="AU20" s="253"/>
      <c r="AV20" s="253"/>
      <c r="AW20" s="253"/>
      <c r="AX20" s="253"/>
      <c r="AY20" s="253"/>
      <c r="AZ20" s="253"/>
      <c r="BA20" s="253"/>
      <c r="BB20" s="253"/>
      <c r="BC20" s="253"/>
      <c r="BD20" s="253"/>
      <c r="BE20" s="253"/>
      <c r="BF20" s="253"/>
      <c r="BG20" s="253"/>
      <c r="BH20" s="253"/>
      <c r="BI20" s="253"/>
      <c r="BJ20" s="253"/>
      <c r="BK20" s="253"/>
      <c r="BL20" s="253"/>
      <c r="BM20" s="253"/>
      <c r="BN20" s="253"/>
      <c r="BO20" s="253"/>
      <c r="BP20" s="253"/>
      <c r="BQ20" s="253"/>
      <c r="BR20" s="253"/>
      <c r="BS20" s="253"/>
      <c r="BT20" s="253"/>
      <c r="BU20" s="253"/>
      <c r="BV20" s="253"/>
      <c r="BW20" s="253"/>
      <c r="BX20" s="253"/>
      <c r="BY20" s="253"/>
      <c r="BZ20" s="253"/>
      <c r="CA20" s="253"/>
      <c r="CB20" s="253"/>
      <c r="CC20" s="253"/>
      <c r="CD20" s="253"/>
      <c r="CE20" s="253"/>
      <c r="CF20" s="253"/>
      <c r="CG20" s="253"/>
      <c r="CH20" s="253"/>
      <c r="CI20" s="253"/>
      <c r="CJ20" s="253"/>
      <c r="CK20" s="253"/>
      <c r="CL20" s="253"/>
      <c r="CM20" s="253"/>
      <c r="CN20" s="253"/>
      <c r="CO20" s="253"/>
      <c r="CP20" s="253"/>
      <c r="CQ20" s="253"/>
      <c r="CR20" s="253"/>
      <c r="CS20" s="253"/>
      <c r="CT20" s="253"/>
      <c r="CU20" s="253"/>
      <c r="CV20" s="253"/>
      <c r="CW20" s="253"/>
      <c r="CX20" s="253"/>
      <c r="CY20" s="253"/>
      <c r="CZ20" s="253"/>
      <c r="DA20" s="253"/>
      <c r="DB20" s="253"/>
      <c r="DC20" s="253"/>
      <c r="DD20" s="253"/>
      <c r="DE20" s="253"/>
      <c r="DF20" s="253"/>
      <c r="DG20" s="253"/>
      <c r="DH20" s="253"/>
      <c r="DI20" s="253"/>
      <c r="DJ20" s="253"/>
      <c r="DK20" s="253"/>
      <c r="DL20" s="253"/>
      <c r="DM20" s="253"/>
      <c r="DN20" s="253"/>
      <c r="DO20" s="253"/>
      <c r="DP20" s="253"/>
      <c r="DQ20" s="253"/>
      <c r="DR20" s="253"/>
      <c r="DS20" s="253"/>
      <c r="DT20" s="253"/>
      <c r="DU20" s="253"/>
      <c r="DV20" s="253"/>
      <c r="DW20" s="253"/>
      <c r="DX20" s="253"/>
      <c r="DY20" s="253"/>
      <c r="DZ20" s="253"/>
      <c r="EA20" s="253"/>
      <c r="EB20" s="253"/>
      <c r="EC20" s="253"/>
      <c r="ED20" s="253"/>
      <c r="EE20" s="253"/>
      <c r="EF20" s="253"/>
      <c r="EG20" s="253"/>
      <c r="EH20" s="253"/>
      <c r="EI20" s="253"/>
      <c r="EJ20" s="253"/>
      <c r="EK20" s="253"/>
      <c r="EL20" s="253"/>
      <c r="EM20" s="253"/>
      <c r="EN20" s="253"/>
      <c r="EO20" s="253"/>
      <c r="EP20" s="253"/>
      <c r="EQ20" s="253"/>
      <c r="ER20" s="253"/>
      <c r="ES20" s="253"/>
      <c r="ET20" s="253"/>
      <c r="EU20" s="253"/>
      <c r="EV20" s="253"/>
      <c r="EW20" s="253"/>
      <c r="EX20" s="253"/>
      <c r="EY20" s="253"/>
      <c r="EZ20" s="253"/>
      <c r="FA20" s="253"/>
      <c r="FB20" s="253"/>
      <c r="FC20" s="253"/>
      <c r="FD20" s="253"/>
      <c r="FE20" s="253"/>
      <c r="FF20" s="253"/>
      <c r="FG20" s="253"/>
      <c r="FH20" s="253"/>
      <c r="FI20" s="253"/>
      <c r="FJ20" s="253"/>
      <c r="FK20" s="253"/>
      <c r="FL20" s="253"/>
      <c r="FM20" s="253"/>
      <c r="FN20" s="256"/>
      <c r="FO20" s="257" t="s">
        <v>1270</v>
      </c>
      <c r="FP20" s="258" t="s">
        <v>389</v>
      </c>
      <c r="FQ20" s="258" t="s">
        <v>400</v>
      </c>
      <c r="FR20" s="258" t="s">
        <v>397</v>
      </c>
      <c r="FS20" s="259">
        <f t="shared" si="0"/>
        <v>0</v>
      </c>
      <c r="FT20" s="260" t="s">
        <v>398</v>
      </c>
    </row>
    <row r="21" spans="1:176" s="260" customFormat="1" hidden="1">
      <c r="A21" s="251" t="s">
        <v>393</v>
      </c>
      <c r="B21" s="251" t="s">
        <v>385</v>
      </c>
      <c r="C21" s="251" t="s">
        <v>394</v>
      </c>
      <c r="D21" s="251" t="s">
        <v>291</v>
      </c>
      <c r="E21" s="252" t="s">
        <v>401</v>
      </c>
      <c r="F21" s="251" t="s">
        <v>388</v>
      </c>
      <c r="G21" s="251"/>
      <c r="H21" s="253"/>
      <c r="I21" s="253"/>
      <c r="J21" s="253"/>
      <c r="K21" s="253"/>
      <c r="L21" s="253"/>
      <c r="M21" s="253"/>
      <c r="N21" s="253"/>
      <c r="O21" s="253"/>
      <c r="P21" s="253"/>
      <c r="Q21" s="253"/>
      <c r="R21" s="253"/>
      <c r="S21" s="253"/>
      <c r="T21" s="253"/>
      <c r="U21" s="253"/>
      <c r="V21" s="253"/>
      <c r="W21" s="253"/>
      <c r="X21" s="253"/>
      <c r="Y21" s="253"/>
      <c r="Z21" s="253"/>
      <c r="AA21" s="253"/>
      <c r="AB21" s="253"/>
      <c r="AC21" s="253"/>
      <c r="AD21" s="253"/>
      <c r="AE21" s="253"/>
      <c r="AF21" s="255">
        <f>600-600</f>
        <v>0</v>
      </c>
      <c r="AG21" s="255">
        <f>600-600</f>
        <v>0</v>
      </c>
      <c r="AH21" s="253"/>
      <c r="AI21" s="253"/>
      <c r="AJ21" s="253"/>
      <c r="AK21" s="253"/>
      <c r="AL21" s="253"/>
      <c r="AM21" s="253"/>
      <c r="AN21" s="254">
        <f>600-600+10</f>
        <v>10</v>
      </c>
      <c r="AO21" s="253"/>
      <c r="AP21" s="255">
        <f>600-600</f>
        <v>0</v>
      </c>
      <c r="AQ21" s="253"/>
      <c r="AR21" s="253"/>
      <c r="AS21" s="253"/>
      <c r="AT21" s="253"/>
      <c r="AU21" s="253"/>
      <c r="AV21" s="253"/>
      <c r="AW21" s="253"/>
      <c r="AX21" s="253"/>
      <c r="AY21" s="253"/>
      <c r="AZ21" s="253"/>
      <c r="BA21" s="253"/>
      <c r="BB21" s="255">
        <f>600-600</f>
        <v>0</v>
      </c>
      <c r="BC21" s="253"/>
      <c r="BD21" s="253"/>
      <c r="BE21" s="253"/>
      <c r="BF21" s="253"/>
      <c r="BG21" s="253"/>
      <c r="BH21" s="253"/>
      <c r="BI21" s="253"/>
      <c r="BJ21" s="253"/>
      <c r="BK21" s="253"/>
      <c r="BL21" s="253"/>
      <c r="BM21" s="253"/>
      <c r="BN21" s="253"/>
      <c r="BO21" s="253"/>
      <c r="BP21" s="253"/>
      <c r="BQ21" s="253"/>
      <c r="BR21" s="253"/>
      <c r="BS21" s="253"/>
      <c r="BT21" s="253"/>
      <c r="BU21" s="253"/>
      <c r="BV21" s="253"/>
      <c r="BW21" s="253"/>
      <c r="BX21" s="253"/>
      <c r="BY21" s="253"/>
      <c r="BZ21" s="253"/>
      <c r="CA21" s="253"/>
      <c r="CB21" s="253"/>
      <c r="CC21" s="253"/>
      <c r="CD21" s="253"/>
      <c r="CE21" s="253"/>
      <c r="CF21" s="253"/>
      <c r="CG21" s="253"/>
      <c r="CH21" s="253"/>
      <c r="CI21" s="253"/>
      <c r="CJ21" s="253"/>
      <c r="CK21" s="253"/>
      <c r="CL21" s="253"/>
      <c r="CM21" s="253"/>
      <c r="CN21" s="253"/>
      <c r="CO21" s="253"/>
      <c r="CP21" s="253"/>
      <c r="CQ21" s="253"/>
      <c r="CR21" s="253"/>
      <c r="CS21" s="253"/>
      <c r="CT21" s="253"/>
      <c r="CU21" s="253"/>
      <c r="CV21" s="253"/>
      <c r="CW21" s="253"/>
      <c r="CX21" s="253"/>
      <c r="CY21" s="253"/>
      <c r="CZ21" s="253"/>
      <c r="DA21" s="253"/>
      <c r="DB21" s="253"/>
      <c r="DC21" s="253"/>
      <c r="DD21" s="253"/>
      <c r="DE21" s="253"/>
      <c r="DF21" s="253"/>
      <c r="DG21" s="253"/>
      <c r="DH21" s="253"/>
      <c r="DI21" s="253"/>
      <c r="DJ21" s="253"/>
      <c r="DK21" s="253"/>
      <c r="DL21" s="253"/>
      <c r="DM21" s="253"/>
      <c r="DN21" s="253"/>
      <c r="DO21" s="253"/>
      <c r="DP21" s="253"/>
      <c r="DQ21" s="253"/>
      <c r="DR21" s="253"/>
      <c r="DS21" s="253"/>
      <c r="DT21" s="253"/>
      <c r="DU21" s="253"/>
      <c r="DV21" s="253"/>
      <c r="DW21" s="253"/>
      <c r="DX21" s="253"/>
      <c r="DY21" s="253"/>
      <c r="DZ21" s="253"/>
      <c r="EA21" s="253"/>
      <c r="EB21" s="253"/>
      <c r="EC21" s="253"/>
      <c r="ED21" s="253"/>
      <c r="EE21" s="253"/>
      <c r="EF21" s="253"/>
      <c r="EG21" s="253"/>
      <c r="EH21" s="253"/>
      <c r="EI21" s="253"/>
      <c r="EJ21" s="253"/>
      <c r="EK21" s="253"/>
      <c r="EL21" s="253"/>
      <c r="EM21" s="253"/>
      <c r="EN21" s="253"/>
      <c r="EO21" s="253"/>
      <c r="EP21" s="253"/>
      <c r="EQ21" s="253"/>
      <c r="ER21" s="253"/>
      <c r="ES21" s="253"/>
      <c r="ET21" s="253"/>
      <c r="EU21" s="253"/>
      <c r="EV21" s="253"/>
      <c r="EW21" s="253"/>
      <c r="EX21" s="253"/>
      <c r="EY21" s="253"/>
      <c r="EZ21" s="253"/>
      <c r="FA21" s="253"/>
      <c r="FB21" s="253"/>
      <c r="FC21" s="253"/>
      <c r="FD21" s="253"/>
      <c r="FE21" s="253"/>
      <c r="FF21" s="253"/>
      <c r="FG21" s="253"/>
      <c r="FH21" s="253"/>
      <c r="FI21" s="253"/>
      <c r="FJ21" s="253"/>
      <c r="FK21" s="253"/>
      <c r="FL21" s="253"/>
      <c r="FM21" s="253"/>
      <c r="FN21" s="256"/>
      <c r="FO21" s="257" t="s">
        <v>1270</v>
      </c>
      <c r="FP21" s="258" t="s">
        <v>389</v>
      </c>
      <c r="FQ21" s="258"/>
      <c r="FR21" s="258" t="s">
        <v>402</v>
      </c>
      <c r="FS21" s="259">
        <f t="shared" si="0"/>
        <v>10</v>
      </c>
      <c r="FT21" s="260" t="s">
        <v>403</v>
      </c>
    </row>
    <row r="22" spans="1:176" s="260" customFormat="1" hidden="1">
      <c r="A22" s="251" t="s">
        <v>393</v>
      </c>
      <c r="B22" s="251" t="s">
        <v>385</v>
      </c>
      <c r="C22" s="251" t="s">
        <v>394</v>
      </c>
      <c r="D22" s="251" t="s">
        <v>1</v>
      </c>
      <c r="E22" s="252" t="s">
        <v>401</v>
      </c>
      <c r="F22" s="251" t="s">
        <v>388</v>
      </c>
      <c r="G22" s="251"/>
      <c r="H22" s="253"/>
      <c r="I22" s="253"/>
      <c r="J22" s="253"/>
      <c r="K22" s="253"/>
      <c r="L22" s="253"/>
      <c r="M22" s="253"/>
      <c r="N22" s="253"/>
      <c r="O22" s="253"/>
      <c r="P22" s="253"/>
      <c r="Q22" s="253"/>
      <c r="R22" s="255">
        <f>600-600</f>
        <v>0</v>
      </c>
      <c r="S22" s="253"/>
      <c r="T22" s="255">
        <f>600-600</f>
        <v>0</v>
      </c>
      <c r="U22" s="255">
        <f>600-600</f>
        <v>0</v>
      </c>
      <c r="V22" s="253"/>
      <c r="W22" s="253"/>
      <c r="X22" s="253"/>
      <c r="Y22" s="255">
        <f>600-600</f>
        <v>0</v>
      </c>
      <c r="Z22" s="255">
        <f>600-600</f>
        <v>0</v>
      </c>
      <c r="AA22" s="255">
        <f>600-600</f>
        <v>0</v>
      </c>
      <c r="AB22" s="255">
        <f>600-600</f>
        <v>0</v>
      </c>
      <c r="AC22" s="255">
        <f>600-600</f>
        <v>0</v>
      </c>
      <c r="AD22" s="253"/>
      <c r="AE22" s="255">
        <f>600-600</f>
        <v>0</v>
      </c>
      <c r="AF22" s="253"/>
      <c r="AG22" s="253"/>
      <c r="AH22" s="255">
        <f>600-600</f>
        <v>0</v>
      </c>
      <c r="AI22" s="253"/>
      <c r="AJ22" s="253"/>
      <c r="AK22" s="253"/>
      <c r="AL22" s="255">
        <f>600-600</f>
        <v>0</v>
      </c>
      <c r="AM22" s="253"/>
      <c r="AN22" s="253"/>
      <c r="AO22" s="253"/>
      <c r="AP22" s="253"/>
      <c r="AQ22" s="253"/>
      <c r="AR22" s="253"/>
      <c r="AS22" s="255">
        <f>600-600</f>
        <v>0</v>
      </c>
      <c r="AT22" s="253"/>
      <c r="AU22" s="253"/>
      <c r="AV22" s="253"/>
      <c r="AW22" s="253"/>
      <c r="AX22" s="254">
        <f>600-600+40</f>
        <v>40</v>
      </c>
      <c r="AY22" s="253"/>
      <c r="AZ22" s="253"/>
      <c r="BA22" s="253"/>
      <c r="BB22" s="253"/>
      <c r="BC22" s="254">
        <f>600-600+40</f>
        <v>40</v>
      </c>
      <c r="BD22" s="255">
        <f>600-600</f>
        <v>0</v>
      </c>
      <c r="BE22" s="253"/>
      <c r="BF22" s="253"/>
      <c r="BG22" s="253"/>
      <c r="BH22" s="254">
        <v>30</v>
      </c>
      <c r="BI22" s="254"/>
      <c r="BJ22" s="254"/>
      <c r="BK22" s="254">
        <v>80</v>
      </c>
      <c r="BL22" s="254"/>
      <c r="BM22" s="254"/>
      <c r="BN22" s="254"/>
      <c r="BO22" s="254"/>
      <c r="BP22" s="254"/>
      <c r="BQ22" s="254"/>
      <c r="BR22" s="254"/>
      <c r="BS22" s="254"/>
      <c r="BT22" s="254">
        <v>10</v>
      </c>
      <c r="BU22" s="254"/>
      <c r="BV22" s="254">
        <v>10</v>
      </c>
      <c r="BW22" s="254"/>
      <c r="BX22" s="254"/>
      <c r="BY22" s="254">
        <v>30</v>
      </c>
      <c r="BZ22" s="254">
        <v>10</v>
      </c>
      <c r="CA22" s="254"/>
      <c r="CB22" s="254"/>
      <c r="CC22" s="254"/>
      <c r="CD22" s="254"/>
      <c r="CE22" s="254"/>
      <c r="CF22" s="254"/>
      <c r="CG22" s="254">
        <v>10</v>
      </c>
      <c r="CH22" s="254"/>
      <c r="CI22" s="254"/>
      <c r="CJ22" s="254"/>
      <c r="CK22" s="254"/>
      <c r="CL22" s="254"/>
      <c r="CM22" s="254"/>
      <c r="CN22" s="254"/>
      <c r="CO22" s="254"/>
      <c r="CP22" s="254">
        <v>10</v>
      </c>
      <c r="CQ22" s="254"/>
      <c r="CR22" s="254"/>
      <c r="CS22" s="254"/>
      <c r="CT22" s="254"/>
      <c r="CU22" s="254"/>
      <c r="CV22" s="254"/>
      <c r="CW22" s="254"/>
      <c r="CX22" s="254"/>
      <c r="CY22" s="254">
        <v>10</v>
      </c>
      <c r="CZ22" s="254"/>
      <c r="DA22" s="254"/>
      <c r="DB22" s="254"/>
      <c r="DC22" s="254"/>
      <c r="DD22" s="254"/>
      <c r="DE22" s="254"/>
      <c r="DF22" s="254"/>
      <c r="DG22" s="254"/>
      <c r="DH22" s="254"/>
      <c r="DI22" s="254"/>
      <c r="DJ22" s="254"/>
      <c r="DK22" s="254"/>
      <c r="DL22" s="254"/>
      <c r="DM22" s="254"/>
      <c r="DN22" s="254"/>
      <c r="DO22" s="253"/>
      <c r="DP22" s="253"/>
      <c r="DQ22" s="253"/>
      <c r="DR22" s="253"/>
      <c r="DS22" s="253"/>
      <c r="DT22" s="253"/>
      <c r="DU22" s="253"/>
      <c r="DV22" s="253"/>
      <c r="DW22" s="253"/>
      <c r="DX22" s="253"/>
      <c r="DY22" s="253"/>
      <c r="DZ22" s="253"/>
      <c r="EA22" s="253"/>
      <c r="EB22" s="253"/>
      <c r="EC22" s="253"/>
      <c r="ED22" s="253"/>
      <c r="EE22" s="253"/>
      <c r="EF22" s="253"/>
      <c r="EG22" s="255">
        <f t="shared" ref="EG22:EL22" si="2">100-100</f>
        <v>0</v>
      </c>
      <c r="EH22" s="255">
        <f t="shared" si="2"/>
        <v>0</v>
      </c>
      <c r="EI22" s="255">
        <f t="shared" si="2"/>
        <v>0</v>
      </c>
      <c r="EJ22" s="255">
        <f t="shared" si="2"/>
        <v>0</v>
      </c>
      <c r="EK22" s="255">
        <f t="shared" si="2"/>
        <v>0</v>
      </c>
      <c r="EL22" s="255">
        <f t="shared" si="2"/>
        <v>0</v>
      </c>
      <c r="EM22" s="253"/>
      <c r="EN22" s="253"/>
      <c r="EO22" s="253"/>
      <c r="EP22" s="253"/>
      <c r="EQ22" s="253"/>
      <c r="ER22" s="255">
        <f>50-50</f>
        <v>0</v>
      </c>
      <c r="ES22" s="255">
        <f>50-50</f>
        <v>0</v>
      </c>
      <c r="ET22" s="255">
        <f>50-50</f>
        <v>0</v>
      </c>
      <c r="EU22" s="253"/>
      <c r="EV22" s="255">
        <f>50-50</f>
        <v>0</v>
      </c>
      <c r="EW22" s="255">
        <f>50-50</f>
        <v>0</v>
      </c>
      <c r="EX22" s="255">
        <f>50-50</f>
        <v>0</v>
      </c>
      <c r="EY22" s="253"/>
      <c r="EZ22" s="255">
        <f>50-50</f>
        <v>0</v>
      </c>
      <c r="FA22" s="255">
        <f>50-50</f>
        <v>0</v>
      </c>
      <c r="FB22" s="253"/>
      <c r="FC22" s="253"/>
      <c r="FD22" s="255">
        <f>50-50</f>
        <v>0</v>
      </c>
      <c r="FE22" s="253"/>
      <c r="FF22" s="253"/>
      <c r="FG22" s="253"/>
      <c r="FH22" s="253"/>
      <c r="FI22" s="253"/>
      <c r="FJ22" s="253"/>
      <c r="FK22" s="253"/>
      <c r="FL22" s="253"/>
      <c r="FM22" s="253"/>
      <c r="FN22" s="256"/>
      <c r="FO22" s="257" t="s">
        <v>1270</v>
      </c>
      <c r="FP22" s="258" t="s">
        <v>389</v>
      </c>
      <c r="FQ22" s="258"/>
      <c r="FR22" s="258" t="s">
        <v>402</v>
      </c>
      <c r="FS22" s="259">
        <f t="shared" si="0"/>
        <v>280</v>
      </c>
      <c r="FT22" s="260" t="s">
        <v>403</v>
      </c>
    </row>
    <row r="23" spans="1:176" s="260" customFormat="1" hidden="1">
      <c r="A23" s="251" t="s">
        <v>393</v>
      </c>
      <c r="B23" s="251" t="s">
        <v>385</v>
      </c>
      <c r="C23" s="251" t="s">
        <v>394</v>
      </c>
      <c r="D23" s="251" t="s">
        <v>293</v>
      </c>
      <c r="E23" s="252" t="s">
        <v>401</v>
      </c>
      <c r="F23" s="251" t="s">
        <v>388</v>
      </c>
      <c r="G23" s="251"/>
      <c r="H23" s="253"/>
      <c r="I23" s="253"/>
      <c r="J23" s="253"/>
      <c r="K23" s="253"/>
      <c r="L23" s="253"/>
      <c r="M23" s="253"/>
      <c r="N23" s="253"/>
      <c r="O23" s="253"/>
      <c r="P23" s="253"/>
      <c r="Q23" s="253"/>
      <c r="R23" s="253"/>
      <c r="S23" s="253"/>
      <c r="T23" s="253"/>
      <c r="U23" s="253"/>
      <c r="V23" s="253"/>
      <c r="W23" s="253"/>
      <c r="X23" s="253"/>
      <c r="Y23" s="253"/>
      <c r="Z23" s="253"/>
      <c r="AA23" s="253"/>
      <c r="AB23" s="253"/>
      <c r="AC23" s="253"/>
      <c r="AD23" s="253"/>
      <c r="AE23" s="253"/>
      <c r="AF23" s="253"/>
      <c r="AG23" s="253"/>
      <c r="AH23" s="253"/>
      <c r="AI23" s="253"/>
      <c r="AJ23" s="253"/>
      <c r="AK23" s="253"/>
      <c r="AL23" s="253"/>
      <c r="AM23" s="253"/>
      <c r="AN23" s="253"/>
      <c r="AO23" s="253"/>
      <c r="AP23" s="253"/>
      <c r="AQ23" s="253"/>
      <c r="AR23" s="253"/>
      <c r="AS23" s="253"/>
      <c r="AT23" s="253"/>
      <c r="AU23" s="253"/>
      <c r="AV23" s="253"/>
      <c r="AW23" s="253"/>
      <c r="AX23" s="253"/>
      <c r="AY23" s="253"/>
      <c r="AZ23" s="253"/>
      <c r="BA23" s="253"/>
      <c r="BB23" s="253"/>
      <c r="BC23" s="253"/>
      <c r="BD23" s="253"/>
      <c r="BE23" s="253"/>
      <c r="BF23" s="253"/>
      <c r="BG23" s="253"/>
      <c r="BH23" s="253"/>
      <c r="BI23" s="253"/>
      <c r="BJ23" s="253"/>
      <c r="BK23" s="253"/>
      <c r="BL23" s="253"/>
      <c r="BM23" s="253"/>
      <c r="BN23" s="253"/>
      <c r="BO23" s="253"/>
      <c r="BP23" s="253"/>
      <c r="BQ23" s="253"/>
      <c r="BR23" s="253"/>
      <c r="BS23" s="253"/>
      <c r="BT23" s="253"/>
      <c r="BU23" s="253"/>
      <c r="BV23" s="253"/>
      <c r="BW23" s="253"/>
      <c r="BX23" s="253"/>
      <c r="BY23" s="253"/>
      <c r="BZ23" s="253"/>
      <c r="CA23" s="253"/>
      <c r="CB23" s="253"/>
      <c r="CC23" s="253"/>
      <c r="CD23" s="253"/>
      <c r="CE23" s="253"/>
      <c r="CF23" s="253"/>
      <c r="CG23" s="253"/>
      <c r="CH23" s="253"/>
      <c r="CI23" s="253"/>
      <c r="CJ23" s="253"/>
      <c r="CK23" s="253"/>
      <c r="CL23" s="253"/>
      <c r="CM23" s="253"/>
      <c r="CN23" s="253"/>
      <c r="CO23" s="253"/>
      <c r="CP23" s="253"/>
      <c r="CQ23" s="253"/>
      <c r="CR23" s="253"/>
      <c r="CS23" s="253"/>
      <c r="CT23" s="253"/>
      <c r="CU23" s="253"/>
      <c r="CV23" s="253"/>
      <c r="CW23" s="253"/>
      <c r="CX23" s="253"/>
      <c r="CY23" s="253"/>
      <c r="CZ23" s="253"/>
      <c r="DA23" s="253"/>
      <c r="DB23" s="253"/>
      <c r="DC23" s="253"/>
      <c r="DD23" s="253"/>
      <c r="DE23" s="253"/>
      <c r="DF23" s="253"/>
      <c r="DG23" s="253"/>
      <c r="DH23" s="253"/>
      <c r="DI23" s="253"/>
      <c r="DJ23" s="253"/>
      <c r="DK23" s="253"/>
      <c r="DL23" s="253"/>
      <c r="DM23" s="253"/>
      <c r="DN23" s="253"/>
      <c r="DO23" s="253"/>
      <c r="DP23" s="253"/>
      <c r="DQ23" s="253"/>
      <c r="DR23" s="253"/>
      <c r="DS23" s="253"/>
      <c r="DT23" s="253"/>
      <c r="DU23" s="253"/>
      <c r="DV23" s="253"/>
      <c r="DW23" s="253"/>
      <c r="DX23" s="253"/>
      <c r="DY23" s="253"/>
      <c r="DZ23" s="253"/>
      <c r="EA23" s="253"/>
      <c r="EB23" s="253"/>
      <c r="EC23" s="253"/>
      <c r="ED23" s="253"/>
      <c r="EE23" s="253"/>
      <c r="EF23" s="253"/>
      <c r="EG23" s="253"/>
      <c r="EH23" s="253"/>
      <c r="EI23" s="253"/>
      <c r="EJ23" s="253"/>
      <c r="EK23" s="253"/>
      <c r="EL23" s="253"/>
      <c r="EM23" s="253"/>
      <c r="EN23" s="253"/>
      <c r="EO23" s="253"/>
      <c r="EP23" s="253"/>
      <c r="EQ23" s="253"/>
      <c r="ER23" s="253"/>
      <c r="ES23" s="253"/>
      <c r="ET23" s="253"/>
      <c r="EU23" s="255">
        <f>50-50</f>
        <v>0</v>
      </c>
      <c r="EV23" s="253"/>
      <c r="EW23" s="253"/>
      <c r="EX23" s="253"/>
      <c r="EY23" s="255">
        <f>50-50</f>
        <v>0</v>
      </c>
      <c r="EZ23" s="253"/>
      <c r="FA23" s="253"/>
      <c r="FB23" s="253"/>
      <c r="FC23" s="255">
        <f>50-50</f>
        <v>0</v>
      </c>
      <c r="FD23" s="253"/>
      <c r="FE23" s="253"/>
      <c r="FF23" s="253"/>
      <c r="FG23" s="253"/>
      <c r="FH23" s="253"/>
      <c r="FI23" s="253"/>
      <c r="FJ23" s="253"/>
      <c r="FK23" s="253"/>
      <c r="FL23" s="253"/>
      <c r="FM23" s="253"/>
      <c r="FN23" s="256"/>
      <c r="FO23" s="257" t="s">
        <v>1270</v>
      </c>
      <c r="FP23" s="258" t="s">
        <v>389</v>
      </c>
      <c r="FQ23" s="258"/>
      <c r="FR23" s="258" t="s">
        <v>402</v>
      </c>
      <c r="FS23" s="259">
        <f t="shared" si="0"/>
        <v>0</v>
      </c>
      <c r="FT23" s="260" t="s">
        <v>403</v>
      </c>
    </row>
    <row r="24" spans="1:176" s="260" customFormat="1" hidden="1">
      <c r="A24" s="251" t="s">
        <v>393</v>
      </c>
      <c r="B24" s="251" t="s">
        <v>385</v>
      </c>
      <c r="C24" s="251" t="s">
        <v>394</v>
      </c>
      <c r="D24" s="251" t="s">
        <v>291</v>
      </c>
      <c r="E24" s="252" t="s">
        <v>821</v>
      </c>
      <c r="F24" s="251" t="s">
        <v>388</v>
      </c>
      <c r="G24" s="251"/>
      <c r="H24" s="253"/>
      <c r="I24" s="253"/>
      <c r="J24" s="253"/>
      <c r="K24" s="253"/>
      <c r="L24" s="253"/>
      <c r="M24" s="253"/>
      <c r="N24" s="253"/>
      <c r="O24" s="253"/>
      <c r="P24" s="253"/>
      <c r="Q24" s="253"/>
      <c r="R24" s="253"/>
      <c r="S24" s="253"/>
      <c r="T24" s="253"/>
      <c r="U24" s="253"/>
      <c r="V24" s="253"/>
      <c r="W24" s="253"/>
      <c r="X24" s="253"/>
      <c r="Y24" s="253"/>
      <c r="Z24" s="253"/>
      <c r="AA24" s="253"/>
      <c r="AB24" s="253"/>
      <c r="AC24" s="253"/>
      <c r="AD24" s="255">
        <f>50-50</f>
        <v>0</v>
      </c>
      <c r="AE24" s="253"/>
      <c r="AF24" s="253"/>
      <c r="AG24" s="255">
        <f>50-50</f>
        <v>0</v>
      </c>
      <c r="AH24" s="253"/>
      <c r="AI24" s="253"/>
      <c r="AJ24" s="253"/>
      <c r="AK24" s="253"/>
      <c r="AL24" s="253"/>
      <c r="AM24" s="253"/>
      <c r="AN24" s="253"/>
      <c r="AO24" s="253"/>
      <c r="AP24" s="253"/>
      <c r="AQ24" s="253"/>
      <c r="AR24" s="253"/>
      <c r="AS24" s="253"/>
      <c r="AT24" s="253"/>
      <c r="AU24" s="253"/>
      <c r="AV24" s="253"/>
      <c r="AW24" s="253"/>
      <c r="AX24" s="253"/>
      <c r="AY24" s="253"/>
      <c r="AZ24" s="253"/>
      <c r="BA24" s="253"/>
      <c r="BB24" s="254">
        <f>50-50+20</f>
        <v>20</v>
      </c>
      <c r="BC24" s="253"/>
      <c r="BD24" s="253"/>
      <c r="BE24" s="253"/>
      <c r="BF24" s="253"/>
      <c r="BG24" s="253"/>
      <c r="BH24" s="253"/>
      <c r="BI24" s="253"/>
      <c r="BJ24" s="253"/>
      <c r="BK24" s="253"/>
      <c r="BL24" s="253"/>
      <c r="BM24" s="253"/>
      <c r="BN24" s="253"/>
      <c r="BO24" s="253"/>
      <c r="BP24" s="253"/>
      <c r="BQ24" s="253"/>
      <c r="BR24" s="253"/>
      <c r="BS24" s="253"/>
      <c r="BT24" s="253"/>
      <c r="BU24" s="253"/>
      <c r="BV24" s="253"/>
      <c r="BW24" s="253"/>
      <c r="BX24" s="253"/>
      <c r="BY24" s="253"/>
      <c r="BZ24" s="253"/>
      <c r="CA24" s="253"/>
      <c r="CB24" s="253"/>
      <c r="CC24" s="253"/>
      <c r="CD24" s="253"/>
      <c r="CE24" s="253"/>
      <c r="CF24" s="253"/>
      <c r="CG24" s="253"/>
      <c r="CH24" s="253"/>
      <c r="CI24" s="253"/>
      <c r="CJ24" s="253"/>
      <c r="CK24" s="253"/>
      <c r="CL24" s="253"/>
      <c r="CM24" s="253"/>
      <c r="CN24" s="253"/>
      <c r="CO24" s="253"/>
      <c r="CP24" s="253"/>
      <c r="CQ24" s="253"/>
      <c r="CR24" s="253"/>
      <c r="CS24" s="253"/>
      <c r="CT24" s="253"/>
      <c r="CU24" s="253"/>
      <c r="CV24" s="253"/>
      <c r="CW24" s="253"/>
      <c r="CX24" s="253"/>
      <c r="CY24" s="253"/>
      <c r="CZ24" s="253"/>
      <c r="DA24" s="253"/>
      <c r="DB24" s="253"/>
      <c r="DC24" s="253"/>
      <c r="DD24" s="253"/>
      <c r="DE24" s="253"/>
      <c r="DF24" s="253"/>
      <c r="DG24" s="253"/>
      <c r="DH24" s="253"/>
      <c r="DI24" s="253"/>
      <c r="DJ24" s="253"/>
      <c r="DK24" s="253"/>
      <c r="DL24" s="253"/>
      <c r="DM24" s="253"/>
      <c r="DN24" s="253"/>
      <c r="DO24" s="253"/>
      <c r="DP24" s="253"/>
      <c r="DQ24" s="253"/>
      <c r="DR24" s="253"/>
      <c r="DS24" s="253"/>
      <c r="DT24" s="253"/>
      <c r="DU24" s="253"/>
      <c r="DV24" s="253"/>
      <c r="DW24" s="253"/>
      <c r="DX24" s="253"/>
      <c r="DY24" s="253"/>
      <c r="DZ24" s="253"/>
      <c r="EA24" s="253"/>
      <c r="EB24" s="253"/>
      <c r="EC24" s="253"/>
      <c r="ED24" s="253"/>
      <c r="EE24" s="253"/>
      <c r="EF24" s="253"/>
      <c r="EG24" s="253"/>
      <c r="EH24" s="253"/>
      <c r="EI24" s="253"/>
      <c r="EJ24" s="253"/>
      <c r="EK24" s="253"/>
      <c r="EL24" s="253"/>
      <c r="EM24" s="253"/>
      <c r="EN24" s="253"/>
      <c r="EO24" s="253"/>
      <c r="EP24" s="253"/>
      <c r="EQ24" s="253"/>
      <c r="ER24" s="253"/>
      <c r="ES24" s="253"/>
      <c r="ET24" s="253"/>
      <c r="EU24" s="253"/>
      <c r="EV24" s="253"/>
      <c r="EW24" s="253"/>
      <c r="EX24" s="253"/>
      <c r="EY24" s="253"/>
      <c r="EZ24" s="253"/>
      <c r="FA24" s="253"/>
      <c r="FB24" s="253"/>
      <c r="FC24" s="253"/>
      <c r="FD24" s="253"/>
      <c r="FE24" s="253"/>
      <c r="FF24" s="253"/>
      <c r="FG24" s="253"/>
      <c r="FH24" s="253"/>
      <c r="FI24" s="253"/>
      <c r="FJ24" s="253"/>
      <c r="FK24" s="253"/>
      <c r="FL24" s="253"/>
      <c r="FM24" s="253"/>
      <c r="FN24" s="256"/>
      <c r="FO24" s="257" t="s">
        <v>1270</v>
      </c>
      <c r="FP24" s="258" t="s">
        <v>389</v>
      </c>
      <c r="FQ24" s="258"/>
      <c r="FR24" s="258" t="s">
        <v>822</v>
      </c>
      <c r="FS24" s="259">
        <f t="shared" si="0"/>
        <v>20</v>
      </c>
      <c r="FT24" s="260" t="s">
        <v>820</v>
      </c>
    </row>
    <row r="25" spans="1:176" s="260" customFormat="1" hidden="1">
      <c r="A25" s="251" t="s">
        <v>393</v>
      </c>
      <c r="B25" s="251" t="s">
        <v>385</v>
      </c>
      <c r="C25" s="251" t="s">
        <v>394</v>
      </c>
      <c r="D25" s="251" t="s">
        <v>1</v>
      </c>
      <c r="E25" s="252" t="s">
        <v>821</v>
      </c>
      <c r="F25" s="251" t="s">
        <v>388</v>
      </c>
      <c r="G25" s="251"/>
      <c r="H25" s="253"/>
      <c r="I25" s="253"/>
      <c r="J25" s="253"/>
      <c r="K25" s="253"/>
      <c r="L25" s="253"/>
      <c r="M25" s="253"/>
      <c r="N25" s="253"/>
      <c r="O25" s="253"/>
      <c r="P25" s="253"/>
      <c r="Q25" s="253"/>
      <c r="R25" s="253"/>
      <c r="S25" s="253"/>
      <c r="T25" s="253"/>
      <c r="U25" s="253"/>
      <c r="V25" s="253"/>
      <c r="W25" s="253"/>
      <c r="X25" s="253"/>
      <c r="Y25" s="253"/>
      <c r="Z25" s="253"/>
      <c r="AA25" s="255">
        <f>200-200</f>
        <v>0</v>
      </c>
      <c r="AB25" s="253"/>
      <c r="AC25" s="253"/>
      <c r="AD25" s="253"/>
      <c r="AE25" s="253"/>
      <c r="AF25" s="253"/>
      <c r="AG25" s="253"/>
      <c r="AH25" s="253"/>
      <c r="AI25" s="253"/>
      <c r="AJ25" s="253"/>
      <c r="AK25" s="253"/>
      <c r="AL25" s="255">
        <f>50-50</f>
        <v>0</v>
      </c>
      <c r="AM25" s="253"/>
      <c r="AN25" s="253"/>
      <c r="AO25" s="253"/>
      <c r="AP25" s="253"/>
      <c r="AQ25" s="253"/>
      <c r="AR25" s="253"/>
      <c r="AS25" s="254">
        <f>100-100+10</f>
        <v>10</v>
      </c>
      <c r="AT25" s="253"/>
      <c r="AU25" s="253"/>
      <c r="AV25" s="253"/>
      <c r="AW25" s="253"/>
      <c r="AX25" s="253"/>
      <c r="AY25" s="253"/>
      <c r="AZ25" s="253"/>
      <c r="BA25" s="253"/>
      <c r="BB25" s="253"/>
      <c r="BC25" s="253"/>
      <c r="BD25" s="255">
        <f>50-50</f>
        <v>0</v>
      </c>
      <c r="BE25" s="253"/>
      <c r="BF25" s="253"/>
      <c r="BG25" s="253"/>
      <c r="BH25" s="253"/>
      <c r="BI25" s="253"/>
      <c r="BJ25" s="253"/>
      <c r="BK25" s="253"/>
      <c r="BL25" s="253"/>
      <c r="BM25" s="253"/>
      <c r="BN25" s="253"/>
      <c r="BO25" s="253"/>
      <c r="BP25" s="253"/>
      <c r="BQ25" s="253"/>
      <c r="BR25" s="253"/>
      <c r="BS25" s="253"/>
      <c r="BT25" s="253"/>
      <c r="BU25" s="253"/>
      <c r="BV25" s="253"/>
      <c r="BW25" s="253"/>
      <c r="BX25" s="253"/>
      <c r="BY25" s="253"/>
      <c r="BZ25" s="253"/>
      <c r="CA25" s="253"/>
      <c r="CB25" s="253"/>
      <c r="CC25" s="253"/>
      <c r="CD25" s="253"/>
      <c r="CE25" s="253"/>
      <c r="CF25" s="253"/>
      <c r="CG25" s="253"/>
      <c r="CH25" s="253"/>
      <c r="CI25" s="253"/>
      <c r="CJ25" s="253"/>
      <c r="CK25" s="253"/>
      <c r="CL25" s="253"/>
      <c r="CM25" s="253"/>
      <c r="CN25" s="253"/>
      <c r="CO25" s="253"/>
      <c r="CP25" s="253"/>
      <c r="CQ25" s="253"/>
      <c r="CR25" s="253"/>
      <c r="CS25" s="253"/>
      <c r="CT25" s="253"/>
      <c r="CU25" s="253"/>
      <c r="CV25" s="253"/>
      <c r="CW25" s="253"/>
      <c r="CX25" s="253"/>
      <c r="CY25" s="253"/>
      <c r="CZ25" s="253"/>
      <c r="DA25" s="253"/>
      <c r="DB25" s="253"/>
      <c r="DC25" s="253"/>
      <c r="DD25" s="253"/>
      <c r="DE25" s="253"/>
      <c r="DF25" s="253"/>
      <c r="DG25" s="253"/>
      <c r="DH25" s="253"/>
      <c r="DI25" s="253"/>
      <c r="DJ25" s="253"/>
      <c r="DK25" s="253"/>
      <c r="DL25" s="253"/>
      <c r="DM25" s="253"/>
      <c r="DN25" s="253"/>
      <c r="DO25" s="253"/>
      <c r="DP25" s="253"/>
      <c r="DQ25" s="253"/>
      <c r="DR25" s="253"/>
      <c r="DS25" s="253"/>
      <c r="DT25" s="253"/>
      <c r="DU25" s="253"/>
      <c r="DV25" s="253"/>
      <c r="DW25" s="253"/>
      <c r="DX25" s="253"/>
      <c r="DY25" s="253"/>
      <c r="DZ25" s="253"/>
      <c r="EA25" s="253"/>
      <c r="EB25" s="253"/>
      <c r="EC25" s="253"/>
      <c r="ED25" s="253"/>
      <c r="EE25" s="253"/>
      <c r="EF25" s="253"/>
      <c r="EG25" s="253"/>
      <c r="EH25" s="253"/>
      <c r="EI25" s="253"/>
      <c r="EJ25" s="253"/>
      <c r="EK25" s="253"/>
      <c r="EL25" s="253"/>
      <c r="EM25" s="253"/>
      <c r="EN25" s="253"/>
      <c r="EO25" s="253"/>
      <c r="EP25" s="253"/>
      <c r="EQ25" s="253"/>
      <c r="ER25" s="253"/>
      <c r="ES25" s="253"/>
      <c r="ET25" s="253"/>
      <c r="EU25" s="253"/>
      <c r="EV25" s="253"/>
      <c r="EW25" s="253"/>
      <c r="EX25" s="253"/>
      <c r="EY25" s="253"/>
      <c r="EZ25" s="253"/>
      <c r="FA25" s="253"/>
      <c r="FB25" s="253"/>
      <c r="FC25" s="253"/>
      <c r="FD25" s="253"/>
      <c r="FE25" s="253"/>
      <c r="FF25" s="253"/>
      <c r="FG25" s="253"/>
      <c r="FH25" s="253"/>
      <c r="FI25" s="253"/>
      <c r="FJ25" s="253"/>
      <c r="FK25" s="253"/>
      <c r="FL25" s="253"/>
      <c r="FM25" s="253"/>
      <c r="FN25" s="256"/>
      <c r="FO25" s="257" t="s">
        <v>1270</v>
      </c>
      <c r="FP25" s="258" t="s">
        <v>389</v>
      </c>
      <c r="FQ25" s="258"/>
      <c r="FR25" s="258" t="s">
        <v>822</v>
      </c>
      <c r="FS25" s="259">
        <f t="shared" si="0"/>
        <v>10</v>
      </c>
      <c r="FT25" s="260" t="s">
        <v>820</v>
      </c>
    </row>
    <row r="26" spans="1:176" s="260" customFormat="1" hidden="1">
      <c r="A26" s="251" t="s">
        <v>393</v>
      </c>
      <c r="B26" s="251" t="s">
        <v>385</v>
      </c>
      <c r="C26" s="251" t="s">
        <v>394</v>
      </c>
      <c r="D26" s="251" t="s">
        <v>291</v>
      </c>
      <c r="E26" s="252" t="s">
        <v>823</v>
      </c>
      <c r="F26" s="251" t="s">
        <v>388</v>
      </c>
      <c r="G26" s="251"/>
      <c r="H26" s="253"/>
      <c r="I26" s="253"/>
      <c r="J26" s="253"/>
      <c r="K26" s="253"/>
      <c r="L26" s="253"/>
      <c r="M26" s="253"/>
      <c r="N26" s="253"/>
      <c r="O26" s="253"/>
      <c r="P26" s="253"/>
      <c r="Q26" s="253"/>
      <c r="R26" s="253"/>
      <c r="S26" s="253"/>
      <c r="T26" s="253"/>
      <c r="U26" s="253"/>
      <c r="V26" s="253"/>
      <c r="W26" s="253"/>
      <c r="X26" s="253"/>
      <c r="Y26" s="253"/>
      <c r="Z26" s="253"/>
      <c r="AA26" s="253"/>
      <c r="AB26" s="253"/>
      <c r="AC26" s="253"/>
      <c r="AD26" s="255">
        <f>50-50</f>
        <v>0</v>
      </c>
      <c r="AE26" s="253"/>
      <c r="AF26" s="253"/>
      <c r="AG26" s="255">
        <f>100-100</f>
        <v>0</v>
      </c>
      <c r="AH26" s="253"/>
      <c r="AI26" s="253"/>
      <c r="AJ26" s="253"/>
      <c r="AK26" s="253"/>
      <c r="AL26" s="253"/>
      <c r="AM26" s="253"/>
      <c r="AN26" s="253"/>
      <c r="AO26" s="253"/>
      <c r="AP26" s="253"/>
      <c r="AQ26" s="253"/>
      <c r="AR26" s="253"/>
      <c r="AS26" s="253"/>
      <c r="AT26" s="253"/>
      <c r="AU26" s="253"/>
      <c r="AV26" s="253"/>
      <c r="AW26" s="253"/>
      <c r="AX26" s="253"/>
      <c r="AY26" s="253"/>
      <c r="AZ26" s="253"/>
      <c r="BA26" s="253"/>
      <c r="BB26" s="255">
        <f>50-50</f>
        <v>0</v>
      </c>
      <c r="BC26" s="253"/>
      <c r="BD26" s="253"/>
      <c r="BE26" s="253"/>
      <c r="BF26" s="253"/>
      <c r="BG26" s="253"/>
      <c r="BH26" s="253"/>
      <c r="BI26" s="253"/>
      <c r="BJ26" s="253"/>
      <c r="BK26" s="253"/>
      <c r="BL26" s="253"/>
      <c r="BM26" s="253"/>
      <c r="BN26" s="253"/>
      <c r="BO26" s="253"/>
      <c r="BP26" s="253"/>
      <c r="BQ26" s="253"/>
      <c r="BR26" s="253"/>
      <c r="BS26" s="253"/>
      <c r="BT26" s="253"/>
      <c r="BU26" s="253"/>
      <c r="BV26" s="253"/>
      <c r="BW26" s="253"/>
      <c r="BX26" s="253"/>
      <c r="BY26" s="253"/>
      <c r="BZ26" s="253"/>
      <c r="CA26" s="253"/>
      <c r="CB26" s="253"/>
      <c r="CC26" s="253"/>
      <c r="CD26" s="253"/>
      <c r="CE26" s="253"/>
      <c r="CF26" s="253"/>
      <c r="CG26" s="253"/>
      <c r="CH26" s="253"/>
      <c r="CI26" s="253"/>
      <c r="CJ26" s="253"/>
      <c r="CK26" s="253"/>
      <c r="CL26" s="253"/>
      <c r="CM26" s="253"/>
      <c r="CN26" s="253"/>
      <c r="CO26" s="253"/>
      <c r="CP26" s="253"/>
      <c r="CQ26" s="253"/>
      <c r="CR26" s="253"/>
      <c r="CS26" s="253"/>
      <c r="CT26" s="253"/>
      <c r="CU26" s="253"/>
      <c r="CV26" s="253"/>
      <c r="CW26" s="253"/>
      <c r="CX26" s="253"/>
      <c r="CY26" s="253"/>
      <c r="CZ26" s="253"/>
      <c r="DA26" s="253"/>
      <c r="DB26" s="253"/>
      <c r="DC26" s="253"/>
      <c r="DD26" s="253"/>
      <c r="DE26" s="253"/>
      <c r="DF26" s="253"/>
      <c r="DG26" s="253"/>
      <c r="DH26" s="253"/>
      <c r="DI26" s="253"/>
      <c r="DJ26" s="253"/>
      <c r="DK26" s="253"/>
      <c r="DL26" s="253"/>
      <c r="DM26" s="253"/>
      <c r="DN26" s="253"/>
      <c r="DO26" s="253"/>
      <c r="DP26" s="253"/>
      <c r="DQ26" s="253"/>
      <c r="DR26" s="253"/>
      <c r="DS26" s="253"/>
      <c r="DT26" s="253"/>
      <c r="DU26" s="253"/>
      <c r="DV26" s="253"/>
      <c r="DW26" s="253"/>
      <c r="DX26" s="253"/>
      <c r="DY26" s="253"/>
      <c r="DZ26" s="253"/>
      <c r="EA26" s="253"/>
      <c r="EB26" s="253"/>
      <c r="EC26" s="253"/>
      <c r="ED26" s="253"/>
      <c r="EE26" s="253"/>
      <c r="EF26" s="253"/>
      <c r="EG26" s="253"/>
      <c r="EH26" s="253"/>
      <c r="EI26" s="253"/>
      <c r="EJ26" s="253"/>
      <c r="EK26" s="253"/>
      <c r="EL26" s="253"/>
      <c r="EM26" s="253"/>
      <c r="EN26" s="253"/>
      <c r="EO26" s="253"/>
      <c r="EP26" s="253"/>
      <c r="EQ26" s="253"/>
      <c r="ER26" s="253"/>
      <c r="ES26" s="253"/>
      <c r="ET26" s="253"/>
      <c r="EU26" s="253"/>
      <c r="EV26" s="253"/>
      <c r="EW26" s="253"/>
      <c r="EX26" s="253"/>
      <c r="EY26" s="253"/>
      <c r="EZ26" s="253"/>
      <c r="FA26" s="253"/>
      <c r="FB26" s="253"/>
      <c r="FC26" s="253"/>
      <c r="FD26" s="253"/>
      <c r="FE26" s="253"/>
      <c r="FF26" s="253"/>
      <c r="FG26" s="253"/>
      <c r="FH26" s="253"/>
      <c r="FI26" s="253"/>
      <c r="FJ26" s="253"/>
      <c r="FK26" s="253"/>
      <c r="FL26" s="253"/>
      <c r="FM26" s="253"/>
      <c r="FN26" s="256"/>
      <c r="FO26" s="257" t="s">
        <v>1270</v>
      </c>
      <c r="FP26" s="258" t="s">
        <v>389</v>
      </c>
      <c r="FQ26" s="258"/>
      <c r="FR26" s="258" t="s">
        <v>824</v>
      </c>
      <c r="FS26" s="259">
        <f t="shared" si="0"/>
        <v>0</v>
      </c>
      <c r="FT26" s="260" t="s">
        <v>820</v>
      </c>
    </row>
    <row r="27" spans="1:176" s="260" customFormat="1" hidden="1">
      <c r="A27" s="251" t="s">
        <v>393</v>
      </c>
      <c r="B27" s="251" t="s">
        <v>385</v>
      </c>
      <c r="C27" s="251" t="s">
        <v>394</v>
      </c>
      <c r="D27" s="251" t="s">
        <v>1</v>
      </c>
      <c r="E27" s="252" t="s">
        <v>823</v>
      </c>
      <c r="F27" s="251" t="s">
        <v>388</v>
      </c>
      <c r="G27" s="251"/>
      <c r="H27" s="253"/>
      <c r="I27" s="253"/>
      <c r="J27" s="253"/>
      <c r="K27" s="253"/>
      <c r="L27" s="253"/>
      <c r="M27" s="253"/>
      <c r="N27" s="253"/>
      <c r="O27" s="253"/>
      <c r="P27" s="253"/>
      <c r="Q27" s="253"/>
      <c r="R27" s="253"/>
      <c r="S27" s="253"/>
      <c r="T27" s="253"/>
      <c r="U27" s="253"/>
      <c r="V27" s="253"/>
      <c r="W27" s="253"/>
      <c r="X27" s="253"/>
      <c r="Y27" s="253"/>
      <c r="Z27" s="253"/>
      <c r="AA27" s="255">
        <f>100-100</f>
        <v>0</v>
      </c>
      <c r="AB27" s="253"/>
      <c r="AC27" s="253"/>
      <c r="AD27" s="253"/>
      <c r="AE27" s="253"/>
      <c r="AF27" s="253"/>
      <c r="AG27" s="253"/>
      <c r="AH27" s="253"/>
      <c r="AI27" s="253"/>
      <c r="AJ27" s="253"/>
      <c r="AK27" s="253"/>
      <c r="AL27" s="255">
        <f>50-50</f>
        <v>0</v>
      </c>
      <c r="AM27" s="253"/>
      <c r="AN27" s="253"/>
      <c r="AO27" s="253"/>
      <c r="AP27" s="253"/>
      <c r="AQ27" s="253"/>
      <c r="AR27" s="253"/>
      <c r="AS27" s="255">
        <f>100-100</f>
        <v>0</v>
      </c>
      <c r="AT27" s="253"/>
      <c r="AU27" s="253"/>
      <c r="AV27" s="253"/>
      <c r="AW27" s="253"/>
      <c r="AX27" s="253"/>
      <c r="AY27" s="253"/>
      <c r="AZ27" s="253"/>
      <c r="BA27" s="253"/>
      <c r="BB27" s="253"/>
      <c r="BC27" s="253"/>
      <c r="BD27" s="255">
        <f>50-50</f>
        <v>0</v>
      </c>
      <c r="BE27" s="253"/>
      <c r="BF27" s="253"/>
      <c r="BG27" s="253"/>
      <c r="BH27" s="253"/>
      <c r="BI27" s="253"/>
      <c r="BJ27" s="253"/>
      <c r="BK27" s="253"/>
      <c r="BL27" s="253"/>
      <c r="BM27" s="253"/>
      <c r="BN27" s="253"/>
      <c r="BO27" s="253"/>
      <c r="BP27" s="253"/>
      <c r="BQ27" s="253"/>
      <c r="BR27" s="253"/>
      <c r="BS27" s="253"/>
      <c r="BT27" s="253"/>
      <c r="BU27" s="253"/>
      <c r="BV27" s="253"/>
      <c r="BW27" s="253"/>
      <c r="BX27" s="253"/>
      <c r="BY27" s="253"/>
      <c r="BZ27" s="253"/>
      <c r="CA27" s="253"/>
      <c r="CB27" s="253"/>
      <c r="CC27" s="253"/>
      <c r="CD27" s="253"/>
      <c r="CE27" s="253"/>
      <c r="CF27" s="253"/>
      <c r="CG27" s="253"/>
      <c r="CH27" s="253"/>
      <c r="CI27" s="253"/>
      <c r="CJ27" s="253"/>
      <c r="CK27" s="253"/>
      <c r="CL27" s="253"/>
      <c r="CM27" s="253"/>
      <c r="CN27" s="253"/>
      <c r="CO27" s="253"/>
      <c r="CP27" s="253"/>
      <c r="CQ27" s="253"/>
      <c r="CR27" s="253"/>
      <c r="CS27" s="253"/>
      <c r="CT27" s="253"/>
      <c r="CU27" s="253"/>
      <c r="CV27" s="253"/>
      <c r="CW27" s="253"/>
      <c r="CX27" s="253"/>
      <c r="CY27" s="253"/>
      <c r="CZ27" s="253"/>
      <c r="DA27" s="253"/>
      <c r="DB27" s="253"/>
      <c r="DC27" s="253"/>
      <c r="DD27" s="253"/>
      <c r="DE27" s="253"/>
      <c r="DF27" s="253"/>
      <c r="DG27" s="253"/>
      <c r="DH27" s="253"/>
      <c r="DI27" s="253"/>
      <c r="DJ27" s="253"/>
      <c r="DK27" s="253"/>
      <c r="DL27" s="253"/>
      <c r="DM27" s="253"/>
      <c r="DN27" s="253"/>
      <c r="DO27" s="253"/>
      <c r="DP27" s="253"/>
      <c r="DQ27" s="253"/>
      <c r="DR27" s="253"/>
      <c r="DS27" s="253"/>
      <c r="DT27" s="253"/>
      <c r="DU27" s="253"/>
      <c r="DV27" s="253"/>
      <c r="DW27" s="253"/>
      <c r="DX27" s="253"/>
      <c r="DY27" s="253"/>
      <c r="DZ27" s="253"/>
      <c r="EA27" s="253"/>
      <c r="EB27" s="253"/>
      <c r="EC27" s="253"/>
      <c r="ED27" s="253"/>
      <c r="EE27" s="253"/>
      <c r="EF27" s="253"/>
      <c r="EG27" s="253"/>
      <c r="EH27" s="253"/>
      <c r="EI27" s="253"/>
      <c r="EJ27" s="253"/>
      <c r="EK27" s="253"/>
      <c r="EL27" s="253"/>
      <c r="EM27" s="253"/>
      <c r="EN27" s="253"/>
      <c r="EO27" s="253"/>
      <c r="EP27" s="253"/>
      <c r="EQ27" s="253"/>
      <c r="ER27" s="253"/>
      <c r="ES27" s="253"/>
      <c r="ET27" s="253"/>
      <c r="EU27" s="253"/>
      <c r="EV27" s="253"/>
      <c r="EW27" s="253"/>
      <c r="EX27" s="253"/>
      <c r="EY27" s="253"/>
      <c r="EZ27" s="253"/>
      <c r="FA27" s="253"/>
      <c r="FB27" s="253"/>
      <c r="FC27" s="253"/>
      <c r="FD27" s="253"/>
      <c r="FE27" s="253"/>
      <c r="FF27" s="253"/>
      <c r="FG27" s="253"/>
      <c r="FH27" s="253"/>
      <c r="FI27" s="253"/>
      <c r="FJ27" s="253"/>
      <c r="FK27" s="253"/>
      <c r="FL27" s="253"/>
      <c r="FM27" s="253"/>
      <c r="FN27" s="256"/>
      <c r="FO27" s="257" t="s">
        <v>1270</v>
      </c>
      <c r="FP27" s="258" t="s">
        <v>389</v>
      </c>
      <c r="FQ27" s="258"/>
      <c r="FR27" s="258" t="s">
        <v>824</v>
      </c>
      <c r="FS27" s="259">
        <f t="shared" si="0"/>
        <v>0</v>
      </c>
      <c r="FT27" s="260" t="s">
        <v>820</v>
      </c>
    </row>
    <row r="28" spans="1:176" s="260" customFormat="1" hidden="1">
      <c r="A28" s="251" t="s">
        <v>393</v>
      </c>
      <c r="B28" s="251" t="s">
        <v>385</v>
      </c>
      <c r="C28" s="251" t="s">
        <v>394</v>
      </c>
      <c r="D28" s="251" t="s">
        <v>291</v>
      </c>
      <c r="E28" s="252" t="s">
        <v>827</v>
      </c>
      <c r="F28" s="251" t="s">
        <v>388</v>
      </c>
      <c r="G28" s="251"/>
      <c r="H28" s="253"/>
      <c r="I28" s="253"/>
      <c r="J28" s="253"/>
      <c r="K28" s="253"/>
      <c r="L28" s="253"/>
      <c r="M28" s="253"/>
      <c r="N28" s="253"/>
      <c r="O28" s="253"/>
      <c r="P28" s="253"/>
      <c r="Q28" s="253"/>
      <c r="R28" s="253"/>
      <c r="S28" s="253"/>
      <c r="T28" s="253"/>
      <c r="U28" s="253"/>
      <c r="V28" s="253"/>
      <c r="W28" s="253"/>
      <c r="X28" s="253"/>
      <c r="Y28" s="253"/>
      <c r="Z28" s="253"/>
      <c r="AA28" s="253"/>
      <c r="AB28" s="253"/>
      <c r="AC28" s="253"/>
      <c r="AD28" s="253"/>
      <c r="AE28" s="253"/>
      <c r="AF28" s="253"/>
      <c r="AG28" s="255">
        <f>1000-1000</f>
        <v>0</v>
      </c>
      <c r="AH28" s="253"/>
      <c r="AI28" s="253"/>
      <c r="AJ28" s="253"/>
      <c r="AK28" s="253"/>
      <c r="AL28" s="253"/>
      <c r="AM28" s="253"/>
      <c r="AN28" s="253"/>
      <c r="AO28" s="255">
        <f>1000-1000</f>
        <v>0</v>
      </c>
      <c r="AP28" s="255">
        <f>1000-1000</f>
        <v>0</v>
      </c>
      <c r="AQ28" s="253"/>
      <c r="AR28" s="253"/>
      <c r="AS28" s="253"/>
      <c r="AT28" s="253"/>
      <c r="AU28" s="253"/>
      <c r="AV28" s="253"/>
      <c r="AW28" s="253"/>
      <c r="AX28" s="253"/>
      <c r="AY28" s="253"/>
      <c r="AZ28" s="253"/>
      <c r="BA28" s="253"/>
      <c r="BB28" s="253"/>
      <c r="BC28" s="253"/>
      <c r="BD28" s="253"/>
      <c r="BE28" s="253"/>
      <c r="BF28" s="253"/>
      <c r="BG28" s="253"/>
      <c r="BH28" s="253"/>
      <c r="BI28" s="253"/>
      <c r="BJ28" s="253"/>
      <c r="BK28" s="253"/>
      <c r="BL28" s="253"/>
      <c r="BM28" s="253"/>
      <c r="BN28" s="253"/>
      <c r="BO28" s="253"/>
      <c r="BP28" s="253"/>
      <c r="BQ28" s="253"/>
      <c r="BR28" s="253"/>
      <c r="BS28" s="253"/>
      <c r="BT28" s="253"/>
      <c r="BU28" s="253"/>
      <c r="BV28" s="253"/>
      <c r="BW28" s="253"/>
      <c r="BX28" s="253"/>
      <c r="BY28" s="253"/>
      <c r="BZ28" s="253"/>
      <c r="CA28" s="253"/>
      <c r="CB28" s="253"/>
      <c r="CC28" s="253"/>
      <c r="CD28" s="253"/>
      <c r="CE28" s="253"/>
      <c r="CF28" s="253"/>
      <c r="CG28" s="253"/>
      <c r="CH28" s="253"/>
      <c r="CI28" s="253"/>
      <c r="CJ28" s="253"/>
      <c r="CK28" s="253"/>
      <c r="CL28" s="253"/>
      <c r="CM28" s="253"/>
      <c r="CN28" s="253"/>
      <c r="CO28" s="253"/>
      <c r="CP28" s="253"/>
      <c r="CQ28" s="253"/>
      <c r="CR28" s="253"/>
      <c r="CS28" s="253"/>
      <c r="CT28" s="253"/>
      <c r="CU28" s="253"/>
      <c r="CV28" s="253"/>
      <c r="CW28" s="253"/>
      <c r="CX28" s="253"/>
      <c r="CY28" s="253"/>
      <c r="CZ28" s="253"/>
      <c r="DA28" s="253"/>
      <c r="DB28" s="253"/>
      <c r="DC28" s="253"/>
      <c r="DD28" s="253"/>
      <c r="DE28" s="253"/>
      <c r="DF28" s="253"/>
      <c r="DG28" s="253"/>
      <c r="DH28" s="253"/>
      <c r="DI28" s="253"/>
      <c r="DJ28" s="253"/>
      <c r="DK28" s="253"/>
      <c r="DL28" s="253"/>
      <c r="DM28" s="253"/>
      <c r="DN28" s="253"/>
      <c r="DO28" s="253"/>
      <c r="DP28" s="253"/>
      <c r="DQ28" s="253"/>
      <c r="DR28" s="253"/>
      <c r="DS28" s="253"/>
      <c r="DT28" s="253"/>
      <c r="DU28" s="253"/>
      <c r="DV28" s="253"/>
      <c r="DW28" s="253"/>
      <c r="DX28" s="253"/>
      <c r="DY28" s="253"/>
      <c r="DZ28" s="253"/>
      <c r="EA28" s="253"/>
      <c r="EB28" s="253"/>
      <c r="EC28" s="253"/>
      <c r="ED28" s="253"/>
      <c r="EE28" s="253"/>
      <c r="EF28" s="253"/>
      <c r="EG28" s="253"/>
      <c r="EH28" s="253"/>
      <c r="EI28" s="253"/>
      <c r="EJ28" s="253"/>
      <c r="EK28" s="253"/>
      <c r="EL28" s="253"/>
      <c r="EM28" s="253"/>
      <c r="EN28" s="253"/>
      <c r="EO28" s="253"/>
      <c r="EP28" s="253"/>
      <c r="EQ28" s="253"/>
      <c r="ER28" s="253"/>
      <c r="ES28" s="253"/>
      <c r="ET28" s="253"/>
      <c r="EU28" s="253"/>
      <c r="EV28" s="253"/>
      <c r="EW28" s="253"/>
      <c r="EX28" s="253"/>
      <c r="EY28" s="253"/>
      <c r="EZ28" s="253"/>
      <c r="FA28" s="253"/>
      <c r="FB28" s="253"/>
      <c r="FC28" s="253"/>
      <c r="FD28" s="253"/>
      <c r="FE28" s="253"/>
      <c r="FF28" s="253"/>
      <c r="FG28" s="253"/>
      <c r="FH28" s="253"/>
      <c r="FI28" s="253"/>
      <c r="FJ28" s="253"/>
      <c r="FK28" s="253"/>
      <c r="FL28" s="253"/>
      <c r="FM28" s="253"/>
      <c r="FN28" s="256"/>
      <c r="FO28" s="257" t="s">
        <v>1270</v>
      </c>
      <c r="FP28" s="258" t="s">
        <v>389</v>
      </c>
      <c r="FQ28" s="258" t="s">
        <v>828</v>
      </c>
      <c r="FR28" s="258" t="s">
        <v>397</v>
      </c>
      <c r="FS28" s="259">
        <f t="shared" si="0"/>
        <v>0</v>
      </c>
      <c r="FT28" s="260" t="s">
        <v>398</v>
      </c>
    </row>
    <row r="29" spans="1:176" s="260" customFormat="1" hidden="1">
      <c r="A29" s="251" t="s">
        <v>393</v>
      </c>
      <c r="B29" s="251" t="s">
        <v>385</v>
      </c>
      <c r="C29" s="251" t="s">
        <v>394</v>
      </c>
      <c r="D29" s="251" t="s">
        <v>1</v>
      </c>
      <c r="E29" s="252" t="s">
        <v>827</v>
      </c>
      <c r="F29" s="251" t="s">
        <v>388</v>
      </c>
      <c r="G29" s="251"/>
      <c r="H29" s="253"/>
      <c r="I29" s="253"/>
      <c r="J29" s="253"/>
      <c r="K29" s="253"/>
      <c r="L29" s="253"/>
      <c r="M29" s="253"/>
      <c r="N29" s="255">
        <f>500-500</f>
        <v>0</v>
      </c>
      <c r="O29" s="253"/>
      <c r="P29" s="253"/>
      <c r="Q29" s="253"/>
      <c r="R29" s="253"/>
      <c r="S29" s="253"/>
      <c r="T29" s="253"/>
      <c r="U29" s="253"/>
      <c r="V29" s="253"/>
      <c r="W29" s="253"/>
      <c r="X29" s="253"/>
      <c r="Y29" s="253"/>
      <c r="Z29" s="255">
        <f>1000-1000</f>
        <v>0</v>
      </c>
      <c r="AA29" s="255">
        <f>1000-1000</f>
        <v>0</v>
      </c>
      <c r="AB29" s="253"/>
      <c r="AC29" s="253"/>
      <c r="AD29" s="253"/>
      <c r="AE29" s="253"/>
      <c r="AF29" s="253"/>
      <c r="AG29" s="253"/>
      <c r="AH29" s="253"/>
      <c r="AI29" s="253"/>
      <c r="AJ29" s="253"/>
      <c r="AK29" s="253"/>
      <c r="AL29" s="255">
        <f>1000-1000</f>
        <v>0</v>
      </c>
      <c r="AM29" s="253"/>
      <c r="AN29" s="253"/>
      <c r="AO29" s="253"/>
      <c r="AP29" s="253"/>
      <c r="AQ29" s="253"/>
      <c r="AR29" s="253"/>
      <c r="AS29" s="253"/>
      <c r="AT29" s="253"/>
      <c r="AU29" s="253"/>
      <c r="AV29" s="253"/>
      <c r="AW29" s="253"/>
      <c r="AX29" s="253"/>
      <c r="AY29" s="253"/>
      <c r="AZ29" s="253"/>
      <c r="BA29" s="253"/>
      <c r="BB29" s="253"/>
      <c r="BC29" s="253"/>
      <c r="BD29" s="253"/>
      <c r="BE29" s="253"/>
      <c r="BF29" s="253"/>
      <c r="BG29" s="253"/>
      <c r="BH29" s="253"/>
      <c r="BI29" s="253"/>
      <c r="BJ29" s="253"/>
      <c r="BK29" s="253"/>
      <c r="BL29" s="253"/>
      <c r="BM29" s="253"/>
      <c r="BN29" s="253"/>
      <c r="BO29" s="253"/>
      <c r="BP29" s="253"/>
      <c r="BQ29" s="253"/>
      <c r="BR29" s="253"/>
      <c r="BS29" s="253"/>
      <c r="BT29" s="253"/>
      <c r="BU29" s="253"/>
      <c r="BV29" s="253"/>
      <c r="BW29" s="253"/>
      <c r="BX29" s="253"/>
      <c r="BY29" s="253"/>
      <c r="BZ29" s="253"/>
      <c r="CA29" s="253"/>
      <c r="CB29" s="253"/>
      <c r="CC29" s="253"/>
      <c r="CD29" s="253"/>
      <c r="CE29" s="253"/>
      <c r="CF29" s="253"/>
      <c r="CG29" s="253"/>
      <c r="CH29" s="253"/>
      <c r="CI29" s="253"/>
      <c r="CJ29" s="253"/>
      <c r="CK29" s="253"/>
      <c r="CL29" s="253"/>
      <c r="CM29" s="253"/>
      <c r="CN29" s="253"/>
      <c r="CO29" s="253"/>
      <c r="CP29" s="253"/>
      <c r="CQ29" s="253"/>
      <c r="CR29" s="253"/>
      <c r="CS29" s="253"/>
      <c r="CT29" s="253"/>
      <c r="CU29" s="253"/>
      <c r="CV29" s="253"/>
      <c r="CW29" s="253"/>
      <c r="CX29" s="253"/>
      <c r="CY29" s="253"/>
      <c r="CZ29" s="253"/>
      <c r="DA29" s="253"/>
      <c r="DB29" s="253"/>
      <c r="DC29" s="253"/>
      <c r="DD29" s="253"/>
      <c r="DE29" s="253"/>
      <c r="DF29" s="253"/>
      <c r="DG29" s="253"/>
      <c r="DH29" s="253"/>
      <c r="DI29" s="253"/>
      <c r="DJ29" s="253"/>
      <c r="DK29" s="253"/>
      <c r="DL29" s="253"/>
      <c r="DM29" s="253"/>
      <c r="DN29" s="253"/>
      <c r="DO29" s="253"/>
      <c r="DP29" s="253"/>
      <c r="DQ29" s="253"/>
      <c r="DR29" s="253"/>
      <c r="DS29" s="253"/>
      <c r="DT29" s="253"/>
      <c r="DU29" s="253"/>
      <c r="DV29" s="253"/>
      <c r="DW29" s="253"/>
      <c r="DX29" s="253"/>
      <c r="DY29" s="253"/>
      <c r="DZ29" s="253"/>
      <c r="EA29" s="255">
        <f>500-500</f>
        <v>0</v>
      </c>
      <c r="EB29" s="255">
        <f>500-500</f>
        <v>0</v>
      </c>
      <c r="EC29" s="255">
        <f>500-500</f>
        <v>0</v>
      </c>
      <c r="ED29" s="253"/>
      <c r="EE29" s="255">
        <f>500-500</f>
        <v>0</v>
      </c>
      <c r="EF29" s="253"/>
      <c r="EG29" s="255">
        <f>500-500</f>
        <v>0</v>
      </c>
      <c r="EH29" s="253"/>
      <c r="EI29" s="253"/>
      <c r="EJ29" s="255">
        <f>500-500</f>
        <v>0</v>
      </c>
      <c r="EK29" s="253"/>
      <c r="EL29" s="255">
        <f>500-500</f>
        <v>0</v>
      </c>
      <c r="EM29" s="253"/>
      <c r="EN29" s="253"/>
      <c r="EO29" s="253"/>
      <c r="EP29" s="253"/>
      <c r="EQ29" s="253"/>
      <c r="ER29" s="253"/>
      <c r="ES29" s="253"/>
      <c r="ET29" s="253"/>
      <c r="EU29" s="253"/>
      <c r="EV29" s="253"/>
      <c r="EW29" s="253"/>
      <c r="EX29" s="253"/>
      <c r="EY29" s="253"/>
      <c r="EZ29" s="253"/>
      <c r="FA29" s="253"/>
      <c r="FB29" s="253"/>
      <c r="FC29" s="253"/>
      <c r="FD29" s="253"/>
      <c r="FE29" s="253"/>
      <c r="FF29" s="253"/>
      <c r="FG29" s="253"/>
      <c r="FH29" s="255">
        <f>500-500</f>
        <v>0</v>
      </c>
      <c r="FI29" s="253"/>
      <c r="FJ29" s="253"/>
      <c r="FK29" s="253"/>
      <c r="FL29" s="253"/>
      <c r="FM29" s="253"/>
      <c r="FN29" s="256"/>
      <c r="FO29" s="257" t="s">
        <v>1270</v>
      </c>
      <c r="FP29" s="258" t="s">
        <v>389</v>
      </c>
      <c r="FQ29" s="258" t="s">
        <v>828</v>
      </c>
      <c r="FR29" s="258" t="s">
        <v>397</v>
      </c>
      <c r="FS29" s="259">
        <f t="shared" si="0"/>
        <v>0</v>
      </c>
      <c r="FT29" s="260" t="s">
        <v>398</v>
      </c>
    </row>
    <row r="30" spans="1:176" s="260" customFormat="1" hidden="1">
      <c r="A30" s="251" t="s">
        <v>417</v>
      </c>
      <c r="B30" s="251" t="s">
        <v>385</v>
      </c>
      <c r="C30" s="251" t="s">
        <v>394</v>
      </c>
      <c r="D30" s="251" t="s">
        <v>291</v>
      </c>
      <c r="E30" s="252" t="s">
        <v>829</v>
      </c>
      <c r="F30" s="251" t="s">
        <v>388</v>
      </c>
      <c r="G30" s="251"/>
      <c r="H30" s="253"/>
      <c r="I30" s="253"/>
      <c r="J30" s="253"/>
      <c r="K30" s="253"/>
      <c r="L30" s="253"/>
      <c r="M30" s="253"/>
      <c r="N30" s="253"/>
      <c r="O30" s="253"/>
      <c r="P30" s="253"/>
      <c r="Q30" s="253"/>
      <c r="R30" s="253"/>
      <c r="S30" s="253"/>
      <c r="T30" s="253"/>
      <c r="U30" s="253"/>
      <c r="V30" s="253"/>
      <c r="W30" s="253"/>
      <c r="X30" s="253"/>
      <c r="Y30" s="253"/>
      <c r="Z30" s="253"/>
      <c r="AA30" s="253"/>
      <c r="AB30" s="253"/>
      <c r="AC30" s="253"/>
      <c r="AD30" s="255">
        <f>100-100</f>
        <v>0</v>
      </c>
      <c r="AE30" s="253"/>
      <c r="AF30" s="253"/>
      <c r="AG30" s="255">
        <f>50-50</f>
        <v>0</v>
      </c>
      <c r="AH30" s="253"/>
      <c r="AI30" s="253"/>
      <c r="AJ30" s="253"/>
      <c r="AK30" s="253"/>
      <c r="AL30" s="253"/>
      <c r="AM30" s="253"/>
      <c r="AN30" s="253"/>
      <c r="AO30" s="253"/>
      <c r="AP30" s="253"/>
      <c r="AQ30" s="253"/>
      <c r="AR30" s="253"/>
      <c r="AS30" s="253"/>
      <c r="AT30" s="253"/>
      <c r="AU30" s="253"/>
      <c r="AV30" s="253"/>
      <c r="AW30" s="253"/>
      <c r="AX30" s="253"/>
      <c r="AY30" s="253"/>
      <c r="AZ30" s="253"/>
      <c r="BA30" s="253"/>
      <c r="BB30" s="255">
        <f>200-200</f>
        <v>0</v>
      </c>
      <c r="BC30" s="253"/>
      <c r="BD30" s="253"/>
      <c r="BE30" s="253"/>
      <c r="BF30" s="253"/>
      <c r="BG30" s="253"/>
      <c r="BH30" s="253"/>
      <c r="BI30" s="253"/>
      <c r="BJ30" s="253"/>
      <c r="BK30" s="253"/>
      <c r="BL30" s="253"/>
      <c r="BM30" s="253"/>
      <c r="BN30" s="253"/>
      <c r="BO30" s="253"/>
      <c r="BP30" s="253"/>
      <c r="BQ30" s="253"/>
      <c r="BR30" s="253"/>
      <c r="BS30" s="253"/>
      <c r="BT30" s="253"/>
      <c r="BU30" s="253"/>
      <c r="BV30" s="253"/>
      <c r="BW30" s="253"/>
      <c r="BX30" s="253"/>
      <c r="BY30" s="253"/>
      <c r="BZ30" s="253"/>
      <c r="CA30" s="253"/>
      <c r="CB30" s="253"/>
      <c r="CC30" s="253"/>
      <c r="CD30" s="253"/>
      <c r="CE30" s="253"/>
      <c r="CF30" s="253"/>
      <c r="CG30" s="253"/>
      <c r="CH30" s="253"/>
      <c r="CI30" s="253"/>
      <c r="CJ30" s="253"/>
      <c r="CK30" s="253"/>
      <c r="CL30" s="253"/>
      <c r="CM30" s="253"/>
      <c r="CN30" s="253"/>
      <c r="CO30" s="253"/>
      <c r="CP30" s="253"/>
      <c r="CQ30" s="253"/>
      <c r="CR30" s="253"/>
      <c r="CS30" s="253"/>
      <c r="CT30" s="253"/>
      <c r="CU30" s="253"/>
      <c r="CV30" s="253"/>
      <c r="CW30" s="253"/>
      <c r="CX30" s="253"/>
      <c r="CY30" s="253"/>
      <c r="CZ30" s="253"/>
      <c r="DA30" s="253"/>
      <c r="DB30" s="253"/>
      <c r="DC30" s="253"/>
      <c r="DD30" s="253"/>
      <c r="DE30" s="253"/>
      <c r="DF30" s="253"/>
      <c r="DG30" s="253"/>
      <c r="DH30" s="253"/>
      <c r="DI30" s="253"/>
      <c r="DJ30" s="253"/>
      <c r="DK30" s="253"/>
      <c r="DL30" s="253"/>
      <c r="DM30" s="253"/>
      <c r="DN30" s="253"/>
      <c r="DO30" s="253"/>
      <c r="DP30" s="253"/>
      <c r="DQ30" s="253"/>
      <c r="DR30" s="253"/>
      <c r="DS30" s="253"/>
      <c r="DT30" s="253"/>
      <c r="DU30" s="253"/>
      <c r="DV30" s="253"/>
      <c r="DW30" s="253"/>
      <c r="DX30" s="253"/>
      <c r="DY30" s="253"/>
      <c r="DZ30" s="253"/>
      <c r="EA30" s="253"/>
      <c r="EB30" s="253"/>
      <c r="EC30" s="253"/>
      <c r="ED30" s="253"/>
      <c r="EE30" s="253"/>
      <c r="EF30" s="253"/>
      <c r="EG30" s="253"/>
      <c r="EH30" s="253"/>
      <c r="EI30" s="253"/>
      <c r="EJ30" s="253"/>
      <c r="EK30" s="253"/>
      <c r="EL30" s="253"/>
      <c r="EM30" s="253"/>
      <c r="EN30" s="253"/>
      <c r="EO30" s="253"/>
      <c r="EP30" s="253"/>
      <c r="EQ30" s="253"/>
      <c r="ER30" s="253"/>
      <c r="ES30" s="253"/>
      <c r="ET30" s="253"/>
      <c r="EU30" s="253"/>
      <c r="EV30" s="253"/>
      <c r="EW30" s="253"/>
      <c r="EX30" s="253"/>
      <c r="EY30" s="253"/>
      <c r="EZ30" s="253"/>
      <c r="FA30" s="253"/>
      <c r="FB30" s="253"/>
      <c r="FC30" s="253"/>
      <c r="FD30" s="253"/>
      <c r="FE30" s="253"/>
      <c r="FF30" s="253"/>
      <c r="FG30" s="253"/>
      <c r="FH30" s="253"/>
      <c r="FI30" s="253"/>
      <c r="FJ30" s="253"/>
      <c r="FK30" s="253"/>
      <c r="FL30" s="253"/>
      <c r="FM30" s="253"/>
      <c r="FN30" s="256"/>
      <c r="FO30" s="257" t="s">
        <v>1270</v>
      </c>
      <c r="FP30" s="258" t="s">
        <v>389</v>
      </c>
      <c r="FQ30" s="258"/>
      <c r="FR30" s="258" t="s">
        <v>824</v>
      </c>
      <c r="FS30" s="259">
        <f t="shared" si="0"/>
        <v>0</v>
      </c>
      <c r="FT30" s="260" t="s">
        <v>820</v>
      </c>
    </row>
    <row r="31" spans="1:176" s="260" customFormat="1" hidden="1">
      <c r="A31" s="251" t="s">
        <v>417</v>
      </c>
      <c r="B31" s="251" t="s">
        <v>385</v>
      </c>
      <c r="C31" s="251" t="s">
        <v>394</v>
      </c>
      <c r="D31" s="251" t="s">
        <v>1</v>
      </c>
      <c r="E31" s="252" t="s">
        <v>829</v>
      </c>
      <c r="F31" s="251" t="s">
        <v>388</v>
      </c>
      <c r="G31" s="251"/>
      <c r="H31" s="253"/>
      <c r="I31" s="253"/>
      <c r="J31" s="253"/>
      <c r="K31" s="253"/>
      <c r="L31" s="253"/>
      <c r="M31" s="253"/>
      <c r="N31" s="253"/>
      <c r="O31" s="253"/>
      <c r="P31" s="253"/>
      <c r="Q31" s="253"/>
      <c r="R31" s="253"/>
      <c r="S31" s="253"/>
      <c r="T31" s="253"/>
      <c r="U31" s="253"/>
      <c r="V31" s="253"/>
      <c r="W31" s="253"/>
      <c r="X31" s="253"/>
      <c r="Y31" s="253"/>
      <c r="Z31" s="253"/>
      <c r="AA31" s="255">
        <f>100-100</f>
        <v>0</v>
      </c>
      <c r="AB31" s="253"/>
      <c r="AC31" s="253"/>
      <c r="AD31" s="253"/>
      <c r="AE31" s="253"/>
      <c r="AF31" s="253"/>
      <c r="AG31" s="253"/>
      <c r="AH31" s="253"/>
      <c r="AI31" s="253"/>
      <c r="AJ31" s="253"/>
      <c r="AK31" s="253"/>
      <c r="AL31" s="255">
        <f>100-100</f>
        <v>0</v>
      </c>
      <c r="AM31" s="253"/>
      <c r="AN31" s="253"/>
      <c r="AO31" s="253"/>
      <c r="AP31" s="253"/>
      <c r="AQ31" s="253"/>
      <c r="AR31" s="253"/>
      <c r="AS31" s="255">
        <f>150-150</f>
        <v>0</v>
      </c>
      <c r="AT31" s="253"/>
      <c r="AU31" s="253"/>
      <c r="AV31" s="253"/>
      <c r="AW31" s="253"/>
      <c r="AX31" s="253"/>
      <c r="AY31" s="253"/>
      <c r="AZ31" s="253"/>
      <c r="BA31" s="253"/>
      <c r="BB31" s="253"/>
      <c r="BC31" s="253"/>
      <c r="BD31" s="255">
        <f>50-50</f>
        <v>0</v>
      </c>
      <c r="BE31" s="253"/>
      <c r="BF31" s="253"/>
      <c r="BG31" s="253"/>
      <c r="BH31" s="253"/>
      <c r="BI31" s="253"/>
      <c r="BJ31" s="253"/>
      <c r="BK31" s="253"/>
      <c r="BL31" s="253"/>
      <c r="BM31" s="253"/>
      <c r="BN31" s="253"/>
      <c r="BO31" s="253"/>
      <c r="BP31" s="253"/>
      <c r="BQ31" s="253"/>
      <c r="BR31" s="253"/>
      <c r="BS31" s="253"/>
      <c r="BT31" s="253"/>
      <c r="BU31" s="253"/>
      <c r="BV31" s="253"/>
      <c r="BW31" s="253"/>
      <c r="BX31" s="253"/>
      <c r="BY31" s="253"/>
      <c r="BZ31" s="253"/>
      <c r="CA31" s="253"/>
      <c r="CB31" s="253"/>
      <c r="CC31" s="253"/>
      <c r="CD31" s="253"/>
      <c r="CE31" s="253"/>
      <c r="CF31" s="253"/>
      <c r="CG31" s="253"/>
      <c r="CH31" s="253"/>
      <c r="CI31" s="253"/>
      <c r="CJ31" s="253"/>
      <c r="CK31" s="253"/>
      <c r="CL31" s="253"/>
      <c r="CM31" s="253"/>
      <c r="CN31" s="253"/>
      <c r="CO31" s="253"/>
      <c r="CP31" s="253"/>
      <c r="CQ31" s="253"/>
      <c r="CR31" s="253"/>
      <c r="CS31" s="253"/>
      <c r="CT31" s="253"/>
      <c r="CU31" s="253"/>
      <c r="CV31" s="253"/>
      <c r="CW31" s="253"/>
      <c r="CX31" s="253"/>
      <c r="CY31" s="253"/>
      <c r="CZ31" s="253"/>
      <c r="DA31" s="253"/>
      <c r="DB31" s="253"/>
      <c r="DC31" s="253"/>
      <c r="DD31" s="253"/>
      <c r="DE31" s="253"/>
      <c r="DF31" s="253"/>
      <c r="DG31" s="253"/>
      <c r="DH31" s="253"/>
      <c r="DI31" s="253"/>
      <c r="DJ31" s="253"/>
      <c r="DK31" s="253"/>
      <c r="DL31" s="253"/>
      <c r="DM31" s="253"/>
      <c r="DN31" s="253"/>
      <c r="DO31" s="253"/>
      <c r="DP31" s="253"/>
      <c r="DQ31" s="253"/>
      <c r="DR31" s="253"/>
      <c r="DS31" s="253"/>
      <c r="DT31" s="253"/>
      <c r="DU31" s="253"/>
      <c r="DV31" s="253"/>
      <c r="DW31" s="253"/>
      <c r="DX31" s="253"/>
      <c r="DY31" s="253"/>
      <c r="DZ31" s="253"/>
      <c r="EA31" s="253"/>
      <c r="EB31" s="253"/>
      <c r="EC31" s="253"/>
      <c r="ED31" s="253"/>
      <c r="EE31" s="253"/>
      <c r="EF31" s="253"/>
      <c r="EG31" s="253"/>
      <c r="EH31" s="253"/>
      <c r="EI31" s="253"/>
      <c r="EJ31" s="253"/>
      <c r="EK31" s="253"/>
      <c r="EL31" s="253"/>
      <c r="EM31" s="253"/>
      <c r="EN31" s="253"/>
      <c r="EO31" s="253"/>
      <c r="EP31" s="253"/>
      <c r="EQ31" s="253"/>
      <c r="ER31" s="253"/>
      <c r="ES31" s="253"/>
      <c r="ET31" s="253"/>
      <c r="EU31" s="253"/>
      <c r="EV31" s="253"/>
      <c r="EW31" s="253"/>
      <c r="EX31" s="253"/>
      <c r="EY31" s="253"/>
      <c r="EZ31" s="253"/>
      <c r="FA31" s="253"/>
      <c r="FB31" s="253"/>
      <c r="FC31" s="253"/>
      <c r="FD31" s="253"/>
      <c r="FE31" s="253"/>
      <c r="FF31" s="253"/>
      <c r="FG31" s="253"/>
      <c r="FH31" s="253"/>
      <c r="FI31" s="253"/>
      <c r="FJ31" s="253"/>
      <c r="FK31" s="253"/>
      <c r="FL31" s="253"/>
      <c r="FM31" s="253"/>
      <c r="FN31" s="256"/>
      <c r="FO31" s="257" t="s">
        <v>1270</v>
      </c>
      <c r="FP31" s="258" t="s">
        <v>389</v>
      </c>
      <c r="FQ31" s="258"/>
      <c r="FR31" s="258" t="s">
        <v>824</v>
      </c>
      <c r="FS31" s="259">
        <f t="shared" si="0"/>
        <v>0</v>
      </c>
      <c r="FT31" s="260" t="s">
        <v>820</v>
      </c>
    </row>
    <row r="32" spans="1:176" s="260" customFormat="1" hidden="1">
      <c r="A32" s="251" t="s">
        <v>385</v>
      </c>
      <c r="B32" s="251" t="s">
        <v>385</v>
      </c>
      <c r="C32" s="251" t="s">
        <v>394</v>
      </c>
      <c r="D32" s="251" t="s">
        <v>291</v>
      </c>
      <c r="E32" s="252" t="s">
        <v>404</v>
      </c>
      <c r="F32" s="251" t="s">
        <v>388</v>
      </c>
      <c r="G32" s="251"/>
      <c r="H32" s="253"/>
      <c r="I32" s="255">
        <f>200-200</f>
        <v>0</v>
      </c>
      <c r="J32" s="253"/>
      <c r="K32" s="255">
        <f>200-200</f>
        <v>0</v>
      </c>
      <c r="L32" s="254">
        <f>200-200+200</f>
        <v>200</v>
      </c>
      <c r="M32" s="255">
        <f>100-100</f>
        <v>0</v>
      </c>
      <c r="N32" s="253"/>
      <c r="O32" s="253"/>
      <c r="P32" s="253"/>
      <c r="Q32" s="253"/>
      <c r="R32" s="253"/>
      <c r="S32" s="253"/>
      <c r="T32" s="253"/>
      <c r="U32" s="253"/>
      <c r="V32" s="253"/>
      <c r="W32" s="253"/>
      <c r="X32" s="253"/>
      <c r="Y32" s="253"/>
      <c r="Z32" s="253"/>
      <c r="AA32" s="253"/>
      <c r="AB32" s="253"/>
      <c r="AC32" s="253"/>
      <c r="AD32" s="253"/>
      <c r="AE32" s="253"/>
      <c r="AF32" s="255">
        <f>500-500</f>
        <v>0</v>
      </c>
      <c r="AG32" s="255">
        <f>500-500</f>
        <v>0</v>
      </c>
      <c r="AH32" s="253"/>
      <c r="AI32" s="253"/>
      <c r="AJ32" s="253"/>
      <c r="AK32" s="253"/>
      <c r="AL32" s="253"/>
      <c r="AM32" s="253"/>
      <c r="AN32" s="254">
        <f>500-500+10</f>
        <v>10</v>
      </c>
      <c r="AO32" s="253"/>
      <c r="AP32" s="253"/>
      <c r="AQ32" s="253"/>
      <c r="AR32" s="253"/>
      <c r="AS32" s="253"/>
      <c r="AT32" s="253"/>
      <c r="AU32" s="253"/>
      <c r="AV32" s="253"/>
      <c r="AW32" s="253"/>
      <c r="AX32" s="253"/>
      <c r="AY32" s="253"/>
      <c r="AZ32" s="253"/>
      <c r="BA32" s="253"/>
      <c r="BB32" s="254">
        <f>500-500+80</f>
        <v>80</v>
      </c>
      <c r="BC32" s="253"/>
      <c r="BD32" s="253"/>
      <c r="BE32" s="253"/>
      <c r="BF32" s="253"/>
      <c r="BG32" s="253"/>
      <c r="BH32" s="253"/>
      <c r="BI32" s="253"/>
      <c r="BJ32" s="253"/>
      <c r="BK32" s="253"/>
      <c r="BL32" s="253"/>
      <c r="BM32" s="253"/>
      <c r="BN32" s="253"/>
      <c r="BO32" s="253"/>
      <c r="BP32" s="253"/>
      <c r="BQ32" s="253"/>
      <c r="BR32" s="253"/>
      <c r="BS32" s="253"/>
      <c r="BT32" s="253"/>
      <c r="BU32" s="253"/>
      <c r="BV32" s="253"/>
      <c r="BW32" s="253"/>
      <c r="BX32" s="253"/>
      <c r="BY32" s="253"/>
      <c r="BZ32" s="253"/>
      <c r="CA32" s="253"/>
      <c r="CB32" s="253"/>
      <c r="CC32" s="253"/>
      <c r="CD32" s="253"/>
      <c r="CE32" s="253"/>
      <c r="CF32" s="253"/>
      <c r="CG32" s="253"/>
      <c r="CH32" s="253"/>
      <c r="CI32" s="253"/>
      <c r="CJ32" s="253"/>
      <c r="CK32" s="253"/>
      <c r="CL32" s="253"/>
      <c r="CM32" s="253"/>
      <c r="CN32" s="253"/>
      <c r="CO32" s="253"/>
      <c r="CP32" s="253"/>
      <c r="CQ32" s="253"/>
      <c r="CR32" s="253"/>
      <c r="CS32" s="253"/>
      <c r="CT32" s="253"/>
      <c r="CU32" s="253"/>
      <c r="CV32" s="253"/>
      <c r="CW32" s="253"/>
      <c r="CX32" s="253"/>
      <c r="CY32" s="253"/>
      <c r="CZ32" s="253"/>
      <c r="DA32" s="253"/>
      <c r="DB32" s="253"/>
      <c r="DC32" s="253"/>
      <c r="DD32" s="253"/>
      <c r="DE32" s="253"/>
      <c r="DF32" s="253"/>
      <c r="DG32" s="253"/>
      <c r="DH32" s="253"/>
      <c r="DI32" s="253"/>
      <c r="DJ32" s="253"/>
      <c r="DK32" s="253"/>
      <c r="DL32" s="253"/>
      <c r="DM32" s="253"/>
      <c r="DN32" s="253"/>
      <c r="DO32" s="253"/>
      <c r="DP32" s="253"/>
      <c r="DQ32" s="255">
        <f>100-100</f>
        <v>0</v>
      </c>
      <c r="DR32" s="255">
        <f>100-100</f>
        <v>0</v>
      </c>
      <c r="DS32" s="253"/>
      <c r="DT32" s="253"/>
      <c r="DU32" s="253"/>
      <c r="DV32" s="253"/>
      <c r="DW32" s="255">
        <f>0-0</f>
        <v>0</v>
      </c>
      <c r="DX32" s="254">
        <f>0-0+14</f>
        <v>14</v>
      </c>
      <c r="DY32" s="253"/>
      <c r="DZ32" s="253"/>
      <c r="EA32" s="253"/>
      <c r="EB32" s="253"/>
      <c r="EC32" s="253"/>
      <c r="ED32" s="253"/>
      <c r="EE32" s="253"/>
      <c r="EF32" s="253"/>
      <c r="EG32" s="253"/>
      <c r="EH32" s="253"/>
      <c r="EI32" s="253"/>
      <c r="EJ32" s="253"/>
      <c r="EK32" s="253"/>
      <c r="EL32" s="253"/>
      <c r="EM32" s="253"/>
      <c r="EN32" s="253"/>
      <c r="EO32" s="253"/>
      <c r="EP32" s="253"/>
      <c r="EQ32" s="253"/>
      <c r="ER32" s="253"/>
      <c r="ES32" s="253"/>
      <c r="ET32" s="253"/>
      <c r="EU32" s="253"/>
      <c r="EV32" s="253"/>
      <c r="EW32" s="253"/>
      <c r="EX32" s="253"/>
      <c r="EY32" s="253"/>
      <c r="EZ32" s="253"/>
      <c r="FA32" s="253"/>
      <c r="FB32" s="253"/>
      <c r="FC32" s="253"/>
      <c r="FD32" s="253"/>
      <c r="FE32" s="253"/>
      <c r="FF32" s="253"/>
      <c r="FG32" s="253"/>
      <c r="FH32" s="253"/>
      <c r="FI32" s="253"/>
      <c r="FJ32" s="253"/>
      <c r="FK32" s="253"/>
      <c r="FL32" s="253"/>
      <c r="FM32" s="253"/>
      <c r="FN32" s="256"/>
      <c r="FO32" s="257" t="s">
        <v>1270</v>
      </c>
      <c r="FP32" s="258" t="s">
        <v>389</v>
      </c>
      <c r="FQ32" s="258"/>
      <c r="FR32" s="258" t="s">
        <v>402</v>
      </c>
      <c r="FS32" s="259">
        <f t="shared" si="0"/>
        <v>304</v>
      </c>
      <c r="FT32" s="260" t="s">
        <v>403</v>
      </c>
    </row>
    <row r="33" spans="1:176" s="260" customFormat="1" hidden="1">
      <c r="A33" s="251" t="s">
        <v>385</v>
      </c>
      <c r="B33" s="251" t="s">
        <v>385</v>
      </c>
      <c r="C33" s="251" t="s">
        <v>394</v>
      </c>
      <c r="D33" s="251" t="s">
        <v>1</v>
      </c>
      <c r="E33" s="252" t="s">
        <v>404</v>
      </c>
      <c r="F33" s="251" t="s">
        <v>388</v>
      </c>
      <c r="G33" s="251"/>
      <c r="H33" s="253"/>
      <c r="I33" s="253"/>
      <c r="J33" s="253"/>
      <c r="K33" s="253"/>
      <c r="L33" s="253"/>
      <c r="M33" s="253"/>
      <c r="N33" s="255">
        <f>100-100</f>
        <v>0</v>
      </c>
      <c r="O33" s="255">
        <f>100-100</f>
        <v>0</v>
      </c>
      <c r="P33" s="253"/>
      <c r="Q33" s="253"/>
      <c r="R33" s="255">
        <f>500-500</f>
        <v>0</v>
      </c>
      <c r="S33" s="253"/>
      <c r="T33" s="255">
        <f>500-500</f>
        <v>0</v>
      </c>
      <c r="U33" s="255">
        <f>500-500</f>
        <v>0</v>
      </c>
      <c r="V33" s="253"/>
      <c r="W33" s="253"/>
      <c r="X33" s="253"/>
      <c r="Y33" s="255">
        <f>500-500</f>
        <v>0</v>
      </c>
      <c r="Z33" s="255">
        <f>500-500</f>
        <v>0</v>
      </c>
      <c r="AA33" s="255">
        <f>500-500</f>
        <v>0</v>
      </c>
      <c r="AB33" s="255">
        <f>500-500</f>
        <v>0</v>
      </c>
      <c r="AC33" s="255">
        <f>500-500</f>
        <v>0</v>
      </c>
      <c r="AD33" s="253"/>
      <c r="AE33" s="254">
        <f>500-500+10</f>
        <v>10</v>
      </c>
      <c r="AF33" s="253"/>
      <c r="AG33" s="253"/>
      <c r="AH33" s="255">
        <f>500-500</f>
        <v>0</v>
      </c>
      <c r="AI33" s="253"/>
      <c r="AJ33" s="253"/>
      <c r="AK33" s="253"/>
      <c r="AL33" s="255">
        <f>500-500</f>
        <v>0</v>
      </c>
      <c r="AM33" s="253"/>
      <c r="AN33" s="253"/>
      <c r="AO33" s="253"/>
      <c r="AP33" s="253"/>
      <c r="AQ33" s="253"/>
      <c r="AR33" s="253"/>
      <c r="AS33" s="255">
        <f>500-500</f>
        <v>0</v>
      </c>
      <c r="AT33" s="253"/>
      <c r="AU33" s="253"/>
      <c r="AV33" s="253"/>
      <c r="AW33" s="253"/>
      <c r="AX33" s="253"/>
      <c r="AY33" s="253"/>
      <c r="AZ33" s="253"/>
      <c r="BA33" s="253"/>
      <c r="BB33" s="253"/>
      <c r="BC33" s="253"/>
      <c r="BD33" s="253"/>
      <c r="BE33" s="253"/>
      <c r="BF33" s="253"/>
      <c r="BG33" s="253"/>
      <c r="BH33" s="253"/>
      <c r="BI33" s="253"/>
      <c r="BJ33" s="253"/>
      <c r="BK33" s="253"/>
      <c r="BL33" s="253"/>
      <c r="BM33" s="253"/>
      <c r="BN33" s="253"/>
      <c r="BO33" s="253"/>
      <c r="BP33" s="253"/>
      <c r="BQ33" s="253"/>
      <c r="BR33" s="253"/>
      <c r="BS33" s="253"/>
      <c r="BT33" s="253"/>
      <c r="BU33" s="253"/>
      <c r="BV33" s="253"/>
      <c r="BW33" s="253"/>
      <c r="BX33" s="253"/>
      <c r="BY33" s="253"/>
      <c r="BZ33" s="253"/>
      <c r="CA33" s="253"/>
      <c r="CB33" s="253"/>
      <c r="CC33" s="253"/>
      <c r="CD33" s="253"/>
      <c r="CE33" s="253"/>
      <c r="CF33" s="253"/>
      <c r="CG33" s="253"/>
      <c r="CH33" s="253"/>
      <c r="CI33" s="253"/>
      <c r="CJ33" s="253"/>
      <c r="CK33" s="253"/>
      <c r="CL33" s="253"/>
      <c r="CM33" s="253"/>
      <c r="CN33" s="253"/>
      <c r="CO33" s="253"/>
      <c r="CP33" s="253"/>
      <c r="CQ33" s="253"/>
      <c r="CR33" s="253"/>
      <c r="CS33" s="253"/>
      <c r="CT33" s="253"/>
      <c r="CU33" s="253"/>
      <c r="CV33" s="253"/>
      <c r="CW33" s="253"/>
      <c r="CX33" s="253"/>
      <c r="CY33" s="253"/>
      <c r="CZ33" s="253"/>
      <c r="DA33" s="253"/>
      <c r="DB33" s="253"/>
      <c r="DC33" s="253"/>
      <c r="DD33" s="253"/>
      <c r="DE33" s="253"/>
      <c r="DF33" s="253"/>
      <c r="DG33" s="253"/>
      <c r="DH33" s="253"/>
      <c r="DI33" s="253"/>
      <c r="DJ33" s="253"/>
      <c r="DK33" s="253"/>
      <c r="DL33" s="253"/>
      <c r="DM33" s="253"/>
      <c r="DN33" s="253"/>
      <c r="DO33" s="253"/>
      <c r="DP33" s="253"/>
      <c r="DQ33" s="253"/>
      <c r="DR33" s="254">
        <f>0+8</f>
        <v>8</v>
      </c>
      <c r="DS33" s="253"/>
      <c r="DT33" s="255">
        <f>100-100</f>
        <v>0</v>
      </c>
      <c r="DU33" s="253"/>
      <c r="DV33" s="253"/>
      <c r="DW33" s="253"/>
      <c r="DX33" s="253"/>
      <c r="DY33" s="253"/>
      <c r="DZ33" s="253"/>
      <c r="EA33" s="253"/>
      <c r="EB33" s="253"/>
      <c r="EC33" s="253"/>
      <c r="ED33" s="253"/>
      <c r="EE33" s="253"/>
      <c r="EF33" s="253"/>
      <c r="EG33" s="255">
        <f t="shared" ref="EG33:EL33" si="3">100-100</f>
        <v>0</v>
      </c>
      <c r="EH33" s="255">
        <f t="shared" si="3"/>
        <v>0</v>
      </c>
      <c r="EI33" s="255">
        <f t="shared" si="3"/>
        <v>0</v>
      </c>
      <c r="EJ33" s="255">
        <f t="shared" si="3"/>
        <v>0</v>
      </c>
      <c r="EK33" s="255">
        <f t="shared" si="3"/>
        <v>0</v>
      </c>
      <c r="EL33" s="255">
        <f t="shared" si="3"/>
        <v>0</v>
      </c>
      <c r="EM33" s="253"/>
      <c r="EN33" s="253"/>
      <c r="EO33" s="253"/>
      <c r="EP33" s="255">
        <f>100-100</f>
        <v>0</v>
      </c>
      <c r="EQ33" s="253"/>
      <c r="ER33" s="255">
        <f>100-100</f>
        <v>0</v>
      </c>
      <c r="ES33" s="255">
        <f>100-100</f>
        <v>0</v>
      </c>
      <c r="ET33" s="255">
        <f>50-50</f>
        <v>0</v>
      </c>
      <c r="EU33" s="253"/>
      <c r="EV33" s="255">
        <f>50-50</f>
        <v>0</v>
      </c>
      <c r="EW33" s="253"/>
      <c r="EX33" s="253"/>
      <c r="EY33" s="253"/>
      <c r="EZ33" s="255">
        <f>50-50</f>
        <v>0</v>
      </c>
      <c r="FA33" s="255">
        <f>50-50</f>
        <v>0</v>
      </c>
      <c r="FB33" s="253"/>
      <c r="FC33" s="253"/>
      <c r="FD33" s="255">
        <f>50-50</f>
        <v>0</v>
      </c>
      <c r="FE33" s="253"/>
      <c r="FF33" s="253"/>
      <c r="FG33" s="255">
        <f>50-50</f>
        <v>0</v>
      </c>
      <c r="FH33" s="255">
        <f>50-50</f>
        <v>0</v>
      </c>
      <c r="FI33" s="253"/>
      <c r="FJ33" s="253"/>
      <c r="FK33" s="253"/>
      <c r="FL33" s="253"/>
      <c r="FM33" s="253"/>
      <c r="FN33" s="256"/>
      <c r="FO33" s="257" t="s">
        <v>1270</v>
      </c>
      <c r="FP33" s="258" t="s">
        <v>389</v>
      </c>
      <c r="FQ33" s="258"/>
      <c r="FR33" s="258" t="s">
        <v>402</v>
      </c>
      <c r="FS33" s="259">
        <f t="shared" si="0"/>
        <v>18</v>
      </c>
      <c r="FT33" s="260" t="s">
        <v>403</v>
      </c>
    </row>
    <row r="34" spans="1:176" s="260" customFormat="1" hidden="1">
      <c r="A34" s="251" t="s">
        <v>385</v>
      </c>
      <c r="B34" s="251" t="s">
        <v>385</v>
      </c>
      <c r="C34" s="251" t="s">
        <v>394</v>
      </c>
      <c r="D34" s="251" t="s">
        <v>293</v>
      </c>
      <c r="E34" s="252" t="s">
        <v>404</v>
      </c>
      <c r="F34" s="251" t="s">
        <v>388</v>
      </c>
      <c r="G34" s="251"/>
      <c r="H34" s="253"/>
      <c r="I34" s="253"/>
      <c r="J34" s="255">
        <f>200-200</f>
        <v>0</v>
      </c>
      <c r="K34" s="253"/>
      <c r="L34" s="253"/>
      <c r="M34" s="253"/>
      <c r="N34" s="253"/>
      <c r="O34" s="253"/>
      <c r="P34" s="253"/>
      <c r="Q34" s="253"/>
      <c r="R34" s="253"/>
      <c r="S34" s="253"/>
      <c r="T34" s="253"/>
      <c r="U34" s="253"/>
      <c r="V34" s="253"/>
      <c r="W34" s="253"/>
      <c r="X34" s="253"/>
      <c r="Y34" s="253"/>
      <c r="Z34" s="253"/>
      <c r="AA34" s="253"/>
      <c r="AB34" s="253"/>
      <c r="AC34" s="253"/>
      <c r="AD34" s="253"/>
      <c r="AE34" s="253"/>
      <c r="AF34" s="253"/>
      <c r="AG34" s="253"/>
      <c r="AH34" s="253"/>
      <c r="AI34" s="253"/>
      <c r="AJ34" s="253"/>
      <c r="AK34" s="253"/>
      <c r="AL34" s="253"/>
      <c r="AM34" s="253"/>
      <c r="AN34" s="253"/>
      <c r="AO34" s="253"/>
      <c r="AP34" s="253"/>
      <c r="AQ34" s="253"/>
      <c r="AR34" s="253"/>
      <c r="AS34" s="253"/>
      <c r="AT34" s="253"/>
      <c r="AU34" s="253"/>
      <c r="AV34" s="253"/>
      <c r="AW34" s="253"/>
      <c r="AX34" s="253"/>
      <c r="AY34" s="253"/>
      <c r="AZ34" s="253"/>
      <c r="BA34" s="253"/>
      <c r="BB34" s="253"/>
      <c r="BC34" s="253"/>
      <c r="BD34" s="253"/>
      <c r="BE34" s="253"/>
      <c r="BF34" s="253"/>
      <c r="BG34" s="253"/>
      <c r="BH34" s="253"/>
      <c r="BI34" s="253"/>
      <c r="BJ34" s="253"/>
      <c r="BK34" s="253"/>
      <c r="BL34" s="253"/>
      <c r="BM34" s="253"/>
      <c r="BN34" s="253"/>
      <c r="BO34" s="253"/>
      <c r="BP34" s="253"/>
      <c r="BQ34" s="253"/>
      <c r="BR34" s="253"/>
      <c r="BS34" s="253"/>
      <c r="BT34" s="253"/>
      <c r="BU34" s="253"/>
      <c r="BV34" s="253"/>
      <c r="BW34" s="253"/>
      <c r="BX34" s="253"/>
      <c r="BY34" s="253"/>
      <c r="BZ34" s="253"/>
      <c r="CA34" s="253"/>
      <c r="CB34" s="253"/>
      <c r="CC34" s="253"/>
      <c r="CD34" s="253"/>
      <c r="CE34" s="253"/>
      <c r="CF34" s="253"/>
      <c r="CG34" s="253"/>
      <c r="CH34" s="253"/>
      <c r="CI34" s="253"/>
      <c r="CJ34" s="253"/>
      <c r="CK34" s="253"/>
      <c r="CL34" s="253"/>
      <c r="CM34" s="253"/>
      <c r="CN34" s="253"/>
      <c r="CO34" s="253"/>
      <c r="CP34" s="253"/>
      <c r="CQ34" s="253"/>
      <c r="CR34" s="253"/>
      <c r="CS34" s="253"/>
      <c r="CT34" s="253"/>
      <c r="CU34" s="253"/>
      <c r="CV34" s="253"/>
      <c r="CW34" s="253"/>
      <c r="CX34" s="253"/>
      <c r="CY34" s="253"/>
      <c r="CZ34" s="253"/>
      <c r="DA34" s="253"/>
      <c r="DB34" s="253"/>
      <c r="DC34" s="253"/>
      <c r="DD34" s="253"/>
      <c r="DE34" s="253"/>
      <c r="DF34" s="253"/>
      <c r="DG34" s="253"/>
      <c r="DH34" s="253"/>
      <c r="DI34" s="253"/>
      <c r="DJ34" s="253"/>
      <c r="DK34" s="253"/>
      <c r="DL34" s="253"/>
      <c r="DM34" s="253"/>
      <c r="DN34" s="253"/>
      <c r="DO34" s="253"/>
      <c r="DP34" s="253"/>
      <c r="DQ34" s="253"/>
      <c r="DR34" s="253"/>
      <c r="DS34" s="253"/>
      <c r="DT34" s="253"/>
      <c r="DU34" s="253"/>
      <c r="DV34" s="253"/>
      <c r="DW34" s="253"/>
      <c r="DX34" s="253"/>
      <c r="DY34" s="253"/>
      <c r="DZ34" s="253"/>
      <c r="EA34" s="253"/>
      <c r="EB34" s="253"/>
      <c r="EC34" s="253"/>
      <c r="ED34" s="253"/>
      <c r="EE34" s="253"/>
      <c r="EF34" s="253"/>
      <c r="EG34" s="253"/>
      <c r="EH34" s="253"/>
      <c r="EI34" s="253"/>
      <c r="EJ34" s="253"/>
      <c r="EK34" s="253"/>
      <c r="EL34" s="253"/>
      <c r="EM34" s="253"/>
      <c r="EN34" s="253"/>
      <c r="EO34" s="253"/>
      <c r="EP34" s="253"/>
      <c r="EQ34" s="253"/>
      <c r="ER34" s="253"/>
      <c r="ES34" s="253"/>
      <c r="ET34" s="253"/>
      <c r="EU34" s="255">
        <f>50-50</f>
        <v>0</v>
      </c>
      <c r="EV34" s="253"/>
      <c r="EW34" s="253"/>
      <c r="EX34" s="253"/>
      <c r="EY34" s="255">
        <f>50-50</f>
        <v>0</v>
      </c>
      <c r="EZ34" s="253"/>
      <c r="FA34" s="253"/>
      <c r="FB34" s="253"/>
      <c r="FC34" s="255">
        <f>50-50</f>
        <v>0</v>
      </c>
      <c r="FD34" s="253"/>
      <c r="FE34" s="253"/>
      <c r="FF34" s="253"/>
      <c r="FG34" s="253"/>
      <c r="FH34" s="253"/>
      <c r="FI34" s="253"/>
      <c r="FJ34" s="253"/>
      <c r="FK34" s="253"/>
      <c r="FL34" s="253"/>
      <c r="FM34" s="253"/>
      <c r="FN34" s="256"/>
      <c r="FO34" s="257" t="s">
        <v>1270</v>
      </c>
      <c r="FP34" s="258" t="s">
        <v>389</v>
      </c>
      <c r="FQ34" s="258"/>
      <c r="FR34" s="258" t="s">
        <v>402</v>
      </c>
      <c r="FS34" s="259">
        <f t="shared" si="0"/>
        <v>0</v>
      </c>
      <c r="FT34" s="260" t="s">
        <v>403</v>
      </c>
    </row>
    <row r="35" spans="1:176" s="260" customFormat="1" hidden="1">
      <c r="A35" s="251" t="s">
        <v>393</v>
      </c>
      <c r="B35" s="251" t="s">
        <v>385</v>
      </c>
      <c r="C35" s="251" t="s">
        <v>394</v>
      </c>
      <c r="D35" s="251" t="s">
        <v>291</v>
      </c>
      <c r="E35" s="252" t="s">
        <v>830</v>
      </c>
      <c r="F35" s="251" t="s">
        <v>388</v>
      </c>
      <c r="G35" s="251"/>
      <c r="H35" s="253"/>
      <c r="I35" s="253"/>
      <c r="J35" s="253"/>
      <c r="K35" s="253"/>
      <c r="L35" s="253"/>
      <c r="M35" s="253"/>
      <c r="N35" s="253"/>
      <c r="O35" s="253"/>
      <c r="P35" s="253"/>
      <c r="Q35" s="253"/>
      <c r="R35" s="253"/>
      <c r="S35" s="253"/>
      <c r="T35" s="253"/>
      <c r="U35" s="253"/>
      <c r="V35" s="253"/>
      <c r="W35" s="253"/>
      <c r="X35" s="253"/>
      <c r="Y35" s="253"/>
      <c r="Z35" s="253"/>
      <c r="AA35" s="253"/>
      <c r="AB35" s="253"/>
      <c r="AC35" s="253"/>
      <c r="AD35" s="255">
        <f>50-50</f>
        <v>0</v>
      </c>
      <c r="AE35" s="253"/>
      <c r="AF35" s="253"/>
      <c r="AG35" s="255">
        <f>50-50</f>
        <v>0</v>
      </c>
      <c r="AH35" s="253"/>
      <c r="AI35" s="253"/>
      <c r="AJ35" s="253"/>
      <c r="AK35" s="253"/>
      <c r="AL35" s="253"/>
      <c r="AM35" s="253"/>
      <c r="AN35" s="253"/>
      <c r="AO35" s="253"/>
      <c r="AP35" s="253"/>
      <c r="AQ35" s="253"/>
      <c r="AR35" s="253"/>
      <c r="AS35" s="253"/>
      <c r="AT35" s="253"/>
      <c r="AU35" s="253"/>
      <c r="AV35" s="253"/>
      <c r="AW35" s="253"/>
      <c r="AX35" s="253"/>
      <c r="AY35" s="253"/>
      <c r="AZ35" s="253"/>
      <c r="BA35" s="253"/>
      <c r="BB35" s="255">
        <f>50-50</f>
        <v>0</v>
      </c>
      <c r="BC35" s="253"/>
      <c r="BD35" s="253"/>
      <c r="BE35" s="253"/>
      <c r="BF35" s="253"/>
      <c r="BG35" s="253"/>
      <c r="BH35" s="253"/>
      <c r="BI35" s="253"/>
      <c r="BJ35" s="253"/>
      <c r="BK35" s="253"/>
      <c r="BL35" s="253"/>
      <c r="BM35" s="253"/>
      <c r="BN35" s="253"/>
      <c r="BO35" s="253"/>
      <c r="BP35" s="253"/>
      <c r="BQ35" s="253"/>
      <c r="BR35" s="253"/>
      <c r="BS35" s="253"/>
      <c r="BT35" s="253"/>
      <c r="BU35" s="253"/>
      <c r="BV35" s="253"/>
      <c r="BW35" s="253"/>
      <c r="BX35" s="253"/>
      <c r="BY35" s="253"/>
      <c r="BZ35" s="253"/>
      <c r="CA35" s="253"/>
      <c r="CB35" s="253"/>
      <c r="CC35" s="253"/>
      <c r="CD35" s="253"/>
      <c r="CE35" s="253"/>
      <c r="CF35" s="253"/>
      <c r="CG35" s="253"/>
      <c r="CH35" s="253"/>
      <c r="CI35" s="253"/>
      <c r="CJ35" s="253"/>
      <c r="CK35" s="253"/>
      <c r="CL35" s="253"/>
      <c r="CM35" s="253"/>
      <c r="CN35" s="253"/>
      <c r="CO35" s="253"/>
      <c r="CP35" s="253"/>
      <c r="CQ35" s="253"/>
      <c r="CR35" s="253"/>
      <c r="CS35" s="253"/>
      <c r="CT35" s="253"/>
      <c r="CU35" s="253"/>
      <c r="CV35" s="253"/>
      <c r="CW35" s="253"/>
      <c r="CX35" s="253"/>
      <c r="CY35" s="253"/>
      <c r="CZ35" s="253"/>
      <c r="DA35" s="253"/>
      <c r="DB35" s="253"/>
      <c r="DC35" s="253"/>
      <c r="DD35" s="253"/>
      <c r="DE35" s="253"/>
      <c r="DF35" s="253"/>
      <c r="DG35" s="253"/>
      <c r="DH35" s="253"/>
      <c r="DI35" s="253"/>
      <c r="DJ35" s="253"/>
      <c r="DK35" s="253"/>
      <c r="DL35" s="253"/>
      <c r="DM35" s="253"/>
      <c r="DN35" s="253"/>
      <c r="DO35" s="253"/>
      <c r="DP35" s="253"/>
      <c r="DQ35" s="253"/>
      <c r="DR35" s="253"/>
      <c r="DS35" s="253"/>
      <c r="DT35" s="253"/>
      <c r="DU35" s="253"/>
      <c r="DV35" s="253"/>
      <c r="DW35" s="253"/>
      <c r="DX35" s="253"/>
      <c r="DY35" s="253"/>
      <c r="DZ35" s="253"/>
      <c r="EA35" s="253"/>
      <c r="EB35" s="253"/>
      <c r="EC35" s="253"/>
      <c r="ED35" s="253"/>
      <c r="EE35" s="253"/>
      <c r="EF35" s="253"/>
      <c r="EG35" s="253"/>
      <c r="EH35" s="253"/>
      <c r="EI35" s="253"/>
      <c r="EJ35" s="253"/>
      <c r="EK35" s="253"/>
      <c r="EL35" s="253"/>
      <c r="EM35" s="253"/>
      <c r="EN35" s="253"/>
      <c r="EO35" s="253"/>
      <c r="EP35" s="253"/>
      <c r="EQ35" s="253"/>
      <c r="ER35" s="253"/>
      <c r="ES35" s="253"/>
      <c r="ET35" s="253"/>
      <c r="EU35" s="253"/>
      <c r="EV35" s="253"/>
      <c r="EW35" s="253"/>
      <c r="EX35" s="253"/>
      <c r="EY35" s="253"/>
      <c r="EZ35" s="253"/>
      <c r="FA35" s="253"/>
      <c r="FB35" s="253"/>
      <c r="FC35" s="253"/>
      <c r="FD35" s="253"/>
      <c r="FE35" s="253"/>
      <c r="FF35" s="253"/>
      <c r="FG35" s="253"/>
      <c r="FH35" s="253"/>
      <c r="FI35" s="253"/>
      <c r="FJ35" s="253"/>
      <c r="FK35" s="253"/>
      <c r="FL35" s="253"/>
      <c r="FM35" s="253"/>
      <c r="FN35" s="256"/>
      <c r="FO35" s="257" t="s">
        <v>1270</v>
      </c>
      <c r="FP35" s="258" t="s">
        <v>389</v>
      </c>
      <c r="FQ35" s="258"/>
      <c r="FR35" s="258" t="s">
        <v>824</v>
      </c>
      <c r="FS35" s="259">
        <f t="shared" si="0"/>
        <v>0</v>
      </c>
      <c r="FT35" s="260" t="s">
        <v>820</v>
      </c>
    </row>
    <row r="36" spans="1:176" s="260" customFormat="1" hidden="1">
      <c r="A36" s="251" t="s">
        <v>393</v>
      </c>
      <c r="B36" s="251" t="s">
        <v>385</v>
      </c>
      <c r="C36" s="251" t="s">
        <v>394</v>
      </c>
      <c r="D36" s="251" t="s">
        <v>1</v>
      </c>
      <c r="E36" s="252" t="s">
        <v>830</v>
      </c>
      <c r="F36" s="251" t="s">
        <v>388</v>
      </c>
      <c r="G36" s="251"/>
      <c r="H36" s="253"/>
      <c r="I36" s="253"/>
      <c r="J36" s="253"/>
      <c r="K36" s="253"/>
      <c r="L36" s="253"/>
      <c r="M36" s="253"/>
      <c r="N36" s="253"/>
      <c r="O36" s="253"/>
      <c r="P36" s="253"/>
      <c r="Q36" s="253"/>
      <c r="R36" s="253"/>
      <c r="S36" s="253"/>
      <c r="T36" s="253"/>
      <c r="U36" s="253"/>
      <c r="V36" s="253"/>
      <c r="W36" s="253"/>
      <c r="X36" s="253"/>
      <c r="Y36" s="253"/>
      <c r="Z36" s="253"/>
      <c r="AA36" s="255">
        <f>50-50</f>
        <v>0</v>
      </c>
      <c r="AB36" s="253"/>
      <c r="AC36" s="253"/>
      <c r="AD36" s="253"/>
      <c r="AE36" s="253"/>
      <c r="AF36" s="253"/>
      <c r="AG36" s="253"/>
      <c r="AH36" s="253"/>
      <c r="AI36" s="253"/>
      <c r="AJ36" s="253"/>
      <c r="AK36" s="253"/>
      <c r="AL36" s="253"/>
      <c r="AM36" s="253"/>
      <c r="AN36" s="253"/>
      <c r="AO36" s="253"/>
      <c r="AP36" s="253"/>
      <c r="AQ36" s="253"/>
      <c r="AR36" s="253"/>
      <c r="AS36" s="255">
        <f>50-50</f>
        <v>0</v>
      </c>
      <c r="AT36" s="253"/>
      <c r="AU36" s="253"/>
      <c r="AV36" s="253"/>
      <c r="AW36" s="253"/>
      <c r="AX36" s="253"/>
      <c r="AY36" s="253"/>
      <c r="AZ36" s="253"/>
      <c r="BA36" s="253"/>
      <c r="BB36" s="253"/>
      <c r="BC36" s="253"/>
      <c r="BD36" s="255">
        <f>20-20</f>
        <v>0</v>
      </c>
      <c r="BE36" s="253"/>
      <c r="BF36" s="253"/>
      <c r="BG36" s="253"/>
      <c r="BH36" s="253"/>
      <c r="BI36" s="253"/>
      <c r="BJ36" s="253"/>
      <c r="BK36" s="253"/>
      <c r="BL36" s="253"/>
      <c r="BM36" s="253"/>
      <c r="BN36" s="253"/>
      <c r="BO36" s="253"/>
      <c r="BP36" s="253"/>
      <c r="BQ36" s="253"/>
      <c r="BR36" s="253"/>
      <c r="BS36" s="253"/>
      <c r="BT36" s="253"/>
      <c r="BU36" s="253"/>
      <c r="BV36" s="253"/>
      <c r="BW36" s="253"/>
      <c r="BX36" s="253"/>
      <c r="BY36" s="253"/>
      <c r="BZ36" s="253"/>
      <c r="CA36" s="253"/>
      <c r="CB36" s="253"/>
      <c r="CC36" s="253"/>
      <c r="CD36" s="253"/>
      <c r="CE36" s="253"/>
      <c r="CF36" s="253"/>
      <c r="CG36" s="253"/>
      <c r="CH36" s="253"/>
      <c r="CI36" s="253"/>
      <c r="CJ36" s="253"/>
      <c r="CK36" s="253"/>
      <c r="CL36" s="253"/>
      <c r="CM36" s="253"/>
      <c r="CN36" s="253"/>
      <c r="CO36" s="253"/>
      <c r="CP36" s="253"/>
      <c r="CQ36" s="253"/>
      <c r="CR36" s="253"/>
      <c r="CS36" s="253"/>
      <c r="CT36" s="253"/>
      <c r="CU36" s="253"/>
      <c r="CV36" s="253"/>
      <c r="CW36" s="253"/>
      <c r="CX36" s="253"/>
      <c r="CY36" s="253"/>
      <c r="CZ36" s="253"/>
      <c r="DA36" s="253"/>
      <c r="DB36" s="253"/>
      <c r="DC36" s="253"/>
      <c r="DD36" s="253"/>
      <c r="DE36" s="253"/>
      <c r="DF36" s="253"/>
      <c r="DG36" s="253"/>
      <c r="DH36" s="253"/>
      <c r="DI36" s="253"/>
      <c r="DJ36" s="253"/>
      <c r="DK36" s="253"/>
      <c r="DL36" s="253"/>
      <c r="DM36" s="253"/>
      <c r="DN36" s="253"/>
      <c r="DO36" s="253"/>
      <c r="DP36" s="253"/>
      <c r="DQ36" s="253"/>
      <c r="DR36" s="253"/>
      <c r="DS36" s="253"/>
      <c r="DT36" s="253"/>
      <c r="DU36" s="253"/>
      <c r="DV36" s="253"/>
      <c r="DW36" s="253"/>
      <c r="DX36" s="253"/>
      <c r="DY36" s="253"/>
      <c r="DZ36" s="253"/>
      <c r="EA36" s="253"/>
      <c r="EB36" s="253"/>
      <c r="EC36" s="253"/>
      <c r="ED36" s="253"/>
      <c r="EE36" s="253"/>
      <c r="EF36" s="253"/>
      <c r="EG36" s="253"/>
      <c r="EH36" s="253"/>
      <c r="EI36" s="253"/>
      <c r="EJ36" s="253"/>
      <c r="EK36" s="253"/>
      <c r="EL36" s="253"/>
      <c r="EM36" s="253"/>
      <c r="EN36" s="253"/>
      <c r="EO36" s="253"/>
      <c r="EP36" s="253"/>
      <c r="EQ36" s="253"/>
      <c r="ER36" s="253"/>
      <c r="ES36" s="253"/>
      <c r="ET36" s="253"/>
      <c r="EU36" s="253"/>
      <c r="EV36" s="253"/>
      <c r="EW36" s="253"/>
      <c r="EX36" s="253"/>
      <c r="EY36" s="253"/>
      <c r="EZ36" s="253"/>
      <c r="FA36" s="253"/>
      <c r="FB36" s="253"/>
      <c r="FC36" s="253"/>
      <c r="FD36" s="253"/>
      <c r="FE36" s="253"/>
      <c r="FF36" s="253"/>
      <c r="FG36" s="253"/>
      <c r="FH36" s="253"/>
      <c r="FI36" s="253"/>
      <c r="FJ36" s="253"/>
      <c r="FK36" s="253"/>
      <c r="FL36" s="253"/>
      <c r="FM36" s="253"/>
      <c r="FN36" s="256"/>
      <c r="FO36" s="257" t="s">
        <v>1270</v>
      </c>
      <c r="FP36" s="258" t="s">
        <v>389</v>
      </c>
      <c r="FQ36" s="258"/>
      <c r="FR36" s="258" t="s">
        <v>824</v>
      </c>
      <c r="FS36" s="259">
        <f t="shared" si="0"/>
        <v>0</v>
      </c>
      <c r="FT36" s="260" t="s">
        <v>820</v>
      </c>
    </row>
    <row r="37" spans="1:176" s="260" customFormat="1" hidden="1">
      <c r="A37" s="251" t="s">
        <v>393</v>
      </c>
      <c r="B37" s="251" t="s">
        <v>385</v>
      </c>
      <c r="C37" s="251" t="s">
        <v>394</v>
      </c>
      <c r="D37" s="251" t="s">
        <v>291</v>
      </c>
      <c r="E37" s="252" t="s">
        <v>405</v>
      </c>
      <c r="F37" s="251" t="s">
        <v>388</v>
      </c>
      <c r="G37" s="251"/>
      <c r="H37" s="253"/>
      <c r="I37" s="253"/>
      <c r="J37" s="253"/>
      <c r="K37" s="253"/>
      <c r="L37" s="253"/>
      <c r="M37" s="253"/>
      <c r="N37" s="253"/>
      <c r="O37" s="253"/>
      <c r="P37" s="253"/>
      <c r="Q37" s="253"/>
      <c r="R37" s="253"/>
      <c r="S37" s="253"/>
      <c r="T37" s="253"/>
      <c r="U37" s="253"/>
      <c r="V37" s="253"/>
      <c r="W37" s="253"/>
      <c r="X37" s="253"/>
      <c r="Y37" s="253"/>
      <c r="Z37" s="253"/>
      <c r="AA37" s="253"/>
      <c r="AB37" s="253"/>
      <c r="AC37" s="253"/>
      <c r="AD37" s="255">
        <f>50-50</f>
        <v>0</v>
      </c>
      <c r="AE37" s="253"/>
      <c r="AF37" s="255">
        <f>50-50</f>
        <v>0</v>
      </c>
      <c r="AG37" s="255">
        <f>50-50</f>
        <v>0</v>
      </c>
      <c r="AH37" s="253"/>
      <c r="AI37" s="253"/>
      <c r="AJ37" s="253"/>
      <c r="AK37" s="253"/>
      <c r="AL37" s="253"/>
      <c r="AM37" s="253"/>
      <c r="AN37" s="254">
        <f>100-100+10</f>
        <v>10</v>
      </c>
      <c r="AO37" s="253"/>
      <c r="AP37" s="253"/>
      <c r="AQ37" s="253"/>
      <c r="AR37" s="253"/>
      <c r="AS37" s="253"/>
      <c r="AT37" s="253"/>
      <c r="AU37" s="253"/>
      <c r="AV37" s="253"/>
      <c r="AW37" s="253"/>
      <c r="AX37" s="253"/>
      <c r="AY37" s="253"/>
      <c r="AZ37" s="253"/>
      <c r="BA37" s="253"/>
      <c r="BB37" s="253"/>
      <c r="BC37" s="253"/>
      <c r="BD37" s="253"/>
      <c r="BE37" s="253"/>
      <c r="BF37" s="253"/>
      <c r="BG37" s="253"/>
      <c r="BH37" s="253"/>
      <c r="BI37" s="253"/>
      <c r="BJ37" s="253"/>
      <c r="BK37" s="253"/>
      <c r="BL37" s="253"/>
      <c r="BM37" s="253"/>
      <c r="BN37" s="253"/>
      <c r="BO37" s="253"/>
      <c r="BP37" s="253"/>
      <c r="BQ37" s="253"/>
      <c r="BR37" s="253"/>
      <c r="BS37" s="253"/>
      <c r="BT37" s="253"/>
      <c r="BU37" s="253"/>
      <c r="BV37" s="253"/>
      <c r="BW37" s="253"/>
      <c r="BX37" s="253"/>
      <c r="BY37" s="253"/>
      <c r="BZ37" s="253"/>
      <c r="CA37" s="253"/>
      <c r="CB37" s="253"/>
      <c r="CC37" s="253"/>
      <c r="CD37" s="253"/>
      <c r="CE37" s="253"/>
      <c r="CF37" s="253"/>
      <c r="CG37" s="253"/>
      <c r="CH37" s="253"/>
      <c r="CI37" s="253"/>
      <c r="CJ37" s="253"/>
      <c r="CK37" s="253"/>
      <c r="CL37" s="253"/>
      <c r="CM37" s="253"/>
      <c r="CN37" s="253"/>
      <c r="CO37" s="253"/>
      <c r="CP37" s="253"/>
      <c r="CQ37" s="253"/>
      <c r="CR37" s="253"/>
      <c r="CS37" s="253"/>
      <c r="CT37" s="253"/>
      <c r="CU37" s="253"/>
      <c r="CV37" s="253"/>
      <c r="CW37" s="253"/>
      <c r="CX37" s="253"/>
      <c r="CY37" s="253"/>
      <c r="CZ37" s="253"/>
      <c r="DA37" s="253"/>
      <c r="DB37" s="253"/>
      <c r="DC37" s="253"/>
      <c r="DD37" s="253"/>
      <c r="DE37" s="253"/>
      <c r="DF37" s="253"/>
      <c r="DG37" s="253"/>
      <c r="DH37" s="253"/>
      <c r="DI37" s="253"/>
      <c r="DJ37" s="253"/>
      <c r="DK37" s="253"/>
      <c r="DL37" s="253"/>
      <c r="DM37" s="253"/>
      <c r="DN37" s="253"/>
      <c r="DO37" s="253"/>
      <c r="DP37" s="253"/>
      <c r="DQ37" s="253"/>
      <c r="DR37" s="253"/>
      <c r="DS37" s="253"/>
      <c r="DT37" s="253"/>
      <c r="DU37" s="253"/>
      <c r="DV37" s="253"/>
      <c r="DW37" s="253"/>
      <c r="DX37" s="253"/>
      <c r="DY37" s="253"/>
      <c r="DZ37" s="253"/>
      <c r="EA37" s="253"/>
      <c r="EB37" s="253"/>
      <c r="EC37" s="253"/>
      <c r="ED37" s="253"/>
      <c r="EE37" s="253"/>
      <c r="EF37" s="253"/>
      <c r="EG37" s="253"/>
      <c r="EH37" s="253"/>
      <c r="EI37" s="253"/>
      <c r="EJ37" s="253"/>
      <c r="EK37" s="253"/>
      <c r="EL37" s="253"/>
      <c r="EM37" s="253"/>
      <c r="EN37" s="253"/>
      <c r="EO37" s="253"/>
      <c r="EP37" s="253"/>
      <c r="EQ37" s="253"/>
      <c r="ER37" s="253"/>
      <c r="ES37" s="253"/>
      <c r="ET37" s="253"/>
      <c r="EU37" s="253"/>
      <c r="EV37" s="253"/>
      <c r="EW37" s="253"/>
      <c r="EX37" s="253"/>
      <c r="EY37" s="253"/>
      <c r="EZ37" s="253"/>
      <c r="FA37" s="253"/>
      <c r="FB37" s="253"/>
      <c r="FC37" s="253"/>
      <c r="FD37" s="253"/>
      <c r="FE37" s="253"/>
      <c r="FF37" s="253"/>
      <c r="FG37" s="253"/>
      <c r="FH37" s="253"/>
      <c r="FI37" s="253"/>
      <c r="FJ37" s="253"/>
      <c r="FK37" s="253"/>
      <c r="FL37" s="253"/>
      <c r="FM37" s="253"/>
      <c r="FN37" s="256"/>
      <c r="FO37" s="257" t="s">
        <v>1270</v>
      </c>
      <c r="FP37" s="258" t="s">
        <v>389</v>
      </c>
      <c r="FQ37" s="258" t="s">
        <v>406</v>
      </c>
      <c r="FR37" s="258" t="s">
        <v>397</v>
      </c>
      <c r="FS37" s="259">
        <f t="shared" si="0"/>
        <v>10</v>
      </c>
      <c r="FT37" s="260" t="s">
        <v>398</v>
      </c>
    </row>
    <row r="38" spans="1:176" s="260" customFormat="1" hidden="1">
      <c r="A38" s="251" t="s">
        <v>393</v>
      </c>
      <c r="B38" s="251" t="s">
        <v>385</v>
      </c>
      <c r="C38" s="251" t="s">
        <v>394</v>
      </c>
      <c r="D38" s="251" t="s">
        <v>1</v>
      </c>
      <c r="E38" s="252" t="s">
        <v>405</v>
      </c>
      <c r="F38" s="251" t="s">
        <v>388</v>
      </c>
      <c r="G38" s="251"/>
      <c r="H38" s="253"/>
      <c r="I38" s="253"/>
      <c r="J38" s="253"/>
      <c r="K38" s="253"/>
      <c r="L38" s="253"/>
      <c r="M38" s="253"/>
      <c r="N38" s="255">
        <f>500-500</f>
        <v>0</v>
      </c>
      <c r="O38" s="253"/>
      <c r="P38" s="253"/>
      <c r="Q38" s="253"/>
      <c r="R38" s="253"/>
      <c r="S38" s="253"/>
      <c r="T38" s="253"/>
      <c r="U38" s="253"/>
      <c r="V38" s="253"/>
      <c r="W38" s="253"/>
      <c r="X38" s="253"/>
      <c r="Y38" s="253"/>
      <c r="Z38" s="255">
        <f>50-50</f>
        <v>0</v>
      </c>
      <c r="AA38" s="253"/>
      <c r="AB38" s="253"/>
      <c r="AC38" s="253"/>
      <c r="AD38" s="253"/>
      <c r="AE38" s="254">
        <f>50-50+10</f>
        <v>10</v>
      </c>
      <c r="AF38" s="253"/>
      <c r="AG38" s="253"/>
      <c r="AH38" s="253"/>
      <c r="AI38" s="253"/>
      <c r="AJ38" s="253"/>
      <c r="AK38" s="253"/>
      <c r="AL38" s="253"/>
      <c r="AM38" s="253"/>
      <c r="AN38" s="253"/>
      <c r="AO38" s="253"/>
      <c r="AP38" s="253"/>
      <c r="AQ38" s="253"/>
      <c r="AR38" s="253"/>
      <c r="AS38" s="255">
        <f>200-200</f>
        <v>0</v>
      </c>
      <c r="AT38" s="253"/>
      <c r="AU38" s="253"/>
      <c r="AV38" s="253"/>
      <c r="AW38" s="253"/>
      <c r="AX38" s="253"/>
      <c r="AY38" s="253"/>
      <c r="AZ38" s="253"/>
      <c r="BA38" s="253"/>
      <c r="BB38" s="253"/>
      <c r="BC38" s="253"/>
      <c r="BD38" s="253"/>
      <c r="BE38" s="253"/>
      <c r="BF38" s="253"/>
      <c r="BG38" s="253"/>
      <c r="BH38" s="253"/>
      <c r="BI38" s="253"/>
      <c r="BJ38" s="253"/>
      <c r="BK38" s="253"/>
      <c r="BL38" s="253"/>
      <c r="BM38" s="253"/>
      <c r="BN38" s="253"/>
      <c r="BO38" s="253"/>
      <c r="BP38" s="253"/>
      <c r="BQ38" s="253"/>
      <c r="BR38" s="253"/>
      <c r="BS38" s="253"/>
      <c r="BT38" s="253"/>
      <c r="BU38" s="253"/>
      <c r="BV38" s="253"/>
      <c r="BW38" s="253"/>
      <c r="BX38" s="253"/>
      <c r="BY38" s="253"/>
      <c r="BZ38" s="253"/>
      <c r="CA38" s="253"/>
      <c r="CB38" s="253"/>
      <c r="CC38" s="253"/>
      <c r="CD38" s="253"/>
      <c r="CE38" s="253"/>
      <c r="CF38" s="253"/>
      <c r="CG38" s="253"/>
      <c r="CH38" s="253"/>
      <c r="CI38" s="253"/>
      <c r="CJ38" s="253"/>
      <c r="CK38" s="253"/>
      <c r="CL38" s="253"/>
      <c r="CM38" s="253"/>
      <c r="CN38" s="253"/>
      <c r="CO38" s="253"/>
      <c r="CP38" s="253"/>
      <c r="CQ38" s="253"/>
      <c r="CR38" s="253"/>
      <c r="CS38" s="253"/>
      <c r="CT38" s="253"/>
      <c r="CU38" s="253"/>
      <c r="CV38" s="253"/>
      <c r="CW38" s="253"/>
      <c r="CX38" s="253"/>
      <c r="CY38" s="253"/>
      <c r="CZ38" s="253"/>
      <c r="DA38" s="253"/>
      <c r="DB38" s="253"/>
      <c r="DC38" s="253"/>
      <c r="DD38" s="253"/>
      <c r="DE38" s="253"/>
      <c r="DF38" s="253"/>
      <c r="DG38" s="253"/>
      <c r="DH38" s="253"/>
      <c r="DI38" s="253"/>
      <c r="DJ38" s="253"/>
      <c r="DK38" s="253"/>
      <c r="DL38" s="253"/>
      <c r="DM38" s="253"/>
      <c r="DN38" s="253"/>
      <c r="DO38" s="253"/>
      <c r="DP38" s="253"/>
      <c r="DQ38" s="253"/>
      <c r="DR38" s="253"/>
      <c r="DS38" s="253"/>
      <c r="DT38" s="253"/>
      <c r="DU38" s="253"/>
      <c r="DV38" s="253"/>
      <c r="DW38" s="253"/>
      <c r="DX38" s="253"/>
      <c r="DY38" s="253"/>
      <c r="DZ38" s="253"/>
      <c r="EA38" s="253"/>
      <c r="EB38" s="253"/>
      <c r="EC38" s="253"/>
      <c r="ED38" s="253"/>
      <c r="EE38" s="255">
        <f>100-100</f>
        <v>0</v>
      </c>
      <c r="EF38" s="253"/>
      <c r="EG38" s="255">
        <f>100-100</f>
        <v>0</v>
      </c>
      <c r="EH38" s="253"/>
      <c r="EI38" s="253"/>
      <c r="EJ38" s="255">
        <f>50-50</f>
        <v>0</v>
      </c>
      <c r="EK38" s="253"/>
      <c r="EL38" s="255">
        <f>200-200</f>
        <v>0</v>
      </c>
      <c r="EM38" s="253"/>
      <c r="EN38" s="253"/>
      <c r="EO38" s="253"/>
      <c r="EP38" s="255">
        <f>20-20</f>
        <v>0</v>
      </c>
      <c r="EQ38" s="253"/>
      <c r="ER38" s="255">
        <f>50-50</f>
        <v>0</v>
      </c>
      <c r="ES38" s="255">
        <f>50-50</f>
        <v>0</v>
      </c>
      <c r="ET38" s="255">
        <f>10-10</f>
        <v>0</v>
      </c>
      <c r="EU38" s="253"/>
      <c r="EV38" s="255">
        <f>50-50</f>
        <v>0</v>
      </c>
      <c r="EW38" s="255">
        <f>20-20</f>
        <v>0</v>
      </c>
      <c r="EX38" s="255">
        <f>20-20</f>
        <v>0</v>
      </c>
      <c r="EY38" s="253"/>
      <c r="EZ38" s="255">
        <f>50-50</f>
        <v>0</v>
      </c>
      <c r="FA38" s="255">
        <f>10-10</f>
        <v>0</v>
      </c>
      <c r="FB38" s="253"/>
      <c r="FC38" s="253"/>
      <c r="FD38" s="255">
        <f>10-10</f>
        <v>0</v>
      </c>
      <c r="FE38" s="253"/>
      <c r="FF38" s="253"/>
      <c r="FG38" s="253"/>
      <c r="FH38" s="253"/>
      <c r="FI38" s="253"/>
      <c r="FJ38" s="253"/>
      <c r="FK38" s="253"/>
      <c r="FL38" s="253"/>
      <c r="FM38" s="253"/>
      <c r="FN38" s="256"/>
      <c r="FO38" s="257" t="s">
        <v>1270</v>
      </c>
      <c r="FP38" s="258" t="s">
        <v>389</v>
      </c>
      <c r="FQ38" s="258" t="s">
        <v>406</v>
      </c>
      <c r="FR38" s="258" t="s">
        <v>397</v>
      </c>
      <c r="FS38" s="259">
        <f t="shared" si="0"/>
        <v>10</v>
      </c>
      <c r="FT38" s="260" t="s">
        <v>398</v>
      </c>
    </row>
    <row r="39" spans="1:176" s="260" customFormat="1" hidden="1">
      <c r="A39" s="251" t="s">
        <v>393</v>
      </c>
      <c r="B39" s="251" t="s">
        <v>385</v>
      </c>
      <c r="C39" s="251" t="s">
        <v>407</v>
      </c>
      <c r="D39" s="251" t="s">
        <v>291</v>
      </c>
      <c r="E39" s="252" t="s">
        <v>408</v>
      </c>
      <c r="F39" s="251" t="s">
        <v>388</v>
      </c>
      <c r="G39" s="251"/>
      <c r="H39" s="253"/>
      <c r="I39" s="255">
        <f>200-200</f>
        <v>0</v>
      </c>
      <c r="J39" s="253"/>
      <c r="K39" s="253"/>
      <c r="L39" s="253"/>
      <c r="M39" s="255">
        <f>500-500</f>
        <v>0</v>
      </c>
      <c r="N39" s="253"/>
      <c r="O39" s="253"/>
      <c r="P39" s="253"/>
      <c r="Q39" s="253"/>
      <c r="R39" s="253"/>
      <c r="S39" s="253"/>
      <c r="T39" s="253"/>
      <c r="U39" s="253"/>
      <c r="V39" s="253"/>
      <c r="W39" s="253"/>
      <c r="X39" s="253"/>
      <c r="Y39" s="253"/>
      <c r="Z39" s="253"/>
      <c r="AA39" s="253"/>
      <c r="AB39" s="253"/>
      <c r="AC39" s="253"/>
      <c r="AD39" s="253"/>
      <c r="AE39" s="253"/>
      <c r="AF39" s="253"/>
      <c r="AG39" s="253"/>
      <c r="AH39" s="253"/>
      <c r="AI39" s="253"/>
      <c r="AJ39" s="253"/>
      <c r="AK39" s="253"/>
      <c r="AL39" s="253"/>
      <c r="AM39" s="253"/>
      <c r="AN39" s="253"/>
      <c r="AO39" s="253"/>
      <c r="AP39" s="253"/>
      <c r="AQ39" s="253"/>
      <c r="AR39" s="253"/>
      <c r="AS39" s="253"/>
      <c r="AT39" s="253"/>
      <c r="AU39" s="253"/>
      <c r="AV39" s="253"/>
      <c r="AW39" s="253"/>
      <c r="AX39" s="253"/>
      <c r="AY39" s="253"/>
      <c r="AZ39" s="253"/>
      <c r="BA39" s="253"/>
      <c r="BB39" s="254">
        <f>2000-2000+370</f>
        <v>370</v>
      </c>
      <c r="BC39" s="253"/>
      <c r="BD39" s="253"/>
      <c r="BE39" s="253"/>
      <c r="BF39" s="253"/>
      <c r="BG39" s="253"/>
      <c r="BH39" s="253"/>
      <c r="BI39" s="253"/>
      <c r="BJ39" s="253"/>
      <c r="BK39" s="253"/>
      <c r="BL39" s="253"/>
      <c r="BM39" s="253"/>
      <c r="BN39" s="253"/>
      <c r="BO39" s="253"/>
      <c r="BP39" s="253"/>
      <c r="BQ39" s="253"/>
      <c r="BR39" s="253"/>
      <c r="BS39" s="253"/>
      <c r="BT39" s="253"/>
      <c r="BU39" s="253"/>
      <c r="BV39" s="253"/>
      <c r="BW39" s="253"/>
      <c r="BX39" s="253"/>
      <c r="BY39" s="253"/>
      <c r="BZ39" s="253"/>
      <c r="CA39" s="253"/>
      <c r="CB39" s="253"/>
      <c r="CC39" s="253"/>
      <c r="CD39" s="253"/>
      <c r="CE39" s="253"/>
      <c r="CF39" s="253"/>
      <c r="CG39" s="253"/>
      <c r="CH39" s="253"/>
      <c r="CI39" s="253"/>
      <c r="CJ39" s="253"/>
      <c r="CK39" s="253"/>
      <c r="CL39" s="253"/>
      <c r="CM39" s="253"/>
      <c r="CN39" s="253"/>
      <c r="CO39" s="253"/>
      <c r="CP39" s="253"/>
      <c r="CQ39" s="253"/>
      <c r="CR39" s="253"/>
      <c r="CS39" s="253"/>
      <c r="CT39" s="253"/>
      <c r="CU39" s="253"/>
      <c r="CV39" s="253"/>
      <c r="CW39" s="253"/>
      <c r="CX39" s="253"/>
      <c r="CY39" s="253"/>
      <c r="CZ39" s="253"/>
      <c r="DA39" s="253"/>
      <c r="DB39" s="253"/>
      <c r="DC39" s="253"/>
      <c r="DD39" s="253"/>
      <c r="DE39" s="253"/>
      <c r="DF39" s="253"/>
      <c r="DG39" s="253"/>
      <c r="DH39" s="253"/>
      <c r="DI39" s="253"/>
      <c r="DJ39" s="253"/>
      <c r="DK39" s="253"/>
      <c r="DL39" s="253"/>
      <c r="DM39" s="253"/>
      <c r="DN39" s="253"/>
      <c r="DO39" s="253"/>
      <c r="DP39" s="253"/>
      <c r="DQ39" s="253"/>
      <c r="DR39" s="253"/>
      <c r="DS39" s="253"/>
      <c r="DT39" s="253"/>
      <c r="DU39" s="253"/>
      <c r="DV39" s="253"/>
      <c r="DW39" s="253"/>
      <c r="DX39" s="253"/>
      <c r="DY39" s="253"/>
      <c r="DZ39" s="253"/>
      <c r="EA39" s="253"/>
      <c r="EB39" s="253"/>
      <c r="EC39" s="253"/>
      <c r="ED39" s="253"/>
      <c r="EE39" s="253"/>
      <c r="EF39" s="253"/>
      <c r="EG39" s="253"/>
      <c r="EH39" s="253"/>
      <c r="EI39" s="253"/>
      <c r="EJ39" s="253"/>
      <c r="EK39" s="253"/>
      <c r="EL39" s="253"/>
      <c r="EM39" s="253"/>
      <c r="EN39" s="253"/>
      <c r="EO39" s="253"/>
      <c r="EP39" s="253"/>
      <c r="EQ39" s="253"/>
      <c r="ER39" s="253"/>
      <c r="ES39" s="253"/>
      <c r="ET39" s="253"/>
      <c r="EU39" s="253"/>
      <c r="EV39" s="253"/>
      <c r="EW39" s="253"/>
      <c r="EX39" s="253"/>
      <c r="EY39" s="253"/>
      <c r="EZ39" s="253"/>
      <c r="FA39" s="253"/>
      <c r="FB39" s="253"/>
      <c r="FC39" s="253"/>
      <c r="FD39" s="253"/>
      <c r="FE39" s="253"/>
      <c r="FF39" s="253"/>
      <c r="FG39" s="253"/>
      <c r="FH39" s="253"/>
      <c r="FI39" s="253"/>
      <c r="FJ39" s="253"/>
      <c r="FK39" s="253"/>
      <c r="FL39" s="253"/>
      <c r="FM39" s="253"/>
      <c r="FN39" s="256"/>
      <c r="FO39" s="257" t="s">
        <v>1270</v>
      </c>
      <c r="FP39" s="258" t="s">
        <v>389</v>
      </c>
      <c r="FQ39" s="258"/>
      <c r="FR39" s="258" t="s">
        <v>409</v>
      </c>
      <c r="FS39" s="259">
        <f t="shared" si="0"/>
        <v>370</v>
      </c>
      <c r="FT39" s="260" t="s">
        <v>410</v>
      </c>
    </row>
    <row r="40" spans="1:176" s="260" customFormat="1" hidden="1">
      <c r="A40" s="251" t="s">
        <v>393</v>
      </c>
      <c r="B40" s="251" t="s">
        <v>385</v>
      </c>
      <c r="C40" s="251" t="s">
        <v>407</v>
      </c>
      <c r="D40" s="251" t="s">
        <v>1</v>
      </c>
      <c r="E40" s="252" t="s">
        <v>408</v>
      </c>
      <c r="F40" s="251" t="s">
        <v>388</v>
      </c>
      <c r="G40" s="251"/>
      <c r="H40" s="253"/>
      <c r="I40" s="253"/>
      <c r="J40" s="253"/>
      <c r="K40" s="253"/>
      <c r="L40" s="253"/>
      <c r="M40" s="253"/>
      <c r="N40" s="255">
        <f>1000-1000</f>
        <v>0</v>
      </c>
      <c r="O40" s="255">
        <f>500-500</f>
        <v>0</v>
      </c>
      <c r="P40" s="253"/>
      <c r="Q40" s="253"/>
      <c r="R40" s="253"/>
      <c r="S40" s="253"/>
      <c r="T40" s="253"/>
      <c r="U40" s="253"/>
      <c r="V40" s="253"/>
      <c r="W40" s="253"/>
      <c r="X40" s="253"/>
      <c r="Y40" s="253"/>
      <c r="Z40" s="253"/>
      <c r="AA40" s="255">
        <f>1500-1500</f>
        <v>0</v>
      </c>
      <c r="AB40" s="253"/>
      <c r="AC40" s="253"/>
      <c r="AD40" s="253"/>
      <c r="AE40" s="253"/>
      <c r="AF40" s="253"/>
      <c r="AG40" s="253"/>
      <c r="AH40" s="253"/>
      <c r="AI40" s="253"/>
      <c r="AJ40" s="253"/>
      <c r="AK40" s="253"/>
      <c r="AL40" s="255">
        <f>500-500</f>
        <v>0</v>
      </c>
      <c r="AM40" s="253"/>
      <c r="AN40" s="253"/>
      <c r="AO40" s="253"/>
      <c r="AP40" s="253"/>
      <c r="AQ40" s="253"/>
      <c r="AR40" s="253"/>
      <c r="AS40" s="254">
        <f>2000-2000+50</f>
        <v>50</v>
      </c>
      <c r="AT40" s="253"/>
      <c r="AU40" s="253"/>
      <c r="AV40" s="253"/>
      <c r="AW40" s="253"/>
      <c r="AX40" s="253"/>
      <c r="AY40" s="253"/>
      <c r="AZ40" s="253"/>
      <c r="BA40" s="253"/>
      <c r="BB40" s="253"/>
      <c r="BC40" s="253"/>
      <c r="BD40" s="253"/>
      <c r="BE40" s="253"/>
      <c r="BF40" s="253"/>
      <c r="BG40" s="253"/>
      <c r="BH40" s="254">
        <v>50</v>
      </c>
      <c r="BI40" s="254"/>
      <c r="BJ40" s="254"/>
      <c r="BK40" s="254">
        <v>200</v>
      </c>
      <c r="BL40" s="254"/>
      <c r="BM40" s="254"/>
      <c r="BN40" s="254">
        <v>5</v>
      </c>
      <c r="BO40" s="254"/>
      <c r="BP40" s="254"/>
      <c r="BQ40" s="254"/>
      <c r="BR40" s="254"/>
      <c r="BS40" s="254"/>
      <c r="BT40" s="254">
        <v>10</v>
      </c>
      <c r="BU40" s="254"/>
      <c r="BV40" s="254">
        <v>75</v>
      </c>
      <c r="BW40" s="254"/>
      <c r="BX40" s="254"/>
      <c r="BY40" s="254">
        <v>130</v>
      </c>
      <c r="BZ40" s="254">
        <v>60</v>
      </c>
      <c r="CA40" s="254"/>
      <c r="CB40" s="254"/>
      <c r="CC40" s="254"/>
      <c r="CD40" s="254">
        <v>20</v>
      </c>
      <c r="CE40" s="254"/>
      <c r="CF40" s="254"/>
      <c r="CG40" s="254">
        <v>20</v>
      </c>
      <c r="CH40" s="254"/>
      <c r="CI40" s="254">
        <v>15</v>
      </c>
      <c r="CJ40" s="254"/>
      <c r="CK40" s="254"/>
      <c r="CL40" s="254"/>
      <c r="CM40" s="254"/>
      <c r="CN40" s="254"/>
      <c r="CO40" s="254"/>
      <c r="CP40" s="254">
        <v>30</v>
      </c>
      <c r="CQ40" s="254"/>
      <c r="CR40" s="254"/>
      <c r="CS40" s="254"/>
      <c r="CT40" s="254">
        <v>4</v>
      </c>
      <c r="CU40" s="254">
        <v>10</v>
      </c>
      <c r="CV40" s="254"/>
      <c r="CW40" s="254"/>
      <c r="CX40" s="254"/>
      <c r="CY40" s="254">
        <v>25</v>
      </c>
      <c r="CZ40" s="254"/>
      <c r="DA40" s="254"/>
      <c r="DB40" s="254"/>
      <c r="DC40" s="254"/>
      <c r="DD40" s="254"/>
      <c r="DE40" s="254"/>
      <c r="DF40" s="254"/>
      <c r="DG40" s="254"/>
      <c r="DH40" s="254"/>
      <c r="DI40" s="254"/>
      <c r="DJ40" s="254"/>
      <c r="DK40" s="254"/>
      <c r="DL40" s="254">
        <v>20</v>
      </c>
      <c r="DM40" s="254"/>
      <c r="DN40" s="254">
        <v>50</v>
      </c>
      <c r="DO40" s="253"/>
      <c r="DP40" s="253"/>
      <c r="DQ40" s="253"/>
      <c r="DR40" s="253"/>
      <c r="DS40" s="253"/>
      <c r="DT40" s="253"/>
      <c r="DU40" s="253"/>
      <c r="DV40" s="253"/>
      <c r="DW40" s="253"/>
      <c r="DX40" s="253"/>
      <c r="DY40" s="253"/>
      <c r="DZ40" s="253"/>
      <c r="EA40" s="253"/>
      <c r="EB40" s="253"/>
      <c r="EC40" s="253"/>
      <c r="ED40" s="253"/>
      <c r="EE40" s="253"/>
      <c r="EF40" s="253"/>
      <c r="EG40" s="253"/>
      <c r="EH40" s="253"/>
      <c r="EI40" s="253"/>
      <c r="EJ40" s="253"/>
      <c r="EK40" s="253"/>
      <c r="EL40" s="253"/>
      <c r="EM40" s="253"/>
      <c r="EN40" s="253"/>
      <c r="EO40" s="253"/>
      <c r="EP40" s="253"/>
      <c r="EQ40" s="253"/>
      <c r="ER40" s="253">
        <f>0+15</f>
        <v>15</v>
      </c>
      <c r="ES40" s="253"/>
      <c r="ET40" s="253"/>
      <c r="EU40" s="253"/>
      <c r="EV40" s="253"/>
      <c r="EW40" s="253"/>
      <c r="EX40" s="253"/>
      <c r="EY40" s="253"/>
      <c r="EZ40" s="253"/>
      <c r="FA40" s="253"/>
      <c r="FB40" s="253"/>
      <c r="FC40" s="253"/>
      <c r="FD40" s="253"/>
      <c r="FE40" s="253"/>
      <c r="FF40" s="253"/>
      <c r="FG40" s="253"/>
      <c r="FH40" s="253"/>
      <c r="FI40" s="253"/>
      <c r="FJ40" s="253"/>
      <c r="FK40" s="253"/>
      <c r="FL40" s="253"/>
      <c r="FM40" s="253"/>
      <c r="FN40" s="256"/>
      <c r="FO40" s="257" t="s">
        <v>1270</v>
      </c>
      <c r="FP40" s="258" t="s">
        <v>389</v>
      </c>
      <c r="FQ40" s="258"/>
      <c r="FR40" s="258" t="s">
        <v>409</v>
      </c>
      <c r="FS40" s="259">
        <f t="shared" ref="FS40:FS102" si="4">SUM(H40:FM40)</f>
        <v>789</v>
      </c>
      <c r="FT40" s="260" t="s">
        <v>410</v>
      </c>
    </row>
    <row r="41" spans="1:176" s="260" customFormat="1" hidden="1">
      <c r="A41" s="251" t="s">
        <v>393</v>
      </c>
      <c r="B41" s="251" t="s">
        <v>385</v>
      </c>
      <c r="C41" s="251" t="s">
        <v>893</v>
      </c>
      <c r="D41" s="251" t="s">
        <v>291</v>
      </c>
      <c r="E41" s="252" t="s">
        <v>1067</v>
      </c>
      <c r="F41" s="251" t="s">
        <v>388</v>
      </c>
      <c r="G41" s="251"/>
      <c r="H41" s="253"/>
      <c r="I41" s="253"/>
      <c r="J41" s="253"/>
      <c r="K41" s="253"/>
      <c r="L41" s="253"/>
      <c r="M41" s="255">
        <f>1000-1000</f>
        <v>0</v>
      </c>
      <c r="N41" s="253"/>
      <c r="O41" s="253"/>
      <c r="P41" s="253"/>
      <c r="Q41" s="253"/>
      <c r="R41" s="253"/>
      <c r="S41" s="253"/>
      <c r="T41" s="253"/>
      <c r="U41" s="253"/>
      <c r="V41" s="253"/>
      <c r="W41" s="253"/>
      <c r="X41" s="253"/>
      <c r="Y41" s="253"/>
      <c r="Z41" s="253"/>
      <c r="AA41" s="253"/>
      <c r="AB41" s="253"/>
      <c r="AC41" s="253"/>
      <c r="AD41" s="253"/>
      <c r="AE41" s="253"/>
      <c r="AF41" s="253"/>
      <c r="AG41" s="253"/>
      <c r="AH41" s="253"/>
      <c r="AI41" s="253"/>
      <c r="AJ41" s="253"/>
      <c r="AK41" s="253"/>
      <c r="AL41" s="253"/>
      <c r="AM41" s="253"/>
      <c r="AN41" s="253"/>
      <c r="AO41" s="253"/>
      <c r="AP41" s="253"/>
      <c r="AQ41" s="253"/>
      <c r="AR41" s="253"/>
      <c r="AS41" s="253"/>
      <c r="AT41" s="253"/>
      <c r="AU41" s="253"/>
      <c r="AV41" s="253"/>
      <c r="AW41" s="253"/>
      <c r="AX41" s="253"/>
      <c r="AY41" s="253"/>
      <c r="AZ41" s="253"/>
      <c r="BA41" s="253"/>
      <c r="BB41" s="253"/>
      <c r="BC41" s="253"/>
      <c r="BD41" s="253"/>
      <c r="BE41" s="253"/>
      <c r="BF41" s="253"/>
      <c r="BG41" s="253"/>
      <c r="BH41" s="253"/>
      <c r="BI41" s="253"/>
      <c r="BJ41" s="253"/>
      <c r="BK41" s="253"/>
      <c r="BL41" s="253"/>
      <c r="BM41" s="253"/>
      <c r="BN41" s="253"/>
      <c r="BO41" s="253"/>
      <c r="BP41" s="253"/>
      <c r="BQ41" s="253"/>
      <c r="BR41" s="253"/>
      <c r="BS41" s="253"/>
      <c r="BT41" s="253"/>
      <c r="BU41" s="253"/>
      <c r="BV41" s="253"/>
      <c r="BW41" s="253"/>
      <c r="BX41" s="253"/>
      <c r="BY41" s="253"/>
      <c r="BZ41" s="253"/>
      <c r="CA41" s="253"/>
      <c r="CB41" s="253"/>
      <c r="CC41" s="253"/>
      <c r="CD41" s="253"/>
      <c r="CE41" s="253"/>
      <c r="CF41" s="253"/>
      <c r="CG41" s="253"/>
      <c r="CH41" s="253"/>
      <c r="CI41" s="253"/>
      <c r="CJ41" s="253"/>
      <c r="CK41" s="253"/>
      <c r="CL41" s="253"/>
      <c r="CM41" s="253"/>
      <c r="CN41" s="253"/>
      <c r="CO41" s="253"/>
      <c r="CP41" s="253"/>
      <c r="CQ41" s="253"/>
      <c r="CR41" s="253"/>
      <c r="CS41" s="253"/>
      <c r="CT41" s="253"/>
      <c r="CU41" s="253"/>
      <c r="CV41" s="253"/>
      <c r="CW41" s="253"/>
      <c r="CX41" s="253"/>
      <c r="CY41" s="253"/>
      <c r="CZ41" s="253"/>
      <c r="DA41" s="253"/>
      <c r="DB41" s="253"/>
      <c r="DC41" s="253"/>
      <c r="DD41" s="253"/>
      <c r="DE41" s="253"/>
      <c r="DF41" s="253"/>
      <c r="DG41" s="253"/>
      <c r="DH41" s="253"/>
      <c r="DI41" s="253"/>
      <c r="DJ41" s="253"/>
      <c r="DK41" s="253"/>
      <c r="DL41" s="253"/>
      <c r="DM41" s="253"/>
      <c r="DN41" s="253"/>
      <c r="DO41" s="253"/>
      <c r="DP41" s="253"/>
      <c r="DQ41" s="253"/>
      <c r="DR41" s="253"/>
      <c r="DS41" s="253"/>
      <c r="DT41" s="253"/>
      <c r="DU41" s="253"/>
      <c r="DV41" s="253"/>
      <c r="DW41" s="253"/>
      <c r="DX41" s="253"/>
      <c r="DY41" s="253"/>
      <c r="DZ41" s="253"/>
      <c r="EA41" s="253"/>
      <c r="EB41" s="253"/>
      <c r="EC41" s="253"/>
      <c r="ED41" s="253"/>
      <c r="EE41" s="253"/>
      <c r="EF41" s="253"/>
      <c r="EG41" s="253"/>
      <c r="EH41" s="253"/>
      <c r="EI41" s="253"/>
      <c r="EJ41" s="253"/>
      <c r="EK41" s="253"/>
      <c r="EL41" s="253"/>
      <c r="EM41" s="253"/>
      <c r="EN41" s="253"/>
      <c r="EO41" s="253"/>
      <c r="EP41" s="253"/>
      <c r="EQ41" s="253"/>
      <c r="ER41" s="253"/>
      <c r="ES41" s="253"/>
      <c r="ET41" s="253"/>
      <c r="EU41" s="253"/>
      <c r="EV41" s="253"/>
      <c r="EW41" s="253"/>
      <c r="EX41" s="253"/>
      <c r="EY41" s="253"/>
      <c r="EZ41" s="253"/>
      <c r="FA41" s="253"/>
      <c r="FB41" s="253"/>
      <c r="FC41" s="253"/>
      <c r="FD41" s="253"/>
      <c r="FE41" s="253"/>
      <c r="FF41" s="253"/>
      <c r="FG41" s="253"/>
      <c r="FH41" s="253"/>
      <c r="FI41" s="253"/>
      <c r="FJ41" s="253"/>
      <c r="FK41" s="253"/>
      <c r="FL41" s="253"/>
      <c r="FM41" s="253"/>
      <c r="FN41" s="256"/>
      <c r="FO41" s="257" t="s">
        <v>1270</v>
      </c>
      <c r="FP41" s="258" t="s">
        <v>389</v>
      </c>
      <c r="FQ41" s="258"/>
      <c r="FR41" s="258" t="s">
        <v>1068</v>
      </c>
      <c r="FS41" s="259">
        <f t="shared" si="4"/>
        <v>0</v>
      </c>
      <c r="FT41" s="260" t="s">
        <v>391</v>
      </c>
    </row>
    <row r="42" spans="1:176" s="260" customFormat="1" hidden="1">
      <c r="A42" s="251" t="s">
        <v>385</v>
      </c>
      <c r="B42" s="251" t="s">
        <v>385</v>
      </c>
      <c r="C42" s="251" t="s">
        <v>893</v>
      </c>
      <c r="D42" s="251" t="s">
        <v>1</v>
      </c>
      <c r="E42" s="252" t="s">
        <v>894</v>
      </c>
      <c r="F42" s="251" t="s">
        <v>388</v>
      </c>
      <c r="G42" s="251"/>
      <c r="H42" s="253"/>
      <c r="I42" s="253"/>
      <c r="J42" s="253"/>
      <c r="K42" s="253"/>
      <c r="L42" s="253"/>
      <c r="M42" s="253"/>
      <c r="N42" s="253"/>
      <c r="O42" s="253"/>
      <c r="P42" s="253"/>
      <c r="Q42" s="253"/>
      <c r="R42" s="253"/>
      <c r="S42" s="253"/>
      <c r="T42" s="253"/>
      <c r="U42" s="253"/>
      <c r="V42" s="253"/>
      <c r="W42" s="253"/>
      <c r="X42" s="253"/>
      <c r="Y42" s="253"/>
      <c r="Z42" s="253"/>
      <c r="AA42" s="253"/>
      <c r="AB42" s="253"/>
      <c r="AC42" s="253"/>
      <c r="AD42" s="253"/>
      <c r="AE42" s="253"/>
      <c r="AF42" s="253"/>
      <c r="AG42" s="253"/>
      <c r="AH42" s="253"/>
      <c r="AI42" s="253"/>
      <c r="AJ42" s="253"/>
      <c r="AK42" s="253"/>
      <c r="AL42" s="253"/>
      <c r="AM42" s="253"/>
      <c r="AN42" s="253"/>
      <c r="AO42" s="253"/>
      <c r="AP42" s="253"/>
      <c r="AQ42" s="253"/>
      <c r="AR42" s="253"/>
      <c r="AS42" s="253"/>
      <c r="AT42" s="253"/>
      <c r="AU42" s="253"/>
      <c r="AV42" s="253"/>
      <c r="AW42" s="253"/>
      <c r="AX42" s="253"/>
      <c r="AY42" s="253"/>
      <c r="AZ42" s="253"/>
      <c r="BA42" s="253"/>
      <c r="BB42" s="253"/>
      <c r="BC42" s="253"/>
      <c r="BD42" s="253"/>
      <c r="BE42" s="253"/>
      <c r="BF42" s="253"/>
      <c r="BG42" s="253"/>
      <c r="BH42" s="253"/>
      <c r="BI42" s="253"/>
      <c r="BJ42" s="253"/>
      <c r="BK42" s="253"/>
      <c r="BL42" s="253"/>
      <c r="BM42" s="253"/>
      <c r="BN42" s="253"/>
      <c r="BO42" s="253"/>
      <c r="BP42" s="253"/>
      <c r="BQ42" s="253"/>
      <c r="BR42" s="253"/>
      <c r="BS42" s="253"/>
      <c r="BT42" s="253"/>
      <c r="BU42" s="253"/>
      <c r="BV42" s="253"/>
      <c r="BW42" s="253"/>
      <c r="BX42" s="253"/>
      <c r="BY42" s="253"/>
      <c r="BZ42" s="253"/>
      <c r="CA42" s="253"/>
      <c r="CB42" s="253"/>
      <c r="CC42" s="253"/>
      <c r="CD42" s="253"/>
      <c r="CE42" s="253"/>
      <c r="CF42" s="253"/>
      <c r="CG42" s="253"/>
      <c r="CH42" s="253"/>
      <c r="CI42" s="253"/>
      <c r="CJ42" s="253"/>
      <c r="CK42" s="253"/>
      <c r="CL42" s="253"/>
      <c r="CM42" s="253"/>
      <c r="CN42" s="253"/>
      <c r="CO42" s="253"/>
      <c r="CP42" s="253"/>
      <c r="CQ42" s="253"/>
      <c r="CR42" s="253"/>
      <c r="CS42" s="253"/>
      <c r="CT42" s="253"/>
      <c r="CU42" s="253"/>
      <c r="CV42" s="253"/>
      <c r="CW42" s="253"/>
      <c r="CX42" s="253"/>
      <c r="CY42" s="253"/>
      <c r="CZ42" s="253"/>
      <c r="DA42" s="253"/>
      <c r="DB42" s="253"/>
      <c r="DC42" s="253"/>
      <c r="DD42" s="253"/>
      <c r="DE42" s="253"/>
      <c r="DF42" s="253"/>
      <c r="DG42" s="253"/>
      <c r="DH42" s="253"/>
      <c r="DI42" s="253"/>
      <c r="DJ42" s="253"/>
      <c r="DK42" s="253"/>
      <c r="DL42" s="253"/>
      <c r="DM42" s="253"/>
      <c r="DN42" s="253"/>
      <c r="DO42" s="253"/>
      <c r="DP42" s="253"/>
      <c r="DQ42" s="253"/>
      <c r="DR42" s="253"/>
      <c r="DS42" s="253"/>
      <c r="DT42" s="253"/>
      <c r="DU42" s="253"/>
      <c r="DV42" s="253"/>
      <c r="DW42" s="253"/>
      <c r="DX42" s="253"/>
      <c r="DY42" s="253"/>
      <c r="DZ42" s="253"/>
      <c r="EA42" s="253"/>
      <c r="EB42" s="253"/>
      <c r="EC42" s="253"/>
      <c r="ED42" s="253"/>
      <c r="EE42" s="253"/>
      <c r="EF42" s="253"/>
      <c r="EG42" s="253"/>
      <c r="EH42" s="253"/>
      <c r="EI42" s="253"/>
      <c r="EJ42" s="253"/>
      <c r="EK42" s="253"/>
      <c r="EL42" s="253"/>
      <c r="EM42" s="253"/>
      <c r="EN42" s="253"/>
      <c r="EO42" s="253"/>
      <c r="EP42" s="253"/>
      <c r="EQ42" s="253"/>
      <c r="ER42" s="253"/>
      <c r="ES42" s="253"/>
      <c r="ET42" s="253"/>
      <c r="EU42" s="253"/>
      <c r="EV42" s="253"/>
      <c r="EW42" s="253"/>
      <c r="EX42" s="253"/>
      <c r="EY42" s="253"/>
      <c r="EZ42" s="253"/>
      <c r="FA42" s="253"/>
      <c r="FB42" s="253"/>
      <c r="FC42" s="253"/>
      <c r="FD42" s="253"/>
      <c r="FE42" s="253"/>
      <c r="FF42" s="253"/>
      <c r="FG42" s="255">
        <f>30-30</f>
        <v>0</v>
      </c>
      <c r="FH42" s="255">
        <f>30-30</f>
        <v>0</v>
      </c>
      <c r="FI42" s="253"/>
      <c r="FJ42" s="253"/>
      <c r="FK42" s="253"/>
      <c r="FL42" s="253"/>
      <c r="FM42" s="253"/>
      <c r="FN42" s="256"/>
      <c r="FO42" s="257" t="s">
        <v>1270</v>
      </c>
      <c r="FP42" s="258" t="s">
        <v>389</v>
      </c>
      <c r="FQ42" s="258"/>
      <c r="FR42" s="258" t="s">
        <v>895</v>
      </c>
      <c r="FS42" s="259">
        <f t="shared" si="4"/>
        <v>0</v>
      </c>
      <c r="FT42" s="260" t="s">
        <v>410</v>
      </c>
    </row>
    <row r="43" spans="1:176" s="260" customFormat="1">
      <c r="A43" s="251" t="s">
        <v>393</v>
      </c>
      <c r="B43" s="251" t="s">
        <v>385</v>
      </c>
      <c r="C43" s="251" t="s">
        <v>411</v>
      </c>
      <c r="D43" s="251" t="s">
        <v>291</v>
      </c>
      <c r="E43" s="252" t="s">
        <v>831</v>
      </c>
      <c r="F43" s="251" t="s">
        <v>388</v>
      </c>
      <c r="G43" s="251"/>
      <c r="H43" s="253"/>
      <c r="I43" s="253"/>
      <c r="J43" s="253"/>
      <c r="K43" s="253"/>
      <c r="L43" s="254">
        <f>40-40+40</f>
        <v>40</v>
      </c>
      <c r="M43" s="255">
        <f>100-100</f>
        <v>0</v>
      </c>
      <c r="N43" s="253"/>
      <c r="O43" s="253"/>
      <c r="P43" s="253"/>
      <c r="Q43" s="253"/>
      <c r="R43" s="253"/>
      <c r="S43" s="253"/>
      <c r="T43" s="253"/>
      <c r="U43" s="253"/>
      <c r="V43" s="253"/>
      <c r="W43" s="253"/>
      <c r="X43" s="253"/>
      <c r="Y43" s="253"/>
      <c r="Z43" s="253"/>
      <c r="AA43" s="253"/>
      <c r="AB43" s="253"/>
      <c r="AC43" s="253"/>
      <c r="AD43" s="253"/>
      <c r="AE43" s="253"/>
      <c r="AF43" s="255">
        <f>100-100</f>
        <v>0</v>
      </c>
      <c r="AG43" s="253"/>
      <c r="AH43" s="253"/>
      <c r="AI43" s="253"/>
      <c r="AJ43" s="253"/>
      <c r="AK43" s="253"/>
      <c r="AL43" s="253"/>
      <c r="AM43" s="253"/>
      <c r="AN43" s="253"/>
      <c r="AO43" s="253"/>
      <c r="AP43" s="253"/>
      <c r="AQ43" s="253"/>
      <c r="AR43" s="253"/>
      <c r="AS43" s="253"/>
      <c r="AT43" s="253"/>
      <c r="AU43" s="253"/>
      <c r="AV43" s="253"/>
      <c r="AW43" s="253"/>
      <c r="AX43" s="253"/>
      <c r="AY43" s="253"/>
      <c r="AZ43" s="253"/>
      <c r="BA43" s="253"/>
      <c r="BB43" s="254">
        <f>100-100+20</f>
        <v>20</v>
      </c>
      <c r="BC43" s="253"/>
      <c r="BD43" s="253"/>
      <c r="BE43" s="253"/>
      <c r="BF43" s="253"/>
      <c r="BG43" s="253"/>
      <c r="BH43" s="253"/>
      <c r="BI43" s="253"/>
      <c r="BJ43" s="253"/>
      <c r="BK43" s="253"/>
      <c r="BL43" s="253"/>
      <c r="BM43" s="253"/>
      <c r="BN43" s="253"/>
      <c r="BO43" s="253"/>
      <c r="BP43" s="253"/>
      <c r="BQ43" s="253"/>
      <c r="BR43" s="253"/>
      <c r="BS43" s="253"/>
      <c r="BT43" s="253"/>
      <c r="BU43" s="253"/>
      <c r="BV43" s="253"/>
      <c r="BW43" s="253"/>
      <c r="BX43" s="253"/>
      <c r="BY43" s="253"/>
      <c r="BZ43" s="253"/>
      <c r="CA43" s="253"/>
      <c r="CB43" s="253"/>
      <c r="CC43" s="253"/>
      <c r="CD43" s="253"/>
      <c r="CE43" s="253"/>
      <c r="CF43" s="253"/>
      <c r="CG43" s="253"/>
      <c r="CH43" s="253"/>
      <c r="CI43" s="253"/>
      <c r="CJ43" s="253"/>
      <c r="CK43" s="253"/>
      <c r="CL43" s="253"/>
      <c r="CM43" s="253"/>
      <c r="CN43" s="253"/>
      <c r="CO43" s="253"/>
      <c r="CP43" s="253"/>
      <c r="CQ43" s="253"/>
      <c r="CR43" s="253"/>
      <c r="CS43" s="253"/>
      <c r="CT43" s="253"/>
      <c r="CU43" s="253"/>
      <c r="CV43" s="253"/>
      <c r="CW43" s="253"/>
      <c r="CX43" s="253"/>
      <c r="CY43" s="253"/>
      <c r="CZ43" s="253"/>
      <c r="DA43" s="253"/>
      <c r="DB43" s="253"/>
      <c r="DC43" s="253"/>
      <c r="DD43" s="253"/>
      <c r="DE43" s="253"/>
      <c r="DF43" s="253"/>
      <c r="DG43" s="253"/>
      <c r="DH43" s="253"/>
      <c r="DI43" s="253"/>
      <c r="DJ43" s="253"/>
      <c r="DK43" s="253"/>
      <c r="DL43" s="253"/>
      <c r="DM43" s="253"/>
      <c r="DN43" s="253"/>
      <c r="DO43" s="253"/>
      <c r="DP43" s="253"/>
      <c r="DQ43" s="253"/>
      <c r="DR43" s="253"/>
      <c r="DS43" s="253"/>
      <c r="DT43" s="253"/>
      <c r="DU43" s="253"/>
      <c r="DV43" s="253"/>
      <c r="DW43" s="253"/>
      <c r="DX43" s="253"/>
      <c r="DY43" s="253"/>
      <c r="DZ43" s="253"/>
      <c r="EA43" s="253"/>
      <c r="EB43" s="253"/>
      <c r="EC43" s="253"/>
      <c r="ED43" s="253"/>
      <c r="EE43" s="253"/>
      <c r="EF43" s="253"/>
      <c r="EG43" s="253"/>
      <c r="EH43" s="253"/>
      <c r="EI43" s="253"/>
      <c r="EJ43" s="253"/>
      <c r="EK43" s="253"/>
      <c r="EL43" s="253"/>
      <c r="EM43" s="253"/>
      <c r="EN43" s="253"/>
      <c r="EO43" s="253"/>
      <c r="EP43" s="253"/>
      <c r="EQ43" s="253"/>
      <c r="ER43" s="253"/>
      <c r="ES43" s="253"/>
      <c r="ET43" s="253"/>
      <c r="EU43" s="253"/>
      <c r="EV43" s="253"/>
      <c r="EW43" s="253"/>
      <c r="EX43" s="253"/>
      <c r="EY43" s="253"/>
      <c r="EZ43" s="253"/>
      <c r="FA43" s="253"/>
      <c r="FB43" s="253"/>
      <c r="FC43" s="253"/>
      <c r="FD43" s="253"/>
      <c r="FE43" s="253"/>
      <c r="FF43" s="253"/>
      <c r="FG43" s="253"/>
      <c r="FH43" s="253"/>
      <c r="FI43" s="253"/>
      <c r="FJ43" s="253"/>
      <c r="FK43" s="253"/>
      <c r="FL43" s="253"/>
      <c r="FM43" s="253"/>
      <c r="FN43" s="256"/>
      <c r="FO43" s="257" t="s">
        <v>1270</v>
      </c>
      <c r="FP43" s="258" t="s">
        <v>389</v>
      </c>
      <c r="FQ43" s="258" t="s">
        <v>833</v>
      </c>
      <c r="FR43" s="258" t="s">
        <v>834</v>
      </c>
      <c r="FS43" s="259">
        <f t="shared" si="4"/>
        <v>60</v>
      </c>
      <c r="FT43" s="260" t="s">
        <v>433</v>
      </c>
    </row>
    <row r="44" spans="1:176" s="260" customFormat="1">
      <c r="A44" s="251" t="s">
        <v>393</v>
      </c>
      <c r="B44" s="251" t="s">
        <v>385</v>
      </c>
      <c r="C44" s="251" t="s">
        <v>411</v>
      </c>
      <c r="D44" s="251" t="s">
        <v>1</v>
      </c>
      <c r="E44" s="252" t="s">
        <v>831</v>
      </c>
      <c r="F44" s="251" t="s">
        <v>388</v>
      </c>
      <c r="G44" s="251"/>
      <c r="H44" s="253"/>
      <c r="I44" s="253"/>
      <c r="J44" s="253"/>
      <c r="K44" s="253"/>
      <c r="L44" s="253"/>
      <c r="M44" s="253"/>
      <c r="N44" s="255">
        <f>100-100</f>
        <v>0</v>
      </c>
      <c r="O44" s="255">
        <f>100-100</f>
        <v>0</v>
      </c>
      <c r="P44" s="253"/>
      <c r="Q44" s="253"/>
      <c r="R44" s="253"/>
      <c r="S44" s="253"/>
      <c r="T44" s="253"/>
      <c r="U44" s="253"/>
      <c r="V44" s="253"/>
      <c r="W44" s="253"/>
      <c r="X44" s="253"/>
      <c r="Y44" s="253"/>
      <c r="Z44" s="253"/>
      <c r="AA44" s="255">
        <f>100-100</f>
        <v>0</v>
      </c>
      <c r="AB44" s="255">
        <f>100-100</f>
        <v>0</v>
      </c>
      <c r="AC44" s="253"/>
      <c r="AD44" s="253"/>
      <c r="AE44" s="253"/>
      <c r="AF44" s="253"/>
      <c r="AG44" s="253"/>
      <c r="AH44" s="253"/>
      <c r="AI44" s="253"/>
      <c r="AJ44" s="255">
        <f>100-100</f>
        <v>0</v>
      </c>
      <c r="AK44" s="253"/>
      <c r="AL44" s="255">
        <f>100-100</f>
        <v>0</v>
      </c>
      <c r="AM44" s="253"/>
      <c r="AN44" s="253"/>
      <c r="AO44" s="253"/>
      <c r="AP44" s="253"/>
      <c r="AQ44" s="253"/>
      <c r="AR44" s="253"/>
      <c r="AS44" s="255">
        <f>100-100</f>
        <v>0</v>
      </c>
      <c r="AT44" s="253"/>
      <c r="AU44" s="253"/>
      <c r="AV44" s="253"/>
      <c r="AW44" s="253"/>
      <c r="AX44" s="253"/>
      <c r="AY44" s="253"/>
      <c r="AZ44" s="253"/>
      <c r="BA44" s="253"/>
      <c r="BB44" s="253"/>
      <c r="BC44" s="253"/>
      <c r="BD44" s="253"/>
      <c r="BE44" s="253"/>
      <c r="BF44" s="253"/>
      <c r="BG44" s="253"/>
      <c r="BH44" s="253"/>
      <c r="BI44" s="253"/>
      <c r="BJ44" s="253"/>
      <c r="BK44" s="253"/>
      <c r="BL44" s="253"/>
      <c r="BM44" s="253"/>
      <c r="BN44" s="253"/>
      <c r="BO44" s="253"/>
      <c r="BP44" s="253"/>
      <c r="BQ44" s="253"/>
      <c r="BR44" s="253"/>
      <c r="BS44" s="253"/>
      <c r="BT44" s="253"/>
      <c r="BU44" s="253"/>
      <c r="BV44" s="253"/>
      <c r="BW44" s="253"/>
      <c r="BX44" s="253"/>
      <c r="BY44" s="253"/>
      <c r="BZ44" s="253"/>
      <c r="CA44" s="253"/>
      <c r="CB44" s="253"/>
      <c r="CC44" s="253"/>
      <c r="CD44" s="253"/>
      <c r="CE44" s="253"/>
      <c r="CF44" s="253"/>
      <c r="CG44" s="253"/>
      <c r="CH44" s="253"/>
      <c r="CI44" s="253"/>
      <c r="CJ44" s="253"/>
      <c r="CK44" s="253"/>
      <c r="CL44" s="253"/>
      <c r="CM44" s="253"/>
      <c r="CN44" s="253"/>
      <c r="CO44" s="253"/>
      <c r="CP44" s="253"/>
      <c r="CQ44" s="253"/>
      <c r="CR44" s="253"/>
      <c r="CS44" s="253"/>
      <c r="CT44" s="253"/>
      <c r="CU44" s="253"/>
      <c r="CV44" s="253"/>
      <c r="CW44" s="253"/>
      <c r="CX44" s="253"/>
      <c r="CY44" s="253"/>
      <c r="CZ44" s="253"/>
      <c r="DA44" s="253"/>
      <c r="DB44" s="253"/>
      <c r="DC44" s="253"/>
      <c r="DD44" s="253"/>
      <c r="DE44" s="253"/>
      <c r="DF44" s="253"/>
      <c r="DG44" s="253"/>
      <c r="DH44" s="253"/>
      <c r="DI44" s="253"/>
      <c r="DJ44" s="253"/>
      <c r="DK44" s="253"/>
      <c r="DL44" s="253"/>
      <c r="DM44" s="253"/>
      <c r="DN44" s="253"/>
      <c r="DO44" s="253"/>
      <c r="DP44" s="253"/>
      <c r="DQ44" s="253"/>
      <c r="DR44" s="253"/>
      <c r="DS44" s="253"/>
      <c r="DT44" s="253"/>
      <c r="DU44" s="253"/>
      <c r="DV44" s="253"/>
      <c r="DW44" s="253"/>
      <c r="DX44" s="253"/>
      <c r="DY44" s="253"/>
      <c r="DZ44" s="253"/>
      <c r="EA44" s="253"/>
      <c r="EB44" s="253"/>
      <c r="EC44" s="255">
        <f>100-100</f>
        <v>0</v>
      </c>
      <c r="ED44" s="255">
        <f>100-100</f>
        <v>0</v>
      </c>
      <c r="EE44" s="253"/>
      <c r="EF44" s="253"/>
      <c r="EG44" s="255">
        <f>100-100</f>
        <v>0</v>
      </c>
      <c r="EH44" s="253"/>
      <c r="EI44" s="253"/>
      <c r="EJ44" s="255">
        <f>100-100</f>
        <v>0</v>
      </c>
      <c r="EK44" s="253"/>
      <c r="EL44" s="255">
        <f>100-100</f>
        <v>0</v>
      </c>
      <c r="EM44" s="253"/>
      <c r="EN44" s="253"/>
      <c r="EO44" s="253"/>
      <c r="EP44" s="253"/>
      <c r="EQ44" s="253"/>
      <c r="ER44" s="253"/>
      <c r="ES44" s="253"/>
      <c r="ET44" s="253"/>
      <c r="EU44" s="253"/>
      <c r="EV44" s="253"/>
      <c r="EW44" s="253"/>
      <c r="EX44" s="253"/>
      <c r="EY44" s="253"/>
      <c r="EZ44" s="253"/>
      <c r="FA44" s="253"/>
      <c r="FB44" s="253"/>
      <c r="FC44" s="253"/>
      <c r="FD44" s="253"/>
      <c r="FE44" s="253"/>
      <c r="FF44" s="253"/>
      <c r="FG44" s="253"/>
      <c r="FH44" s="253"/>
      <c r="FI44" s="253"/>
      <c r="FJ44" s="253"/>
      <c r="FK44" s="253"/>
      <c r="FL44" s="253"/>
      <c r="FM44" s="253"/>
      <c r="FN44" s="256"/>
      <c r="FO44" s="257" t="s">
        <v>1270</v>
      </c>
      <c r="FP44" s="258" t="s">
        <v>389</v>
      </c>
      <c r="FQ44" s="258" t="s">
        <v>833</v>
      </c>
      <c r="FR44" s="258" t="s">
        <v>834</v>
      </c>
      <c r="FS44" s="259">
        <f t="shared" si="4"/>
        <v>0</v>
      </c>
      <c r="FT44" s="260" t="s">
        <v>433</v>
      </c>
    </row>
    <row r="45" spans="1:176" s="260" customFormat="1">
      <c r="A45" s="251" t="s">
        <v>393</v>
      </c>
      <c r="B45" s="251" t="s">
        <v>385</v>
      </c>
      <c r="C45" s="251" t="s">
        <v>411</v>
      </c>
      <c r="D45" s="251" t="s">
        <v>291</v>
      </c>
      <c r="E45" s="252" t="s">
        <v>836</v>
      </c>
      <c r="F45" s="251" t="s">
        <v>388</v>
      </c>
      <c r="G45" s="251"/>
      <c r="H45" s="253"/>
      <c r="I45" s="253"/>
      <c r="J45" s="253"/>
      <c r="K45" s="253"/>
      <c r="L45" s="253"/>
      <c r="M45" s="255">
        <f>40-40</f>
        <v>0</v>
      </c>
      <c r="N45" s="253"/>
      <c r="O45" s="253"/>
      <c r="P45" s="253"/>
      <c r="Q45" s="253"/>
      <c r="R45" s="253"/>
      <c r="S45" s="253"/>
      <c r="T45" s="253"/>
      <c r="U45" s="253"/>
      <c r="V45" s="253"/>
      <c r="W45" s="253"/>
      <c r="X45" s="253"/>
      <c r="Y45" s="253"/>
      <c r="Z45" s="253"/>
      <c r="AA45" s="253"/>
      <c r="AB45" s="253"/>
      <c r="AC45" s="253"/>
      <c r="AD45" s="253"/>
      <c r="AE45" s="253"/>
      <c r="AF45" s="255">
        <f>20-20</f>
        <v>0</v>
      </c>
      <c r="AG45" s="253"/>
      <c r="AH45" s="253"/>
      <c r="AI45" s="253"/>
      <c r="AJ45" s="253"/>
      <c r="AK45" s="253"/>
      <c r="AL45" s="253"/>
      <c r="AM45" s="253"/>
      <c r="AN45" s="254">
        <f>20-20+10</f>
        <v>10</v>
      </c>
      <c r="AO45" s="253"/>
      <c r="AP45" s="253"/>
      <c r="AQ45" s="253"/>
      <c r="AR45" s="253"/>
      <c r="AS45" s="253"/>
      <c r="AT45" s="253"/>
      <c r="AU45" s="253"/>
      <c r="AV45" s="253"/>
      <c r="AW45" s="253"/>
      <c r="AX45" s="253"/>
      <c r="AY45" s="253"/>
      <c r="AZ45" s="253"/>
      <c r="BA45" s="253"/>
      <c r="BB45" s="254">
        <f>20-20+20</f>
        <v>20</v>
      </c>
      <c r="BC45" s="253"/>
      <c r="BD45" s="253"/>
      <c r="BE45" s="253"/>
      <c r="BF45" s="253"/>
      <c r="BG45" s="253"/>
      <c r="BH45" s="253"/>
      <c r="BI45" s="253"/>
      <c r="BJ45" s="253"/>
      <c r="BK45" s="253"/>
      <c r="BL45" s="253"/>
      <c r="BM45" s="253"/>
      <c r="BN45" s="253"/>
      <c r="BO45" s="253"/>
      <c r="BP45" s="253"/>
      <c r="BQ45" s="253"/>
      <c r="BR45" s="253"/>
      <c r="BS45" s="253"/>
      <c r="BT45" s="253"/>
      <c r="BU45" s="253"/>
      <c r="BV45" s="253"/>
      <c r="BW45" s="253"/>
      <c r="BX45" s="253"/>
      <c r="BY45" s="253"/>
      <c r="BZ45" s="253"/>
      <c r="CA45" s="253"/>
      <c r="CB45" s="253"/>
      <c r="CC45" s="253"/>
      <c r="CD45" s="253"/>
      <c r="CE45" s="253"/>
      <c r="CF45" s="253"/>
      <c r="CG45" s="253"/>
      <c r="CH45" s="253"/>
      <c r="CI45" s="253"/>
      <c r="CJ45" s="253"/>
      <c r="CK45" s="253"/>
      <c r="CL45" s="253"/>
      <c r="CM45" s="253"/>
      <c r="CN45" s="253"/>
      <c r="CO45" s="253"/>
      <c r="CP45" s="253"/>
      <c r="CQ45" s="253"/>
      <c r="CR45" s="253"/>
      <c r="CS45" s="253"/>
      <c r="CT45" s="253"/>
      <c r="CU45" s="253"/>
      <c r="CV45" s="253"/>
      <c r="CW45" s="253"/>
      <c r="CX45" s="253"/>
      <c r="CY45" s="253"/>
      <c r="CZ45" s="253"/>
      <c r="DA45" s="253"/>
      <c r="DB45" s="253"/>
      <c r="DC45" s="253"/>
      <c r="DD45" s="253"/>
      <c r="DE45" s="253"/>
      <c r="DF45" s="253"/>
      <c r="DG45" s="253"/>
      <c r="DH45" s="253"/>
      <c r="DI45" s="253"/>
      <c r="DJ45" s="253"/>
      <c r="DK45" s="253"/>
      <c r="DL45" s="253"/>
      <c r="DM45" s="253"/>
      <c r="DN45" s="253"/>
      <c r="DO45" s="253"/>
      <c r="DP45" s="253"/>
      <c r="DQ45" s="253"/>
      <c r="DR45" s="253"/>
      <c r="DS45" s="253"/>
      <c r="DT45" s="253"/>
      <c r="DU45" s="253"/>
      <c r="DV45" s="253"/>
      <c r="DW45" s="253"/>
      <c r="DX45" s="253"/>
      <c r="DY45" s="253"/>
      <c r="DZ45" s="253"/>
      <c r="EA45" s="253"/>
      <c r="EB45" s="253"/>
      <c r="EC45" s="253"/>
      <c r="ED45" s="253"/>
      <c r="EE45" s="253"/>
      <c r="EF45" s="253"/>
      <c r="EG45" s="253"/>
      <c r="EH45" s="253"/>
      <c r="EI45" s="253"/>
      <c r="EJ45" s="253"/>
      <c r="EK45" s="253"/>
      <c r="EL45" s="253"/>
      <c r="EM45" s="253"/>
      <c r="EN45" s="253"/>
      <c r="EO45" s="253"/>
      <c r="EP45" s="253"/>
      <c r="EQ45" s="253"/>
      <c r="ER45" s="253"/>
      <c r="ES45" s="253"/>
      <c r="ET45" s="253"/>
      <c r="EU45" s="253"/>
      <c r="EV45" s="253"/>
      <c r="EW45" s="253"/>
      <c r="EX45" s="253"/>
      <c r="EY45" s="253"/>
      <c r="EZ45" s="253"/>
      <c r="FA45" s="253"/>
      <c r="FB45" s="253"/>
      <c r="FC45" s="253"/>
      <c r="FD45" s="253"/>
      <c r="FE45" s="253"/>
      <c r="FF45" s="253"/>
      <c r="FG45" s="253"/>
      <c r="FH45" s="253"/>
      <c r="FI45" s="253"/>
      <c r="FJ45" s="253"/>
      <c r="FK45" s="253"/>
      <c r="FL45" s="253"/>
      <c r="FM45" s="253"/>
      <c r="FN45" s="256"/>
      <c r="FO45" s="257" t="s">
        <v>1270</v>
      </c>
      <c r="FP45" s="258" t="s">
        <v>389</v>
      </c>
      <c r="FQ45" s="258"/>
      <c r="FR45" s="258" t="s">
        <v>837</v>
      </c>
      <c r="FS45" s="259">
        <f t="shared" si="4"/>
        <v>30</v>
      </c>
      <c r="FT45" s="260" t="s">
        <v>414</v>
      </c>
    </row>
    <row r="46" spans="1:176" s="260" customFormat="1">
      <c r="A46" s="251" t="s">
        <v>393</v>
      </c>
      <c r="B46" s="251" t="s">
        <v>385</v>
      </c>
      <c r="C46" s="251" t="s">
        <v>411</v>
      </c>
      <c r="D46" s="251" t="s">
        <v>1</v>
      </c>
      <c r="E46" s="252" t="s">
        <v>836</v>
      </c>
      <c r="F46" s="251" t="s">
        <v>388</v>
      </c>
      <c r="G46" s="251"/>
      <c r="H46" s="253"/>
      <c r="I46" s="253"/>
      <c r="J46" s="253"/>
      <c r="K46" s="253"/>
      <c r="L46" s="253"/>
      <c r="M46" s="253"/>
      <c r="N46" s="253"/>
      <c r="O46" s="253"/>
      <c r="P46" s="253"/>
      <c r="Q46" s="253"/>
      <c r="R46" s="253"/>
      <c r="S46" s="253"/>
      <c r="T46" s="253"/>
      <c r="U46" s="253"/>
      <c r="V46" s="253"/>
      <c r="W46" s="253"/>
      <c r="X46" s="253"/>
      <c r="Y46" s="253"/>
      <c r="Z46" s="253"/>
      <c r="AA46" s="253"/>
      <c r="AB46" s="253"/>
      <c r="AC46" s="253"/>
      <c r="AD46" s="253"/>
      <c r="AE46" s="253"/>
      <c r="AF46" s="253"/>
      <c r="AG46" s="253"/>
      <c r="AH46" s="253"/>
      <c r="AI46" s="253"/>
      <c r="AJ46" s="253"/>
      <c r="AK46" s="253"/>
      <c r="AL46" s="253"/>
      <c r="AM46" s="253"/>
      <c r="AN46" s="253"/>
      <c r="AO46" s="253"/>
      <c r="AP46" s="253"/>
      <c r="AQ46" s="253"/>
      <c r="AR46" s="253"/>
      <c r="AS46" s="253"/>
      <c r="AT46" s="253"/>
      <c r="AU46" s="253"/>
      <c r="AV46" s="253"/>
      <c r="AW46" s="253"/>
      <c r="AX46" s="253"/>
      <c r="AY46" s="253"/>
      <c r="AZ46" s="253"/>
      <c r="BA46" s="253"/>
      <c r="BB46" s="253"/>
      <c r="BC46" s="253"/>
      <c r="BD46" s="253"/>
      <c r="BE46" s="253"/>
      <c r="BF46" s="253"/>
      <c r="BG46" s="253"/>
      <c r="BH46" s="253"/>
      <c r="BI46" s="253"/>
      <c r="BJ46" s="253"/>
      <c r="BK46" s="253"/>
      <c r="BL46" s="253"/>
      <c r="BM46" s="253"/>
      <c r="BN46" s="253"/>
      <c r="BO46" s="253"/>
      <c r="BP46" s="253"/>
      <c r="BQ46" s="253"/>
      <c r="BR46" s="253"/>
      <c r="BS46" s="253"/>
      <c r="BT46" s="253"/>
      <c r="BU46" s="253"/>
      <c r="BV46" s="253"/>
      <c r="BW46" s="253"/>
      <c r="BX46" s="253"/>
      <c r="BY46" s="253"/>
      <c r="BZ46" s="253"/>
      <c r="CA46" s="253"/>
      <c r="CB46" s="253"/>
      <c r="CC46" s="253"/>
      <c r="CD46" s="253"/>
      <c r="CE46" s="253"/>
      <c r="CF46" s="253"/>
      <c r="CG46" s="253"/>
      <c r="CH46" s="253"/>
      <c r="CI46" s="253"/>
      <c r="CJ46" s="253"/>
      <c r="CK46" s="253"/>
      <c r="CL46" s="253"/>
      <c r="CM46" s="253"/>
      <c r="CN46" s="253"/>
      <c r="CO46" s="253"/>
      <c r="CP46" s="253"/>
      <c r="CQ46" s="253"/>
      <c r="CR46" s="253"/>
      <c r="CS46" s="253"/>
      <c r="CT46" s="253"/>
      <c r="CU46" s="253"/>
      <c r="CV46" s="253"/>
      <c r="CW46" s="253"/>
      <c r="CX46" s="253"/>
      <c r="CY46" s="253"/>
      <c r="CZ46" s="253"/>
      <c r="DA46" s="253"/>
      <c r="DB46" s="253"/>
      <c r="DC46" s="253"/>
      <c r="DD46" s="253"/>
      <c r="DE46" s="253"/>
      <c r="DF46" s="253"/>
      <c r="DG46" s="253"/>
      <c r="DH46" s="253"/>
      <c r="DI46" s="253"/>
      <c r="DJ46" s="253"/>
      <c r="DK46" s="253"/>
      <c r="DL46" s="253"/>
      <c r="DM46" s="253"/>
      <c r="DN46" s="253"/>
      <c r="DO46" s="253"/>
      <c r="DP46" s="253"/>
      <c r="DQ46" s="253"/>
      <c r="DR46" s="253"/>
      <c r="DS46" s="253"/>
      <c r="DT46" s="253"/>
      <c r="DU46" s="253"/>
      <c r="DV46" s="253"/>
      <c r="DW46" s="253"/>
      <c r="DX46" s="253"/>
      <c r="DY46" s="253"/>
      <c r="DZ46" s="253"/>
      <c r="EA46" s="253"/>
      <c r="EB46" s="253"/>
      <c r="EC46" s="253"/>
      <c r="ED46" s="253"/>
      <c r="EE46" s="253"/>
      <c r="EF46" s="253"/>
      <c r="EG46" s="253"/>
      <c r="EH46" s="253"/>
      <c r="EI46" s="253"/>
      <c r="EJ46" s="253"/>
      <c r="EK46" s="253"/>
      <c r="EL46" s="253"/>
      <c r="EM46" s="253"/>
      <c r="EN46" s="253"/>
      <c r="EO46" s="253"/>
      <c r="EP46" s="253"/>
      <c r="EQ46" s="253"/>
      <c r="ER46" s="253"/>
      <c r="ES46" s="253"/>
      <c r="ET46" s="253"/>
      <c r="EU46" s="253"/>
      <c r="EV46" s="253"/>
      <c r="EW46" s="253"/>
      <c r="EX46" s="253"/>
      <c r="EY46" s="253"/>
      <c r="EZ46" s="253"/>
      <c r="FA46" s="253"/>
      <c r="FB46" s="253"/>
      <c r="FC46" s="253"/>
      <c r="FD46" s="253"/>
      <c r="FE46" s="253"/>
      <c r="FF46" s="253"/>
      <c r="FG46" s="253"/>
      <c r="FH46" s="255">
        <f>250-250</f>
        <v>0</v>
      </c>
      <c r="FI46" s="253"/>
      <c r="FJ46" s="253"/>
      <c r="FK46" s="253"/>
      <c r="FL46" s="253"/>
      <c r="FM46" s="253"/>
      <c r="FN46" s="256"/>
      <c r="FO46" s="257" t="s">
        <v>1270</v>
      </c>
      <c r="FP46" s="258" t="s">
        <v>389</v>
      </c>
      <c r="FQ46" s="258"/>
      <c r="FR46" s="258" t="s">
        <v>837</v>
      </c>
      <c r="FS46" s="259">
        <f t="shared" si="4"/>
        <v>0</v>
      </c>
      <c r="FT46" s="260" t="s">
        <v>414</v>
      </c>
    </row>
    <row r="47" spans="1:176" s="260" customFormat="1">
      <c r="A47" s="251" t="s">
        <v>393</v>
      </c>
      <c r="B47" s="251" t="s">
        <v>385</v>
      </c>
      <c r="C47" s="251" t="s">
        <v>411</v>
      </c>
      <c r="D47" s="251" t="s">
        <v>291</v>
      </c>
      <c r="E47" s="252" t="s">
        <v>897</v>
      </c>
      <c r="F47" s="251" t="s">
        <v>388</v>
      </c>
      <c r="G47" s="251"/>
      <c r="H47" s="253"/>
      <c r="I47" s="253"/>
      <c r="J47" s="253"/>
      <c r="K47" s="253"/>
      <c r="L47" s="253"/>
      <c r="M47" s="253"/>
      <c r="N47" s="253"/>
      <c r="O47" s="253"/>
      <c r="P47" s="253"/>
      <c r="Q47" s="253"/>
      <c r="R47" s="253"/>
      <c r="S47" s="253"/>
      <c r="T47" s="253"/>
      <c r="U47" s="253"/>
      <c r="V47" s="253"/>
      <c r="W47" s="253"/>
      <c r="X47" s="253"/>
      <c r="Y47" s="253"/>
      <c r="Z47" s="253"/>
      <c r="AA47" s="253"/>
      <c r="AB47" s="253"/>
      <c r="AC47" s="253"/>
      <c r="AD47" s="255">
        <f>300-300</f>
        <v>0</v>
      </c>
      <c r="AE47" s="253"/>
      <c r="AF47" s="253"/>
      <c r="AG47" s="253"/>
      <c r="AH47" s="253"/>
      <c r="AI47" s="253"/>
      <c r="AJ47" s="253"/>
      <c r="AK47" s="253"/>
      <c r="AL47" s="253"/>
      <c r="AM47" s="253"/>
      <c r="AN47" s="254">
        <f>300-300+10</f>
        <v>10</v>
      </c>
      <c r="AO47" s="253"/>
      <c r="AP47" s="253"/>
      <c r="AQ47" s="253"/>
      <c r="AR47" s="253"/>
      <c r="AS47" s="253"/>
      <c r="AT47" s="253"/>
      <c r="AU47" s="253"/>
      <c r="AV47" s="253"/>
      <c r="AW47" s="253"/>
      <c r="AX47" s="253"/>
      <c r="AY47" s="253"/>
      <c r="AZ47" s="253"/>
      <c r="BA47" s="253"/>
      <c r="BB47" s="254">
        <f>500-500+20</f>
        <v>20</v>
      </c>
      <c r="BC47" s="253"/>
      <c r="BD47" s="253"/>
      <c r="BE47" s="253"/>
      <c r="BF47" s="253"/>
      <c r="BG47" s="253"/>
      <c r="BH47" s="253"/>
      <c r="BI47" s="253"/>
      <c r="BJ47" s="253"/>
      <c r="BK47" s="253"/>
      <c r="BL47" s="253"/>
      <c r="BM47" s="253"/>
      <c r="BN47" s="253"/>
      <c r="BO47" s="253"/>
      <c r="BP47" s="253"/>
      <c r="BQ47" s="253"/>
      <c r="BR47" s="253"/>
      <c r="BS47" s="253"/>
      <c r="BT47" s="253"/>
      <c r="BU47" s="253"/>
      <c r="BV47" s="253"/>
      <c r="BW47" s="253"/>
      <c r="BX47" s="253"/>
      <c r="BY47" s="253"/>
      <c r="BZ47" s="253"/>
      <c r="CA47" s="253"/>
      <c r="CB47" s="253"/>
      <c r="CC47" s="253"/>
      <c r="CD47" s="253"/>
      <c r="CE47" s="253"/>
      <c r="CF47" s="253"/>
      <c r="CG47" s="253"/>
      <c r="CH47" s="253"/>
      <c r="CI47" s="253"/>
      <c r="CJ47" s="253"/>
      <c r="CK47" s="253"/>
      <c r="CL47" s="253"/>
      <c r="CM47" s="253"/>
      <c r="CN47" s="253"/>
      <c r="CO47" s="253"/>
      <c r="CP47" s="253"/>
      <c r="CQ47" s="253"/>
      <c r="CR47" s="253"/>
      <c r="CS47" s="253"/>
      <c r="CT47" s="253"/>
      <c r="CU47" s="253"/>
      <c r="CV47" s="253"/>
      <c r="CW47" s="253"/>
      <c r="CX47" s="253"/>
      <c r="CY47" s="253"/>
      <c r="CZ47" s="253"/>
      <c r="DA47" s="253"/>
      <c r="DB47" s="253"/>
      <c r="DC47" s="253"/>
      <c r="DD47" s="253"/>
      <c r="DE47" s="253"/>
      <c r="DF47" s="253"/>
      <c r="DG47" s="253"/>
      <c r="DH47" s="253"/>
      <c r="DI47" s="253"/>
      <c r="DJ47" s="253"/>
      <c r="DK47" s="253"/>
      <c r="DL47" s="253"/>
      <c r="DM47" s="253"/>
      <c r="DN47" s="253"/>
      <c r="DO47" s="253"/>
      <c r="DP47" s="253"/>
      <c r="DQ47" s="253"/>
      <c r="DR47" s="253"/>
      <c r="DS47" s="253"/>
      <c r="DT47" s="253"/>
      <c r="DU47" s="253"/>
      <c r="DV47" s="253"/>
      <c r="DW47" s="253"/>
      <c r="DX47" s="253"/>
      <c r="DY47" s="253"/>
      <c r="DZ47" s="253"/>
      <c r="EA47" s="253"/>
      <c r="EB47" s="253"/>
      <c r="EC47" s="253"/>
      <c r="ED47" s="253"/>
      <c r="EE47" s="253"/>
      <c r="EF47" s="253"/>
      <c r="EG47" s="253"/>
      <c r="EH47" s="253"/>
      <c r="EI47" s="253"/>
      <c r="EJ47" s="253"/>
      <c r="EK47" s="253"/>
      <c r="EL47" s="253"/>
      <c r="EM47" s="253"/>
      <c r="EN47" s="253"/>
      <c r="EO47" s="253"/>
      <c r="EP47" s="253"/>
      <c r="EQ47" s="253"/>
      <c r="ER47" s="253"/>
      <c r="ES47" s="253"/>
      <c r="ET47" s="253"/>
      <c r="EU47" s="253"/>
      <c r="EV47" s="253"/>
      <c r="EW47" s="253"/>
      <c r="EX47" s="253"/>
      <c r="EY47" s="253"/>
      <c r="EZ47" s="253"/>
      <c r="FA47" s="253"/>
      <c r="FB47" s="253"/>
      <c r="FC47" s="253"/>
      <c r="FD47" s="253"/>
      <c r="FE47" s="253"/>
      <c r="FF47" s="253"/>
      <c r="FG47" s="253"/>
      <c r="FH47" s="253"/>
      <c r="FI47" s="253"/>
      <c r="FJ47" s="253"/>
      <c r="FK47" s="253"/>
      <c r="FL47" s="253"/>
      <c r="FM47" s="253"/>
      <c r="FN47" s="256"/>
      <c r="FO47" s="257" t="s">
        <v>1270</v>
      </c>
      <c r="FP47" s="258" t="s">
        <v>389</v>
      </c>
      <c r="FQ47" s="258" t="s">
        <v>899</v>
      </c>
      <c r="FR47" s="258" t="s">
        <v>900</v>
      </c>
      <c r="FS47" s="259">
        <f t="shared" si="4"/>
        <v>30</v>
      </c>
      <c r="FT47" s="260" t="s">
        <v>421</v>
      </c>
    </row>
    <row r="48" spans="1:176" s="260" customFormat="1">
      <c r="A48" s="251" t="s">
        <v>393</v>
      </c>
      <c r="B48" s="251" t="s">
        <v>385</v>
      </c>
      <c r="C48" s="251" t="s">
        <v>411</v>
      </c>
      <c r="D48" s="251" t="s">
        <v>1</v>
      </c>
      <c r="E48" s="252" t="s">
        <v>897</v>
      </c>
      <c r="F48" s="251" t="s">
        <v>388</v>
      </c>
      <c r="G48" s="251"/>
      <c r="H48" s="253"/>
      <c r="I48" s="253"/>
      <c r="J48" s="253"/>
      <c r="K48" s="253"/>
      <c r="L48" s="253"/>
      <c r="M48" s="253"/>
      <c r="N48" s="253"/>
      <c r="O48" s="253"/>
      <c r="P48" s="253"/>
      <c r="Q48" s="253"/>
      <c r="R48" s="253"/>
      <c r="S48" s="253"/>
      <c r="T48" s="253"/>
      <c r="U48" s="253"/>
      <c r="V48" s="253"/>
      <c r="W48" s="253"/>
      <c r="X48" s="253"/>
      <c r="Y48" s="253"/>
      <c r="Z48" s="253"/>
      <c r="AA48" s="253"/>
      <c r="AB48" s="255">
        <f>200-200</f>
        <v>0</v>
      </c>
      <c r="AC48" s="253"/>
      <c r="AD48" s="253"/>
      <c r="AE48" s="253"/>
      <c r="AF48" s="253"/>
      <c r="AG48" s="253"/>
      <c r="AH48" s="253"/>
      <c r="AI48" s="253"/>
      <c r="AJ48" s="253"/>
      <c r="AK48" s="253"/>
      <c r="AL48" s="253"/>
      <c r="AM48" s="253"/>
      <c r="AN48" s="253"/>
      <c r="AO48" s="253"/>
      <c r="AP48" s="253"/>
      <c r="AQ48" s="253"/>
      <c r="AR48" s="253"/>
      <c r="AS48" s="255">
        <f>300-300</f>
        <v>0</v>
      </c>
      <c r="AT48" s="253"/>
      <c r="AU48" s="253"/>
      <c r="AV48" s="253"/>
      <c r="AW48" s="253"/>
      <c r="AX48" s="255">
        <f>500-500</f>
        <v>0</v>
      </c>
      <c r="AY48" s="253"/>
      <c r="AZ48" s="253"/>
      <c r="BA48" s="253"/>
      <c r="BB48" s="253"/>
      <c r="BC48" s="253"/>
      <c r="BD48" s="253"/>
      <c r="BE48" s="253"/>
      <c r="BF48" s="253"/>
      <c r="BG48" s="253"/>
      <c r="BH48" s="253"/>
      <c r="BI48" s="253"/>
      <c r="BJ48" s="253"/>
      <c r="BK48" s="253"/>
      <c r="BL48" s="253"/>
      <c r="BM48" s="253"/>
      <c r="BN48" s="253"/>
      <c r="BO48" s="253"/>
      <c r="BP48" s="253"/>
      <c r="BQ48" s="253"/>
      <c r="BR48" s="253"/>
      <c r="BS48" s="253"/>
      <c r="BT48" s="253"/>
      <c r="BU48" s="253"/>
      <c r="BV48" s="253"/>
      <c r="BW48" s="253"/>
      <c r="BX48" s="253"/>
      <c r="BY48" s="253"/>
      <c r="BZ48" s="253"/>
      <c r="CA48" s="253"/>
      <c r="CB48" s="253"/>
      <c r="CC48" s="253"/>
      <c r="CD48" s="253"/>
      <c r="CE48" s="253"/>
      <c r="CF48" s="253"/>
      <c r="CG48" s="253"/>
      <c r="CH48" s="253"/>
      <c r="CI48" s="253"/>
      <c r="CJ48" s="253"/>
      <c r="CK48" s="253"/>
      <c r="CL48" s="253"/>
      <c r="CM48" s="253"/>
      <c r="CN48" s="253"/>
      <c r="CO48" s="253"/>
      <c r="CP48" s="253"/>
      <c r="CQ48" s="253"/>
      <c r="CR48" s="253"/>
      <c r="CS48" s="253"/>
      <c r="CT48" s="253"/>
      <c r="CU48" s="253"/>
      <c r="CV48" s="253"/>
      <c r="CW48" s="253"/>
      <c r="CX48" s="253"/>
      <c r="CY48" s="253"/>
      <c r="CZ48" s="253"/>
      <c r="DA48" s="253"/>
      <c r="DB48" s="253"/>
      <c r="DC48" s="253"/>
      <c r="DD48" s="253"/>
      <c r="DE48" s="253"/>
      <c r="DF48" s="253"/>
      <c r="DG48" s="253"/>
      <c r="DH48" s="253"/>
      <c r="DI48" s="253"/>
      <c r="DJ48" s="253"/>
      <c r="DK48" s="253"/>
      <c r="DL48" s="253"/>
      <c r="DM48" s="253"/>
      <c r="DN48" s="253"/>
      <c r="DO48" s="253"/>
      <c r="DP48" s="253"/>
      <c r="DQ48" s="253"/>
      <c r="DR48" s="253"/>
      <c r="DS48" s="253"/>
      <c r="DT48" s="253"/>
      <c r="DU48" s="253"/>
      <c r="DV48" s="253"/>
      <c r="DW48" s="253"/>
      <c r="DX48" s="253"/>
      <c r="DY48" s="253"/>
      <c r="DZ48" s="253"/>
      <c r="EA48" s="253"/>
      <c r="EB48" s="253"/>
      <c r="EC48" s="253"/>
      <c r="ED48" s="253"/>
      <c r="EE48" s="253"/>
      <c r="EF48" s="253"/>
      <c r="EG48" s="253"/>
      <c r="EH48" s="253"/>
      <c r="EI48" s="253"/>
      <c r="EJ48" s="253"/>
      <c r="EK48" s="253"/>
      <c r="EL48" s="253"/>
      <c r="EM48" s="253"/>
      <c r="EN48" s="253"/>
      <c r="EO48" s="253"/>
      <c r="EP48" s="253"/>
      <c r="EQ48" s="253"/>
      <c r="ER48" s="253"/>
      <c r="ES48" s="253"/>
      <c r="ET48" s="253"/>
      <c r="EU48" s="253"/>
      <c r="EV48" s="253"/>
      <c r="EW48" s="253"/>
      <c r="EX48" s="253"/>
      <c r="EY48" s="253"/>
      <c r="EZ48" s="253"/>
      <c r="FA48" s="253"/>
      <c r="FB48" s="253"/>
      <c r="FC48" s="253"/>
      <c r="FD48" s="253"/>
      <c r="FE48" s="253"/>
      <c r="FF48" s="253"/>
      <c r="FG48" s="253"/>
      <c r="FH48" s="253"/>
      <c r="FI48" s="253"/>
      <c r="FJ48" s="253"/>
      <c r="FK48" s="253"/>
      <c r="FL48" s="253"/>
      <c r="FM48" s="253"/>
      <c r="FN48" s="256"/>
      <c r="FO48" s="257" t="s">
        <v>1270</v>
      </c>
      <c r="FP48" s="258" t="s">
        <v>389</v>
      </c>
      <c r="FQ48" s="258" t="s">
        <v>899</v>
      </c>
      <c r="FR48" s="258" t="s">
        <v>900</v>
      </c>
      <c r="FS48" s="259">
        <f t="shared" si="4"/>
        <v>0</v>
      </c>
      <c r="FT48" s="260" t="s">
        <v>421</v>
      </c>
    </row>
    <row r="49" spans="1:176" s="260" customFormat="1">
      <c r="A49" s="251" t="s">
        <v>393</v>
      </c>
      <c r="B49" s="251" t="s">
        <v>392</v>
      </c>
      <c r="C49" s="251" t="s">
        <v>411</v>
      </c>
      <c r="D49" s="251" t="s">
        <v>291</v>
      </c>
      <c r="E49" s="252" t="s">
        <v>904</v>
      </c>
      <c r="F49" s="251" t="s">
        <v>388</v>
      </c>
      <c r="G49" s="251"/>
      <c r="H49" s="253"/>
      <c r="I49" s="253"/>
      <c r="J49" s="253"/>
      <c r="K49" s="253"/>
      <c r="L49" s="254">
        <f>20-20+20</f>
        <v>20</v>
      </c>
      <c r="M49" s="253"/>
      <c r="N49" s="253"/>
      <c r="O49" s="253"/>
      <c r="P49" s="253"/>
      <c r="Q49" s="253"/>
      <c r="R49" s="253"/>
      <c r="S49" s="253"/>
      <c r="T49" s="253"/>
      <c r="U49" s="253"/>
      <c r="V49" s="253"/>
      <c r="W49" s="253"/>
      <c r="X49" s="253"/>
      <c r="Y49" s="253"/>
      <c r="Z49" s="253"/>
      <c r="AA49" s="253"/>
      <c r="AB49" s="253"/>
      <c r="AC49" s="253"/>
      <c r="AD49" s="253"/>
      <c r="AE49" s="253"/>
      <c r="AF49" s="255">
        <f>20-20</f>
        <v>0</v>
      </c>
      <c r="AG49" s="255">
        <f>100-100</f>
        <v>0</v>
      </c>
      <c r="AH49" s="253"/>
      <c r="AI49" s="253"/>
      <c r="AJ49" s="253"/>
      <c r="AK49" s="253"/>
      <c r="AL49" s="253"/>
      <c r="AM49" s="253"/>
      <c r="AN49" s="253"/>
      <c r="AO49" s="253"/>
      <c r="AP49" s="253"/>
      <c r="AQ49" s="253"/>
      <c r="AR49" s="253"/>
      <c r="AS49" s="253"/>
      <c r="AT49" s="253"/>
      <c r="AU49" s="253"/>
      <c r="AV49" s="253"/>
      <c r="AW49" s="253"/>
      <c r="AX49" s="253"/>
      <c r="AY49" s="253"/>
      <c r="AZ49" s="253"/>
      <c r="BA49" s="253"/>
      <c r="BB49" s="254">
        <f>100-100+20</f>
        <v>20</v>
      </c>
      <c r="BC49" s="253"/>
      <c r="BD49" s="253"/>
      <c r="BE49" s="253"/>
      <c r="BF49" s="253"/>
      <c r="BG49" s="253"/>
      <c r="BH49" s="253"/>
      <c r="BI49" s="253"/>
      <c r="BJ49" s="253"/>
      <c r="BK49" s="253"/>
      <c r="BL49" s="253"/>
      <c r="BM49" s="253"/>
      <c r="BN49" s="253"/>
      <c r="BO49" s="253"/>
      <c r="BP49" s="253"/>
      <c r="BQ49" s="253"/>
      <c r="BR49" s="253"/>
      <c r="BS49" s="253"/>
      <c r="BT49" s="253"/>
      <c r="BU49" s="253"/>
      <c r="BV49" s="253"/>
      <c r="BW49" s="253"/>
      <c r="BX49" s="253"/>
      <c r="BY49" s="253"/>
      <c r="BZ49" s="253"/>
      <c r="CA49" s="253"/>
      <c r="CB49" s="253"/>
      <c r="CC49" s="253"/>
      <c r="CD49" s="253"/>
      <c r="CE49" s="253"/>
      <c r="CF49" s="253"/>
      <c r="CG49" s="253"/>
      <c r="CH49" s="253"/>
      <c r="CI49" s="253"/>
      <c r="CJ49" s="253"/>
      <c r="CK49" s="253"/>
      <c r="CL49" s="253"/>
      <c r="CM49" s="253"/>
      <c r="CN49" s="253"/>
      <c r="CO49" s="253"/>
      <c r="CP49" s="253"/>
      <c r="CQ49" s="253"/>
      <c r="CR49" s="253"/>
      <c r="CS49" s="253"/>
      <c r="CT49" s="253"/>
      <c r="CU49" s="253"/>
      <c r="CV49" s="253"/>
      <c r="CW49" s="253"/>
      <c r="CX49" s="253"/>
      <c r="CY49" s="253"/>
      <c r="CZ49" s="253"/>
      <c r="DA49" s="253"/>
      <c r="DB49" s="253"/>
      <c r="DC49" s="253"/>
      <c r="DD49" s="253"/>
      <c r="DE49" s="253"/>
      <c r="DF49" s="253"/>
      <c r="DG49" s="253"/>
      <c r="DH49" s="253"/>
      <c r="DI49" s="253"/>
      <c r="DJ49" s="253"/>
      <c r="DK49" s="253"/>
      <c r="DL49" s="253"/>
      <c r="DM49" s="253"/>
      <c r="DN49" s="253"/>
      <c r="DO49" s="253"/>
      <c r="DP49" s="253"/>
      <c r="DQ49" s="253"/>
      <c r="DR49" s="253"/>
      <c r="DS49" s="253"/>
      <c r="DT49" s="253"/>
      <c r="DU49" s="253"/>
      <c r="DV49" s="253"/>
      <c r="DW49" s="253"/>
      <c r="DX49" s="253"/>
      <c r="DY49" s="253"/>
      <c r="DZ49" s="253"/>
      <c r="EA49" s="253"/>
      <c r="EB49" s="253"/>
      <c r="EC49" s="253"/>
      <c r="ED49" s="253"/>
      <c r="EE49" s="253"/>
      <c r="EF49" s="253"/>
      <c r="EG49" s="253"/>
      <c r="EH49" s="253"/>
      <c r="EI49" s="253"/>
      <c r="EJ49" s="253"/>
      <c r="EK49" s="253"/>
      <c r="EL49" s="253"/>
      <c r="EM49" s="253"/>
      <c r="EN49" s="253"/>
      <c r="EO49" s="253"/>
      <c r="EP49" s="253"/>
      <c r="EQ49" s="253"/>
      <c r="ER49" s="253"/>
      <c r="ES49" s="253"/>
      <c r="ET49" s="253"/>
      <c r="EU49" s="253"/>
      <c r="EV49" s="253"/>
      <c r="EW49" s="253"/>
      <c r="EX49" s="253"/>
      <c r="EY49" s="253"/>
      <c r="EZ49" s="253"/>
      <c r="FA49" s="253"/>
      <c r="FB49" s="253"/>
      <c r="FC49" s="253"/>
      <c r="FD49" s="253"/>
      <c r="FE49" s="253"/>
      <c r="FF49" s="253"/>
      <c r="FG49" s="253"/>
      <c r="FH49" s="253"/>
      <c r="FI49" s="253"/>
      <c r="FJ49" s="253"/>
      <c r="FK49" s="253"/>
      <c r="FL49" s="253"/>
      <c r="FM49" s="253"/>
      <c r="FN49" s="256"/>
      <c r="FO49" s="257" t="s">
        <v>1270</v>
      </c>
      <c r="FP49" s="258" t="s">
        <v>389</v>
      </c>
      <c r="FQ49" s="258" t="s">
        <v>906</v>
      </c>
      <c r="FR49" s="258" t="s">
        <v>420</v>
      </c>
      <c r="FS49" s="259">
        <f t="shared" si="4"/>
        <v>40</v>
      </c>
      <c r="FT49" s="260" t="s">
        <v>421</v>
      </c>
    </row>
    <row r="50" spans="1:176" s="260" customFormat="1">
      <c r="A50" s="251" t="s">
        <v>393</v>
      </c>
      <c r="B50" s="251" t="s">
        <v>392</v>
      </c>
      <c r="C50" s="251" t="s">
        <v>411</v>
      </c>
      <c r="D50" s="251" t="s">
        <v>1</v>
      </c>
      <c r="E50" s="252" t="s">
        <v>904</v>
      </c>
      <c r="F50" s="251" t="s">
        <v>388</v>
      </c>
      <c r="G50" s="251"/>
      <c r="H50" s="253"/>
      <c r="I50" s="253"/>
      <c r="J50" s="253"/>
      <c r="K50" s="253"/>
      <c r="L50" s="253"/>
      <c r="M50" s="253"/>
      <c r="N50" s="255">
        <f>20-20</f>
        <v>0</v>
      </c>
      <c r="O50" s="253"/>
      <c r="P50" s="253"/>
      <c r="Q50" s="253"/>
      <c r="R50" s="253"/>
      <c r="S50" s="253"/>
      <c r="T50" s="253"/>
      <c r="U50" s="253"/>
      <c r="V50" s="253"/>
      <c r="W50" s="253"/>
      <c r="X50" s="253"/>
      <c r="Y50" s="253"/>
      <c r="Z50" s="253"/>
      <c r="AA50" s="253"/>
      <c r="AB50" s="253"/>
      <c r="AC50" s="253"/>
      <c r="AD50" s="253"/>
      <c r="AE50" s="253"/>
      <c r="AF50" s="253"/>
      <c r="AG50" s="253"/>
      <c r="AH50" s="253"/>
      <c r="AI50" s="253"/>
      <c r="AJ50" s="253"/>
      <c r="AK50" s="253"/>
      <c r="AL50" s="253"/>
      <c r="AM50" s="253"/>
      <c r="AN50" s="253"/>
      <c r="AO50" s="253"/>
      <c r="AP50" s="253"/>
      <c r="AQ50" s="253"/>
      <c r="AR50" s="253"/>
      <c r="AS50" s="254">
        <f>100-100+10</f>
        <v>10</v>
      </c>
      <c r="AT50" s="253"/>
      <c r="AU50" s="253"/>
      <c r="AV50" s="253"/>
      <c r="AW50" s="253"/>
      <c r="AX50" s="253"/>
      <c r="AY50" s="253"/>
      <c r="AZ50" s="253"/>
      <c r="BA50" s="253"/>
      <c r="BB50" s="253"/>
      <c r="BC50" s="253"/>
      <c r="BD50" s="253"/>
      <c r="BE50" s="253"/>
      <c r="BF50" s="253"/>
      <c r="BG50" s="253"/>
      <c r="BH50" s="253"/>
      <c r="BI50" s="253"/>
      <c r="BJ50" s="253"/>
      <c r="BK50" s="253"/>
      <c r="BL50" s="253"/>
      <c r="BM50" s="253"/>
      <c r="BN50" s="253"/>
      <c r="BO50" s="253"/>
      <c r="BP50" s="253"/>
      <c r="BQ50" s="253"/>
      <c r="BR50" s="253"/>
      <c r="BS50" s="253"/>
      <c r="BT50" s="253"/>
      <c r="BU50" s="253"/>
      <c r="BV50" s="253"/>
      <c r="BW50" s="253"/>
      <c r="BX50" s="253"/>
      <c r="BY50" s="253"/>
      <c r="BZ50" s="253"/>
      <c r="CA50" s="253"/>
      <c r="CB50" s="253"/>
      <c r="CC50" s="253"/>
      <c r="CD50" s="253"/>
      <c r="CE50" s="253"/>
      <c r="CF50" s="253"/>
      <c r="CG50" s="253"/>
      <c r="CH50" s="253"/>
      <c r="CI50" s="253"/>
      <c r="CJ50" s="253"/>
      <c r="CK50" s="253"/>
      <c r="CL50" s="253"/>
      <c r="CM50" s="253"/>
      <c r="CN50" s="253"/>
      <c r="CO50" s="253"/>
      <c r="CP50" s="253"/>
      <c r="CQ50" s="253"/>
      <c r="CR50" s="253"/>
      <c r="CS50" s="253"/>
      <c r="CT50" s="253"/>
      <c r="CU50" s="253"/>
      <c r="CV50" s="253"/>
      <c r="CW50" s="253"/>
      <c r="CX50" s="253"/>
      <c r="CY50" s="253"/>
      <c r="CZ50" s="253"/>
      <c r="DA50" s="253"/>
      <c r="DB50" s="253"/>
      <c r="DC50" s="253"/>
      <c r="DD50" s="253"/>
      <c r="DE50" s="253"/>
      <c r="DF50" s="253"/>
      <c r="DG50" s="253"/>
      <c r="DH50" s="253"/>
      <c r="DI50" s="253"/>
      <c r="DJ50" s="253"/>
      <c r="DK50" s="253"/>
      <c r="DL50" s="253"/>
      <c r="DM50" s="253"/>
      <c r="DN50" s="253"/>
      <c r="DO50" s="253"/>
      <c r="DP50" s="253"/>
      <c r="DQ50" s="253"/>
      <c r="DR50" s="253"/>
      <c r="DS50" s="253"/>
      <c r="DT50" s="253"/>
      <c r="DU50" s="253"/>
      <c r="DV50" s="253"/>
      <c r="DW50" s="253"/>
      <c r="DX50" s="253"/>
      <c r="DY50" s="253"/>
      <c r="DZ50" s="253"/>
      <c r="EA50" s="253"/>
      <c r="EB50" s="253"/>
      <c r="EC50" s="253"/>
      <c r="ED50" s="253"/>
      <c r="EE50" s="253"/>
      <c r="EF50" s="253"/>
      <c r="EG50" s="253"/>
      <c r="EH50" s="253"/>
      <c r="EI50" s="253"/>
      <c r="EJ50" s="253"/>
      <c r="EK50" s="253"/>
      <c r="EL50" s="255">
        <f>700-700</f>
        <v>0</v>
      </c>
      <c r="EM50" s="253"/>
      <c r="EN50" s="253"/>
      <c r="EO50" s="253"/>
      <c r="EP50" s="253"/>
      <c r="EQ50" s="253"/>
      <c r="ER50" s="253"/>
      <c r="ES50" s="253"/>
      <c r="ET50" s="253"/>
      <c r="EU50" s="253"/>
      <c r="EV50" s="253"/>
      <c r="EW50" s="253"/>
      <c r="EX50" s="253"/>
      <c r="EY50" s="253"/>
      <c r="EZ50" s="253"/>
      <c r="FA50" s="253"/>
      <c r="FB50" s="253"/>
      <c r="FC50" s="253"/>
      <c r="FD50" s="253"/>
      <c r="FE50" s="253"/>
      <c r="FF50" s="253"/>
      <c r="FG50" s="253"/>
      <c r="FH50" s="255">
        <f>700-700</f>
        <v>0</v>
      </c>
      <c r="FI50" s="253"/>
      <c r="FJ50" s="253"/>
      <c r="FK50" s="253"/>
      <c r="FL50" s="253"/>
      <c r="FM50" s="253"/>
      <c r="FN50" s="256"/>
      <c r="FO50" s="257" t="s">
        <v>1270</v>
      </c>
      <c r="FP50" s="258" t="s">
        <v>389</v>
      </c>
      <c r="FQ50" s="258" t="s">
        <v>906</v>
      </c>
      <c r="FR50" s="258" t="s">
        <v>420</v>
      </c>
      <c r="FS50" s="259">
        <f t="shared" si="4"/>
        <v>10</v>
      </c>
      <c r="FT50" s="260" t="s">
        <v>421</v>
      </c>
    </row>
    <row r="51" spans="1:176" s="260" customFormat="1">
      <c r="A51" s="251" t="s">
        <v>393</v>
      </c>
      <c r="B51" s="251" t="s">
        <v>385</v>
      </c>
      <c r="C51" s="251" t="s">
        <v>411</v>
      </c>
      <c r="D51" s="251" t="s">
        <v>291</v>
      </c>
      <c r="E51" s="252" t="s">
        <v>422</v>
      </c>
      <c r="F51" s="251" t="s">
        <v>388</v>
      </c>
      <c r="G51" s="251"/>
      <c r="H51" s="253"/>
      <c r="I51" s="255">
        <f>200-200</f>
        <v>0</v>
      </c>
      <c r="J51" s="253"/>
      <c r="K51" s="255">
        <f>500-500</f>
        <v>0</v>
      </c>
      <c r="L51" s="253"/>
      <c r="M51" s="255">
        <f>540-540</f>
        <v>0</v>
      </c>
      <c r="N51" s="253"/>
      <c r="O51" s="253"/>
      <c r="P51" s="255">
        <f>2000-2000</f>
        <v>0</v>
      </c>
      <c r="Q51" s="253"/>
      <c r="R51" s="253"/>
      <c r="S51" s="255">
        <f>2000-2000</f>
        <v>0</v>
      </c>
      <c r="T51" s="253"/>
      <c r="U51" s="253"/>
      <c r="V51" s="253"/>
      <c r="W51" s="253"/>
      <c r="X51" s="253"/>
      <c r="Y51" s="253"/>
      <c r="Z51" s="253"/>
      <c r="AA51" s="253"/>
      <c r="AB51" s="253"/>
      <c r="AC51" s="253"/>
      <c r="AD51" s="255">
        <f>1960-1960</f>
        <v>0</v>
      </c>
      <c r="AE51" s="253"/>
      <c r="AF51" s="255">
        <f>2000-2000</f>
        <v>0</v>
      </c>
      <c r="AG51" s="255">
        <f>1990-1990</f>
        <v>0</v>
      </c>
      <c r="AH51" s="253"/>
      <c r="AI51" s="253"/>
      <c r="AJ51" s="253"/>
      <c r="AK51" s="253"/>
      <c r="AL51" s="253"/>
      <c r="AM51" s="253"/>
      <c r="AN51" s="255">
        <f>1820-1820</f>
        <v>0</v>
      </c>
      <c r="AO51" s="255">
        <f>2000-2000</f>
        <v>0</v>
      </c>
      <c r="AP51" s="253"/>
      <c r="AQ51" s="253"/>
      <c r="AR51" s="253"/>
      <c r="AS51" s="253"/>
      <c r="AT51" s="253"/>
      <c r="AU51" s="253"/>
      <c r="AV51" s="255">
        <f>2000-2000</f>
        <v>0</v>
      </c>
      <c r="AW51" s="253"/>
      <c r="AX51" s="253"/>
      <c r="AY51" s="253"/>
      <c r="AZ51" s="253"/>
      <c r="BA51" s="253"/>
      <c r="BB51" s="254">
        <f>500-500+90</f>
        <v>90</v>
      </c>
      <c r="BC51" s="253"/>
      <c r="BD51" s="253"/>
      <c r="BE51" s="253"/>
      <c r="BF51" s="253"/>
      <c r="BG51" s="253"/>
      <c r="BH51" s="253"/>
      <c r="BI51" s="253"/>
      <c r="BJ51" s="253"/>
      <c r="BK51" s="253"/>
      <c r="BL51" s="253"/>
      <c r="BM51" s="253"/>
      <c r="BN51" s="253"/>
      <c r="BO51" s="253"/>
      <c r="BP51" s="253"/>
      <c r="BQ51" s="253"/>
      <c r="BR51" s="253"/>
      <c r="BS51" s="253"/>
      <c r="BT51" s="253"/>
      <c r="BU51" s="253"/>
      <c r="BV51" s="253"/>
      <c r="BW51" s="253"/>
      <c r="BX51" s="253"/>
      <c r="BY51" s="253"/>
      <c r="BZ51" s="253"/>
      <c r="CA51" s="253"/>
      <c r="CB51" s="253"/>
      <c r="CC51" s="253"/>
      <c r="CD51" s="253"/>
      <c r="CE51" s="253"/>
      <c r="CF51" s="253"/>
      <c r="CG51" s="253"/>
      <c r="CH51" s="253"/>
      <c r="CI51" s="253"/>
      <c r="CJ51" s="253"/>
      <c r="CK51" s="253"/>
      <c r="CL51" s="253"/>
      <c r="CM51" s="253"/>
      <c r="CN51" s="253"/>
      <c r="CO51" s="253"/>
      <c r="CP51" s="253"/>
      <c r="CQ51" s="253"/>
      <c r="CR51" s="253"/>
      <c r="CS51" s="253"/>
      <c r="CT51" s="253"/>
      <c r="CU51" s="253"/>
      <c r="CV51" s="253"/>
      <c r="CW51" s="253"/>
      <c r="CX51" s="253"/>
      <c r="CY51" s="253"/>
      <c r="CZ51" s="253"/>
      <c r="DA51" s="253"/>
      <c r="DB51" s="253"/>
      <c r="DC51" s="253"/>
      <c r="DD51" s="253"/>
      <c r="DE51" s="253"/>
      <c r="DF51" s="253"/>
      <c r="DG51" s="253"/>
      <c r="DH51" s="253"/>
      <c r="DI51" s="253"/>
      <c r="DJ51" s="253"/>
      <c r="DK51" s="253"/>
      <c r="DL51" s="253"/>
      <c r="DM51" s="253"/>
      <c r="DN51" s="253"/>
      <c r="DO51" s="253"/>
      <c r="DP51" s="253"/>
      <c r="DQ51" s="253"/>
      <c r="DR51" s="253"/>
      <c r="DS51" s="253"/>
      <c r="DT51" s="253"/>
      <c r="DU51" s="253"/>
      <c r="DV51" s="253"/>
      <c r="DW51" s="253"/>
      <c r="DX51" s="253"/>
      <c r="DY51" s="253"/>
      <c r="DZ51" s="253"/>
      <c r="EA51" s="253"/>
      <c r="EB51" s="253"/>
      <c r="EC51" s="253"/>
      <c r="ED51" s="253"/>
      <c r="EE51" s="253"/>
      <c r="EF51" s="253"/>
      <c r="EG51" s="253"/>
      <c r="EH51" s="253"/>
      <c r="EI51" s="253"/>
      <c r="EJ51" s="253"/>
      <c r="EK51" s="253"/>
      <c r="EL51" s="253"/>
      <c r="EM51" s="253"/>
      <c r="EN51" s="253"/>
      <c r="EO51" s="253"/>
      <c r="EP51" s="253"/>
      <c r="EQ51" s="253"/>
      <c r="ER51" s="253"/>
      <c r="ES51" s="253"/>
      <c r="ET51" s="253"/>
      <c r="EU51" s="253"/>
      <c r="EV51" s="253"/>
      <c r="EW51" s="253"/>
      <c r="EX51" s="253"/>
      <c r="EY51" s="253"/>
      <c r="EZ51" s="253"/>
      <c r="FA51" s="253"/>
      <c r="FB51" s="253"/>
      <c r="FC51" s="253"/>
      <c r="FD51" s="253"/>
      <c r="FE51" s="253"/>
      <c r="FF51" s="253"/>
      <c r="FG51" s="253"/>
      <c r="FH51" s="253"/>
      <c r="FI51" s="253"/>
      <c r="FJ51" s="253"/>
      <c r="FK51" s="253"/>
      <c r="FL51" s="253"/>
      <c r="FM51" s="253"/>
      <c r="FN51" s="256"/>
      <c r="FO51" s="257" t="s">
        <v>1270</v>
      </c>
      <c r="FP51" s="258" t="s">
        <v>389</v>
      </c>
      <c r="FQ51" s="258"/>
      <c r="FR51" s="258" t="s">
        <v>423</v>
      </c>
      <c r="FS51" s="259">
        <f t="shared" si="4"/>
        <v>90</v>
      </c>
      <c r="FT51" s="260" t="s">
        <v>424</v>
      </c>
    </row>
    <row r="52" spans="1:176" s="260" customFormat="1">
      <c r="A52" s="251" t="s">
        <v>393</v>
      </c>
      <c r="B52" s="251" t="s">
        <v>385</v>
      </c>
      <c r="C52" s="251" t="s">
        <v>411</v>
      </c>
      <c r="D52" s="251" t="s">
        <v>1</v>
      </c>
      <c r="E52" s="252" t="s">
        <v>422</v>
      </c>
      <c r="F52" s="251" t="s">
        <v>388</v>
      </c>
      <c r="G52" s="251"/>
      <c r="H52" s="253"/>
      <c r="I52" s="253"/>
      <c r="J52" s="253"/>
      <c r="K52" s="253"/>
      <c r="L52" s="253"/>
      <c r="M52" s="253"/>
      <c r="N52" s="255">
        <f>840-840</f>
        <v>0</v>
      </c>
      <c r="O52" s="255">
        <f>300-300</f>
        <v>0</v>
      </c>
      <c r="P52" s="253"/>
      <c r="Q52" s="253"/>
      <c r="R52" s="255">
        <f>2000-2000</f>
        <v>0</v>
      </c>
      <c r="S52" s="253"/>
      <c r="T52" s="255">
        <f>1940-1940</f>
        <v>0</v>
      </c>
      <c r="U52" s="255">
        <f>1960-1960</f>
        <v>0</v>
      </c>
      <c r="V52" s="255">
        <f>2000-2000</f>
        <v>0</v>
      </c>
      <c r="W52" s="254">
        <f>2000-2000+20</f>
        <v>20</v>
      </c>
      <c r="X52" s="253"/>
      <c r="Y52" s="255">
        <f>2000-2000</f>
        <v>0</v>
      </c>
      <c r="Z52" s="253"/>
      <c r="AA52" s="255">
        <f>1990-1990</f>
        <v>0</v>
      </c>
      <c r="AB52" s="255">
        <f>1980-1980</f>
        <v>0</v>
      </c>
      <c r="AC52" s="254">
        <f>2000-2000+20</f>
        <v>20</v>
      </c>
      <c r="AD52" s="253"/>
      <c r="AE52" s="255">
        <f>2000-2000</f>
        <v>0</v>
      </c>
      <c r="AF52" s="253"/>
      <c r="AG52" s="253"/>
      <c r="AH52" s="255">
        <f>2000-2000</f>
        <v>0</v>
      </c>
      <c r="AI52" s="255">
        <f>2000-2000</f>
        <v>0</v>
      </c>
      <c r="AJ52" s="253"/>
      <c r="AK52" s="255">
        <f>2000-2000</f>
        <v>0</v>
      </c>
      <c r="AL52" s="255">
        <f>1860-1860</f>
        <v>0</v>
      </c>
      <c r="AM52" s="253"/>
      <c r="AN52" s="253"/>
      <c r="AO52" s="253"/>
      <c r="AP52" s="253"/>
      <c r="AQ52" s="255">
        <f>1980-1980</f>
        <v>0</v>
      </c>
      <c r="AR52" s="254">
        <f>2000-2000+46</f>
        <v>46</v>
      </c>
      <c r="AS52" s="255">
        <f>1890-1890</f>
        <v>0</v>
      </c>
      <c r="AT52" s="253"/>
      <c r="AU52" s="255">
        <f>2000-2000</f>
        <v>0</v>
      </c>
      <c r="AV52" s="253"/>
      <c r="AW52" s="253"/>
      <c r="AX52" s="255">
        <f>380-380</f>
        <v>0</v>
      </c>
      <c r="AY52" s="253"/>
      <c r="AZ52" s="253"/>
      <c r="BA52" s="253"/>
      <c r="BB52" s="253"/>
      <c r="BC52" s="254">
        <f>500-500+38</f>
        <v>38</v>
      </c>
      <c r="BD52" s="253"/>
      <c r="BE52" s="253"/>
      <c r="BF52" s="253"/>
      <c r="BG52" s="253"/>
      <c r="BH52" s="255">
        <f>1960-1960</f>
        <v>0</v>
      </c>
      <c r="BI52" s="255">
        <f>1987-1987</f>
        <v>0</v>
      </c>
      <c r="BJ52" s="255">
        <f>1930-1930</f>
        <v>0</v>
      </c>
      <c r="BK52" s="255">
        <f>1660-1660</f>
        <v>0</v>
      </c>
      <c r="BL52" s="255">
        <f>1920-1920</f>
        <v>0</v>
      </c>
      <c r="BM52" s="255">
        <f>2000-2000</f>
        <v>0</v>
      </c>
      <c r="BN52" s="255">
        <f>2000-2000</f>
        <v>0</v>
      </c>
      <c r="BO52" s="255">
        <f>1995-1995</f>
        <v>0</v>
      </c>
      <c r="BP52" s="255">
        <f>1980-1980</f>
        <v>0</v>
      </c>
      <c r="BQ52" s="253"/>
      <c r="BR52" s="255">
        <f>1996-1996</f>
        <v>0</v>
      </c>
      <c r="BS52" s="255">
        <f>2000-2000</f>
        <v>0</v>
      </c>
      <c r="BT52" s="255">
        <f>2000-2000</f>
        <v>0</v>
      </c>
      <c r="BU52" s="255">
        <f>2000-2000</f>
        <v>0</v>
      </c>
      <c r="BV52" s="255">
        <f>980-980</f>
        <v>0</v>
      </c>
      <c r="BW52" s="255">
        <f>1000-1000</f>
        <v>0</v>
      </c>
      <c r="BX52" s="255">
        <f>1000-1000</f>
        <v>0</v>
      </c>
      <c r="BY52" s="255">
        <f>850-850</f>
        <v>0</v>
      </c>
      <c r="BZ52" s="255">
        <f>1000-1000</f>
        <v>0</v>
      </c>
      <c r="CA52" s="255">
        <f>190-190</f>
        <v>0</v>
      </c>
      <c r="CB52" s="255">
        <f>188-188</f>
        <v>0</v>
      </c>
      <c r="CC52" s="255">
        <f>200-200</f>
        <v>0</v>
      </c>
      <c r="CD52" s="255">
        <f>195-195</f>
        <v>0</v>
      </c>
      <c r="CE52" s="255">
        <f>200-200</f>
        <v>0</v>
      </c>
      <c r="CF52" s="255">
        <f>200-200</f>
        <v>0</v>
      </c>
      <c r="CG52" s="255">
        <f>130-130</f>
        <v>0</v>
      </c>
      <c r="CH52" s="255">
        <f>200-200</f>
        <v>0</v>
      </c>
      <c r="CI52" s="255">
        <f>198-198</f>
        <v>0</v>
      </c>
      <c r="CJ52" s="253"/>
      <c r="CK52" s="253"/>
      <c r="CL52" s="253"/>
      <c r="CM52" s="253"/>
      <c r="CN52" s="253"/>
      <c r="CO52" s="255">
        <f>30-30</f>
        <v>0</v>
      </c>
      <c r="CP52" s="255">
        <f>170-170</f>
        <v>0</v>
      </c>
      <c r="CQ52" s="253"/>
      <c r="CR52" s="253"/>
      <c r="CS52" s="255">
        <f>50-50</f>
        <v>0</v>
      </c>
      <c r="CT52" s="255">
        <f>46-46</f>
        <v>0</v>
      </c>
      <c r="CU52" s="255">
        <f>45-45</f>
        <v>0</v>
      </c>
      <c r="CV52" s="255">
        <f>15-15</f>
        <v>0</v>
      </c>
      <c r="CW52" s="255">
        <f>50-50</f>
        <v>0</v>
      </c>
      <c r="CX52" s="255">
        <f>50-50</f>
        <v>0</v>
      </c>
      <c r="CY52" s="255">
        <f>45-45</f>
        <v>0</v>
      </c>
      <c r="CZ52" s="255">
        <f>48-48</f>
        <v>0</v>
      </c>
      <c r="DA52" s="253"/>
      <c r="DB52" s="253"/>
      <c r="DC52" s="253"/>
      <c r="DD52" s="253"/>
      <c r="DE52" s="253"/>
      <c r="DF52" s="255">
        <f>50-50</f>
        <v>0</v>
      </c>
      <c r="DG52" s="253"/>
      <c r="DH52" s="253"/>
      <c r="DI52" s="253"/>
      <c r="DJ52" s="253"/>
      <c r="DK52" s="253"/>
      <c r="DL52" s="253"/>
      <c r="DM52" s="253"/>
      <c r="DN52" s="253"/>
      <c r="DO52" s="253"/>
      <c r="DP52" s="253"/>
      <c r="DQ52" s="253"/>
      <c r="DR52" s="253"/>
      <c r="DS52" s="253"/>
      <c r="DT52" s="253"/>
      <c r="DU52" s="253"/>
      <c r="DV52" s="253"/>
      <c r="DW52" s="253"/>
      <c r="DX52" s="253"/>
      <c r="DY52" s="255">
        <f>1000-1000</f>
        <v>0</v>
      </c>
      <c r="DZ52" s="255">
        <f>1000-1000</f>
        <v>0</v>
      </c>
      <c r="EA52" s="253"/>
      <c r="EB52" s="253"/>
      <c r="EC52" s="255">
        <f>1000-1000</f>
        <v>0</v>
      </c>
      <c r="ED52" s="255">
        <f>990-990</f>
        <v>0</v>
      </c>
      <c r="EE52" s="255">
        <f>1000-1000</f>
        <v>0</v>
      </c>
      <c r="EF52" s="255">
        <f>1000-1000</f>
        <v>0</v>
      </c>
      <c r="EG52" s="255">
        <f>1000-1000</f>
        <v>0</v>
      </c>
      <c r="EH52" s="253"/>
      <c r="EI52" s="253"/>
      <c r="EJ52" s="255">
        <f>1000-1000</f>
        <v>0</v>
      </c>
      <c r="EK52" s="255">
        <f>1000-1000</f>
        <v>0</v>
      </c>
      <c r="EL52" s="255">
        <f>960-960</f>
        <v>0</v>
      </c>
      <c r="EM52" s="253"/>
      <c r="EN52" s="253"/>
      <c r="EO52" s="253"/>
      <c r="EP52" s="255">
        <f>970-970</f>
        <v>0</v>
      </c>
      <c r="EQ52" s="253"/>
      <c r="ER52" s="255">
        <f>970-970</f>
        <v>0</v>
      </c>
      <c r="ES52" s="255">
        <f>930-930</f>
        <v>0</v>
      </c>
      <c r="ET52" s="255">
        <f>295-295</f>
        <v>0</v>
      </c>
      <c r="EU52" s="253"/>
      <c r="EV52" s="255">
        <f>290-290</f>
        <v>0</v>
      </c>
      <c r="EW52" s="255">
        <f>300-300</f>
        <v>0</v>
      </c>
      <c r="EX52" s="255">
        <f>300-300</f>
        <v>0</v>
      </c>
      <c r="EY52" s="253"/>
      <c r="EZ52" s="255">
        <f>300-300</f>
        <v>0</v>
      </c>
      <c r="FA52" s="255">
        <f>46-46</f>
        <v>0</v>
      </c>
      <c r="FB52" s="255">
        <f>15-15</f>
        <v>0</v>
      </c>
      <c r="FC52" s="253"/>
      <c r="FD52" s="255">
        <f>50-50</f>
        <v>0</v>
      </c>
      <c r="FE52" s="253"/>
      <c r="FF52" s="253"/>
      <c r="FG52" s="255">
        <f>3000-3000</f>
        <v>0</v>
      </c>
      <c r="FH52" s="255">
        <f>3000-3000</f>
        <v>0</v>
      </c>
      <c r="FI52" s="253"/>
      <c r="FJ52" s="253"/>
      <c r="FK52" s="253"/>
      <c r="FL52" s="253"/>
      <c r="FM52" s="253"/>
      <c r="FN52" s="256"/>
      <c r="FO52" s="257" t="s">
        <v>1270</v>
      </c>
      <c r="FP52" s="258" t="s">
        <v>389</v>
      </c>
      <c r="FQ52" s="258"/>
      <c r="FR52" s="258" t="s">
        <v>423</v>
      </c>
      <c r="FS52" s="259">
        <f t="shared" si="4"/>
        <v>124</v>
      </c>
      <c r="FT52" s="260" t="s">
        <v>424</v>
      </c>
    </row>
    <row r="53" spans="1:176" s="260" customFormat="1">
      <c r="A53" s="251" t="s">
        <v>393</v>
      </c>
      <c r="B53" s="251" t="s">
        <v>385</v>
      </c>
      <c r="C53" s="251" t="s">
        <v>411</v>
      </c>
      <c r="D53" s="251" t="s">
        <v>293</v>
      </c>
      <c r="E53" s="252" t="s">
        <v>422</v>
      </c>
      <c r="F53" s="251" t="s">
        <v>388</v>
      </c>
      <c r="G53" s="251"/>
      <c r="H53" s="253"/>
      <c r="I53" s="253"/>
      <c r="J53" s="253"/>
      <c r="K53" s="253"/>
      <c r="L53" s="253"/>
      <c r="M53" s="253"/>
      <c r="N53" s="253"/>
      <c r="O53" s="253"/>
      <c r="P53" s="253"/>
      <c r="Q53" s="253"/>
      <c r="R53" s="253"/>
      <c r="S53" s="253"/>
      <c r="T53" s="253"/>
      <c r="U53" s="253"/>
      <c r="V53" s="253"/>
      <c r="W53" s="253"/>
      <c r="X53" s="253"/>
      <c r="Y53" s="253"/>
      <c r="Z53" s="253"/>
      <c r="AA53" s="253"/>
      <c r="AB53" s="253"/>
      <c r="AC53" s="253"/>
      <c r="AD53" s="253"/>
      <c r="AE53" s="253"/>
      <c r="AF53" s="253"/>
      <c r="AG53" s="253"/>
      <c r="AH53" s="253"/>
      <c r="AI53" s="253"/>
      <c r="AJ53" s="253"/>
      <c r="AK53" s="253"/>
      <c r="AL53" s="253"/>
      <c r="AM53" s="253"/>
      <c r="AN53" s="253"/>
      <c r="AO53" s="253"/>
      <c r="AP53" s="253"/>
      <c r="AQ53" s="253"/>
      <c r="AR53" s="253"/>
      <c r="AS53" s="253"/>
      <c r="AT53" s="253"/>
      <c r="AU53" s="253"/>
      <c r="AV53" s="253"/>
      <c r="AW53" s="253"/>
      <c r="AX53" s="253"/>
      <c r="AY53" s="253"/>
      <c r="AZ53" s="253"/>
      <c r="BA53" s="253"/>
      <c r="BB53" s="253"/>
      <c r="BC53" s="253"/>
      <c r="BD53" s="253"/>
      <c r="BE53" s="253"/>
      <c r="BF53" s="253"/>
      <c r="BG53" s="253"/>
      <c r="BH53" s="253"/>
      <c r="BI53" s="253"/>
      <c r="BJ53" s="253"/>
      <c r="BK53" s="253"/>
      <c r="BL53" s="253"/>
      <c r="BM53" s="253"/>
      <c r="BN53" s="253"/>
      <c r="BO53" s="253"/>
      <c r="BP53" s="253"/>
      <c r="BQ53" s="253"/>
      <c r="BR53" s="253"/>
      <c r="BS53" s="253"/>
      <c r="BT53" s="253"/>
      <c r="BU53" s="253"/>
      <c r="BV53" s="253"/>
      <c r="BW53" s="253"/>
      <c r="BX53" s="253"/>
      <c r="BY53" s="253"/>
      <c r="BZ53" s="253"/>
      <c r="CA53" s="253"/>
      <c r="CB53" s="253"/>
      <c r="CC53" s="253"/>
      <c r="CD53" s="253"/>
      <c r="CE53" s="253"/>
      <c r="CF53" s="253"/>
      <c r="CG53" s="253"/>
      <c r="CH53" s="253"/>
      <c r="CI53" s="253"/>
      <c r="CJ53" s="253"/>
      <c r="CK53" s="253"/>
      <c r="CL53" s="253"/>
      <c r="CM53" s="253"/>
      <c r="CN53" s="253"/>
      <c r="CO53" s="253"/>
      <c r="CP53" s="253"/>
      <c r="CQ53" s="253"/>
      <c r="CR53" s="253"/>
      <c r="CS53" s="253"/>
      <c r="CT53" s="253"/>
      <c r="CU53" s="253"/>
      <c r="CV53" s="253"/>
      <c r="CW53" s="253"/>
      <c r="CX53" s="253"/>
      <c r="CY53" s="253"/>
      <c r="CZ53" s="253"/>
      <c r="DA53" s="253"/>
      <c r="DB53" s="253"/>
      <c r="DC53" s="253"/>
      <c r="DD53" s="253"/>
      <c r="DE53" s="253"/>
      <c r="DF53" s="253"/>
      <c r="DG53" s="253"/>
      <c r="DH53" s="253"/>
      <c r="DI53" s="253"/>
      <c r="DJ53" s="253"/>
      <c r="DK53" s="253"/>
      <c r="DL53" s="253"/>
      <c r="DM53" s="253"/>
      <c r="DN53" s="253"/>
      <c r="DO53" s="253"/>
      <c r="DP53" s="253"/>
      <c r="DQ53" s="253"/>
      <c r="DR53" s="253"/>
      <c r="DS53" s="253"/>
      <c r="DT53" s="253"/>
      <c r="DU53" s="253"/>
      <c r="DV53" s="253"/>
      <c r="DW53" s="253"/>
      <c r="DX53" s="253"/>
      <c r="DY53" s="253"/>
      <c r="DZ53" s="253"/>
      <c r="EA53" s="253"/>
      <c r="EB53" s="253"/>
      <c r="EC53" s="253"/>
      <c r="ED53" s="253"/>
      <c r="EE53" s="253"/>
      <c r="EF53" s="253"/>
      <c r="EG53" s="253"/>
      <c r="EH53" s="253"/>
      <c r="EI53" s="253"/>
      <c r="EJ53" s="253"/>
      <c r="EK53" s="253"/>
      <c r="EL53" s="253"/>
      <c r="EM53" s="253"/>
      <c r="EN53" s="253"/>
      <c r="EO53" s="253"/>
      <c r="EP53" s="253"/>
      <c r="EQ53" s="255">
        <f>1000-1000</f>
        <v>0</v>
      </c>
      <c r="ER53" s="253"/>
      <c r="ES53" s="253"/>
      <c r="ET53" s="253"/>
      <c r="EU53" s="255">
        <f>300-300</f>
        <v>0</v>
      </c>
      <c r="EV53" s="253"/>
      <c r="EW53" s="253"/>
      <c r="EX53" s="253"/>
      <c r="EY53" s="255">
        <f>300-300</f>
        <v>0</v>
      </c>
      <c r="EZ53" s="253"/>
      <c r="FA53" s="253"/>
      <c r="FB53" s="253"/>
      <c r="FC53" s="255">
        <f>50-50</f>
        <v>0</v>
      </c>
      <c r="FD53" s="253"/>
      <c r="FE53" s="253"/>
      <c r="FF53" s="253"/>
      <c r="FG53" s="253"/>
      <c r="FH53" s="253"/>
      <c r="FI53" s="253"/>
      <c r="FJ53" s="253"/>
      <c r="FK53" s="253"/>
      <c r="FL53" s="253"/>
      <c r="FM53" s="253"/>
      <c r="FN53" s="256"/>
      <c r="FO53" s="257" t="s">
        <v>1270</v>
      </c>
      <c r="FP53" s="258" t="s">
        <v>389</v>
      </c>
      <c r="FQ53" s="258"/>
      <c r="FR53" s="258" t="s">
        <v>423</v>
      </c>
      <c r="FS53" s="259">
        <f t="shared" si="4"/>
        <v>0</v>
      </c>
      <c r="FT53" s="260" t="s">
        <v>424</v>
      </c>
    </row>
    <row r="54" spans="1:176" s="260" customFormat="1">
      <c r="A54" s="251" t="s">
        <v>385</v>
      </c>
      <c r="B54" s="251" t="s">
        <v>385</v>
      </c>
      <c r="C54" s="251" t="s">
        <v>411</v>
      </c>
      <c r="D54" s="251" t="s">
        <v>291</v>
      </c>
      <c r="E54" s="252" t="s">
        <v>203</v>
      </c>
      <c r="F54" s="251" t="s">
        <v>388</v>
      </c>
      <c r="G54" s="251"/>
      <c r="H54" s="253"/>
      <c r="I54" s="255">
        <f>60-60</f>
        <v>0</v>
      </c>
      <c r="J54" s="253"/>
      <c r="K54" s="255">
        <f>60-60</f>
        <v>0</v>
      </c>
      <c r="L54" s="253"/>
      <c r="M54" s="255">
        <f>200-200</f>
        <v>0</v>
      </c>
      <c r="N54" s="253"/>
      <c r="O54" s="253"/>
      <c r="P54" s="253"/>
      <c r="Q54" s="253"/>
      <c r="R54" s="253"/>
      <c r="S54" s="253"/>
      <c r="T54" s="253"/>
      <c r="U54" s="253"/>
      <c r="V54" s="253"/>
      <c r="W54" s="253"/>
      <c r="X54" s="253"/>
      <c r="Y54" s="253"/>
      <c r="Z54" s="253"/>
      <c r="AA54" s="253"/>
      <c r="AB54" s="253"/>
      <c r="AC54" s="253"/>
      <c r="AD54" s="255">
        <f>200-200</f>
        <v>0</v>
      </c>
      <c r="AE54" s="253"/>
      <c r="AF54" s="255">
        <f>200-200</f>
        <v>0</v>
      </c>
      <c r="AG54" s="255">
        <f>200-200</f>
        <v>0</v>
      </c>
      <c r="AH54" s="253"/>
      <c r="AI54" s="253"/>
      <c r="AJ54" s="253"/>
      <c r="AK54" s="253"/>
      <c r="AL54" s="253"/>
      <c r="AM54" s="253"/>
      <c r="AN54" s="253"/>
      <c r="AO54" s="253"/>
      <c r="AP54" s="253"/>
      <c r="AQ54" s="253"/>
      <c r="AR54" s="253"/>
      <c r="AS54" s="253"/>
      <c r="AT54" s="253"/>
      <c r="AU54" s="253"/>
      <c r="AV54" s="253"/>
      <c r="AW54" s="253"/>
      <c r="AX54" s="253"/>
      <c r="AY54" s="253"/>
      <c r="AZ54" s="253"/>
      <c r="BA54" s="253"/>
      <c r="BB54" s="255">
        <f>200-200</f>
        <v>0</v>
      </c>
      <c r="BC54" s="253"/>
      <c r="BD54" s="253"/>
      <c r="BE54" s="253"/>
      <c r="BF54" s="253"/>
      <c r="BG54" s="253"/>
      <c r="BH54" s="253"/>
      <c r="BI54" s="253"/>
      <c r="BJ54" s="253"/>
      <c r="BK54" s="253"/>
      <c r="BL54" s="253"/>
      <c r="BM54" s="253"/>
      <c r="BN54" s="253"/>
      <c r="BO54" s="253"/>
      <c r="BP54" s="253"/>
      <c r="BQ54" s="253"/>
      <c r="BR54" s="253"/>
      <c r="BS54" s="253"/>
      <c r="BT54" s="253"/>
      <c r="BU54" s="253"/>
      <c r="BV54" s="253"/>
      <c r="BW54" s="253"/>
      <c r="BX54" s="253"/>
      <c r="BY54" s="253"/>
      <c r="BZ54" s="253"/>
      <c r="CA54" s="253"/>
      <c r="CB54" s="253"/>
      <c r="CC54" s="253"/>
      <c r="CD54" s="253"/>
      <c r="CE54" s="253"/>
      <c r="CF54" s="253"/>
      <c r="CG54" s="253"/>
      <c r="CH54" s="253"/>
      <c r="CI54" s="253"/>
      <c r="CJ54" s="253"/>
      <c r="CK54" s="253"/>
      <c r="CL54" s="253"/>
      <c r="CM54" s="253"/>
      <c r="CN54" s="253"/>
      <c r="CO54" s="253"/>
      <c r="CP54" s="253"/>
      <c r="CQ54" s="253"/>
      <c r="CR54" s="253"/>
      <c r="CS54" s="253"/>
      <c r="CT54" s="253"/>
      <c r="CU54" s="253"/>
      <c r="CV54" s="253"/>
      <c r="CW54" s="253"/>
      <c r="CX54" s="253"/>
      <c r="CY54" s="253"/>
      <c r="CZ54" s="253"/>
      <c r="DA54" s="253"/>
      <c r="DB54" s="253"/>
      <c r="DC54" s="253"/>
      <c r="DD54" s="253"/>
      <c r="DE54" s="253"/>
      <c r="DF54" s="253"/>
      <c r="DG54" s="253"/>
      <c r="DH54" s="253"/>
      <c r="DI54" s="253"/>
      <c r="DJ54" s="253"/>
      <c r="DK54" s="253"/>
      <c r="DL54" s="253"/>
      <c r="DM54" s="253"/>
      <c r="DN54" s="253"/>
      <c r="DO54" s="253"/>
      <c r="DP54" s="253"/>
      <c r="DQ54" s="253"/>
      <c r="DR54" s="253"/>
      <c r="DS54" s="253"/>
      <c r="DT54" s="253"/>
      <c r="DU54" s="253"/>
      <c r="DV54" s="253"/>
      <c r="DW54" s="253"/>
      <c r="DX54" s="253"/>
      <c r="DY54" s="253"/>
      <c r="DZ54" s="253"/>
      <c r="EA54" s="253"/>
      <c r="EB54" s="253"/>
      <c r="EC54" s="253"/>
      <c r="ED54" s="253"/>
      <c r="EE54" s="253"/>
      <c r="EF54" s="253"/>
      <c r="EG54" s="253"/>
      <c r="EH54" s="253"/>
      <c r="EI54" s="253"/>
      <c r="EJ54" s="253"/>
      <c r="EK54" s="253"/>
      <c r="EL54" s="253"/>
      <c r="EM54" s="253"/>
      <c r="EN54" s="253"/>
      <c r="EO54" s="253"/>
      <c r="EP54" s="253"/>
      <c r="EQ54" s="253"/>
      <c r="ER54" s="253"/>
      <c r="ES54" s="253"/>
      <c r="ET54" s="253"/>
      <c r="EU54" s="253"/>
      <c r="EV54" s="253"/>
      <c r="EW54" s="253"/>
      <c r="EX54" s="253"/>
      <c r="EY54" s="253"/>
      <c r="EZ54" s="253"/>
      <c r="FA54" s="253"/>
      <c r="FB54" s="253"/>
      <c r="FC54" s="253"/>
      <c r="FD54" s="253"/>
      <c r="FE54" s="253"/>
      <c r="FF54" s="253"/>
      <c r="FG54" s="253"/>
      <c r="FH54" s="253"/>
      <c r="FI54" s="253"/>
      <c r="FJ54" s="253"/>
      <c r="FK54" s="253"/>
      <c r="FL54" s="253"/>
      <c r="FM54" s="253"/>
      <c r="FN54" s="256"/>
      <c r="FO54" s="257" t="s">
        <v>1270</v>
      </c>
      <c r="FP54" s="258" t="s">
        <v>389</v>
      </c>
      <c r="FQ54" s="258" t="s">
        <v>839</v>
      </c>
      <c r="FR54" s="258" t="s">
        <v>426</v>
      </c>
      <c r="FS54" s="259">
        <f t="shared" si="4"/>
        <v>0</v>
      </c>
      <c r="FT54" s="260" t="s">
        <v>433</v>
      </c>
    </row>
    <row r="55" spans="1:176" s="260" customFormat="1">
      <c r="A55" s="251" t="s">
        <v>385</v>
      </c>
      <c r="B55" s="251" t="s">
        <v>385</v>
      </c>
      <c r="C55" s="251" t="s">
        <v>411</v>
      </c>
      <c r="D55" s="251" t="s">
        <v>1</v>
      </c>
      <c r="E55" s="252" t="s">
        <v>203</v>
      </c>
      <c r="F55" s="251" t="s">
        <v>388</v>
      </c>
      <c r="G55" s="251"/>
      <c r="H55" s="253"/>
      <c r="I55" s="253"/>
      <c r="J55" s="253"/>
      <c r="K55" s="253"/>
      <c r="L55" s="253"/>
      <c r="M55" s="253"/>
      <c r="N55" s="255">
        <f>200-200</f>
        <v>0</v>
      </c>
      <c r="O55" s="255">
        <f>300-300</f>
        <v>0</v>
      </c>
      <c r="P55" s="253"/>
      <c r="Q55" s="253"/>
      <c r="R55" s="253"/>
      <c r="S55" s="253"/>
      <c r="T55" s="253"/>
      <c r="U55" s="253"/>
      <c r="V55" s="253"/>
      <c r="W55" s="253"/>
      <c r="X55" s="253"/>
      <c r="Y55" s="253"/>
      <c r="Z55" s="253"/>
      <c r="AA55" s="255">
        <f>200-200</f>
        <v>0</v>
      </c>
      <c r="AB55" s="255">
        <f>200-200</f>
        <v>0</v>
      </c>
      <c r="AC55" s="253"/>
      <c r="AD55" s="253"/>
      <c r="AE55" s="253"/>
      <c r="AF55" s="253"/>
      <c r="AG55" s="253"/>
      <c r="AH55" s="253"/>
      <c r="AI55" s="253"/>
      <c r="AJ55" s="255">
        <f>200-200</f>
        <v>0</v>
      </c>
      <c r="AK55" s="253"/>
      <c r="AL55" s="255">
        <f>200-200</f>
        <v>0</v>
      </c>
      <c r="AM55" s="253"/>
      <c r="AN55" s="253"/>
      <c r="AO55" s="253"/>
      <c r="AP55" s="253"/>
      <c r="AQ55" s="253"/>
      <c r="AR55" s="253"/>
      <c r="AS55" s="255">
        <f>300-300</f>
        <v>0</v>
      </c>
      <c r="AT55" s="253"/>
      <c r="AU55" s="253"/>
      <c r="AV55" s="253"/>
      <c r="AW55" s="253"/>
      <c r="AX55" s="254">
        <f>200-200+20</f>
        <v>20</v>
      </c>
      <c r="AY55" s="253"/>
      <c r="AZ55" s="253"/>
      <c r="BA55" s="253"/>
      <c r="BB55" s="253"/>
      <c r="BC55" s="253"/>
      <c r="BD55" s="253"/>
      <c r="BE55" s="253"/>
      <c r="BF55" s="253"/>
      <c r="BG55" s="253"/>
      <c r="BH55" s="253"/>
      <c r="BI55" s="253"/>
      <c r="BJ55" s="253"/>
      <c r="BK55" s="253"/>
      <c r="BL55" s="253"/>
      <c r="BM55" s="253"/>
      <c r="BN55" s="253"/>
      <c r="BO55" s="253"/>
      <c r="BP55" s="253"/>
      <c r="BQ55" s="253"/>
      <c r="BR55" s="253"/>
      <c r="BS55" s="253"/>
      <c r="BT55" s="253"/>
      <c r="BU55" s="253"/>
      <c r="BV55" s="253"/>
      <c r="BW55" s="253"/>
      <c r="BX55" s="253"/>
      <c r="BY55" s="253"/>
      <c r="BZ55" s="253"/>
      <c r="CA55" s="253"/>
      <c r="CB55" s="253"/>
      <c r="CC55" s="253"/>
      <c r="CD55" s="253"/>
      <c r="CE55" s="253"/>
      <c r="CF55" s="253"/>
      <c r="CG55" s="253"/>
      <c r="CH55" s="253"/>
      <c r="CI55" s="253"/>
      <c r="CJ55" s="253"/>
      <c r="CK55" s="253"/>
      <c r="CL55" s="253"/>
      <c r="CM55" s="253"/>
      <c r="CN55" s="253"/>
      <c r="CO55" s="253"/>
      <c r="CP55" s="253"/>
      <c r="CQ55" s="253"/>
      <c r="CR55" s="253"/>
      <c r="CS55" s="253"/>
      <c r="CT55" s="253"/>
      <c r="CU55" s="253"/>
      <c r="CV55" s="253"/>
      <c r="CW55" s="253"/>
      <c r="CX55" s="253"/>
      <c r="CY55" s="253"/>
      <c r="CZ55" s="253"/>
      <c r="DA55" s="253"/>
      <c r="DB55" s="253"/>
      <c r="DC55" s="253"/>
      <c r="DD55" s="253"/>
      <c r="DE55" s="253"/>
      <c r="DF55" s="253"/>
      <c r="DG55" s="253"/>
      <c r="DH55" s="253"/>
      <c r="DI55" s="253"/>
      <c r="DJ55" s="253"/>
      <c r="DK55" s="253"/>
      <c r="DL55" s="253"/>
      <c r="DM55" s="253"/>
      <c r="DN55" s="253"/>
      <c r="DO55" s="253"/>
      <c r="DP55" s="253"/>
      <c r="DQ55" s="253"/>
      <c r="DR55" s="253"/>
      <c r="DS55" s="253"/>
      <c r="DT55" s="253"/>
      <c r="DU55" s="253"/>
      <c r="DV55" s="253"/>
      <c r="DW55" s="253"/>
      <c r="DX55" s="253"/>
      <c r="DY55" s="253"/>
      <c r="DZ55" s="253"/>
      <c r="EA55" s="253"/>
      <c r="EB55" s="253"/>
      <c r="EC55" s="255">
        <f>100-100</f>
        <v>0</v>
      </c>
      <c r="ED55" s="255">
        <f>200-200</f>
        <v>0</v>
      </c>
      <c r="EE55" s="253"/>
      <c r="EF55" s="253"/>
      <c r="EG55" s="255">
        <f>100-100</f>
        <v>0</v>
      </c>
      <c r="EH55" s="253"/>
      <c r="EI55" s="253"/>
      <c r="EJ55" s="255">
        <f>200-200</f>
        <v>0</v>
      </c>
      <c r="EK55" s="253"/>
      <c r="EL55" s="255">
        <f>400-400</f>
        <v>0</v>
      </c>
      <c r="EM55" s="253"/>
      <c r="EN55" s="253"/>
      <c r="EO55" s="253"/>
      <c r="EP55" s="253"/>
      <c r="EQ55" s="253"/>
      <c r="ER55" s="253"/>
      <c r="ES55" s="253"/>
      <c r="ET55" s="253"/>
      <c r="EU55" s="253"/>
      <c r="EV55" s="253"/>
      <c r="EW55" s="253"/>
      <c r="EX55" s="253"/>
      <c r="EY55" s="253"/>
      <c r="EZ55" s="253"/>
      <c r="FA55" s="253"/>
      <c r="FB55" s="253"/>
      <c r="FC55" s="253"/>
      <c r="FD55" s="253"/>
      <c r="FE55" s="253"/>
      <c r="FF55" s="253"/>
      <c r="FG55" s="253"/>
      <c r="FH55" s="253"/>
      <c r="FI55" s="253"/>
      <c r="FJ55" s="253"/>
      <c r="FK55" s="253"/>
      <c r="FL55" s="253"/>
      <c r="FM55" s="253"/>
      <c r="FN55" s="256"/>
      <c r="FO55" s="257" t="s">
        <v>1270</v>
      </c>
      <c r="FP55" s="258" t="s">
        <v>389</v>
      </c>
      <c r="FQ55" s="258" t="s">
        <v>839</v>
      </c>
      <c r="FR55" s="258" t="s">
        <v>426</v>
      </c>
      <c r="FS55" s="259">
        <f t="shared" si="4"/>
        <v>20</v>
      </c>
      <c r="FT55" s="260" t="s">
        <v>433</v>
      </c>
    </row>
    <row r="56" spans="1:176" s="260" customFormat="1">
      <c r="A56" s="251" t="s">
        <v>393</v>
      </c>
      <c r="B56" s="251" t="s">
        <v>385</v>
      </c>
      <c r="C56" s="251" t="s">
        <v>411</v>
      </c>
      <c r="D56" s="251" t="s">
        <v>291</v>
      </c>
      <c r="E56" s="252" t="s">
        <v>427</v>
      </c>
      <c r="F56" s="251" t="s">
        <v>388</v>
      </c>
      <c r="G56" s="251"/>
      <c r="H56" s="253"/>
      <c r="I56" s="255">
        <f>200-200</f>
        <v>0</v>
      </c>
      <c r="J56" s="253"/>
      <c r="K56" s="255">
        <f>200-200</f>
        <v>0</v>
      </c>
      <c r="L56" s="253"/>
      <c r="M56" s="253"/>
      <c r="N56" s="253"/>
      <c r="O56" s="253"/>
      <c r="P56" s="253"/>
      <c r="Q56" s="253"/>
      <c r="R56" s="253"/>
      <c r="S56" s="253"/>
      <c r="T56" s="253"/>
      <c r="U56" s="253"/>
      <c r="V56" s="253"/>
      <c r="W56" s="253"/>
      <c r="X56" s="253"/>
      <c r="Y56" s="253"/>
      <c r="Z56" s="253"/>
      <c r="AA56" s="253"/>
      <c r="AB56" s="253"/>
      <c r="AC56" s="253"/>
      <c r="AD56" s="255">
        <f>400-400</f>
        <v>0</v>
      </c>
      <c r="AE56" s="253"/>
      <c r="AF56" s="255">
        <f>200-200</f>
        <v>0</v>
      </c>
      <c r="AG56" s="255">
        <f>200-200</f>
        <v>0</v>
      </c>
      <c r="AH56" s="253"/>
      <c r="AI56" s="253"/>
      <c r="AJ56" s="253"/>
      <c r="AK56" s="253"/>
      <c r="AL56" s="253"/>
      <c r="AM56" s="253"/>
      <c r="AN56" s="253"/>
      <c r="AO56" s="253"/>
      <c r="AP56" s="255">
        <f>200-200</f>
        <v>0</v>
      </c>
      <c r="AQ56" s="253"/>
      <c r="AR56" s="253"/>
      <c r="AS56" s="253"/>
      <c r="AT56" s="253"/>
      <c r="AU56" s="253"/>
      <c r="AV56" s="253"/>
      <c r="AW56" s="253"/>
      <c r="AX56" s="253"/>
      <c r="AY56" s="253"/>
      <c r="AZ56" s="253"/>
      <c r="BA56" s="253"/>
      <c r="BB56" s="255">
        <f>200-200</f>
        <v>0</v>
      </c>
      <c r="BC56" s="253"/>
      <c r="BD56" s="253"/>
      <c r="BE56" s="253"/>
      <c r="BF56" s="253"/>
      <c r="BG56" s="253"/>
      <c r="BH56" s="253"/>
      <c r="BI56" s="253"/>
      <c r="BJ56" s="253"/>
      <c r="BK56" s="253"/>
      <c r="BL56" s="253"/>
      <c r="BM56" s="253"/>
      <c r="BN56" s="253"/>
      <c r="BO56" s="253"/>
      <c r="BP56" s="253"/>
      <c r="BQ56" s="253"/>
      <c r="BR56" s="253"/>
      <c r="BS56" s="253"/>
      <c r="BT56" s="253"/>
      <c r="BU56" s="253"/>
      <c r="BV56" s="253"/>
      <c r="BW56" s="253"/>
      <c r="BX56" s="253"/>
      <c r="BY56" s="253"/>
      <c r="BZ56" s="253"/>
      <c r="CA56" s="253"/>
      <c r="CB56" s="253"/>
      <c r="CC56" s="253"/>
      <c r="CD56" s="253"/>
      <c r="CE56" s="253"/>
      <c r="CF56" s="253"/>
      <c r="CG56" s="253"/>
      <c r="CH56" s="253"/>
      <c r="CI56" s="253"/>
      <c r="CJ56" s="253"/>
      <c r="CK56" s="253"/>
      <c r="CL56" s="253"/>
      <c r="CM56" s="253"/>
      <c r="CN56" s="253"/>
      <c r="CO56" s="253"/>
      <c r="CP56" s="253"/>
      <c r="CQ56" s="253"/>
      <c r="CR56" s="253"/>
      <c r="CS56" s="253"/>
      <c r="CT56" s="253"/>
      <c r="CU56" s="253"/>
      <c r="CV56" s="253"/>
      <c r="CW56" s="253"/>
      <c r="CX56" s="253"/>
      <c r="CY56" s="253"/>
      <c r="CZ56" s="253"/>
      <c r="DA56" s="253"/>
      <c r="DB56" s="253"/>
      <c r="DC56" s="253"/>
      <c r="DD56" s="253"/>
      <c r="DE56" s="253"/>
      <c r="DF56" s="253"/>
      <c r="DG56" s="253"/>
      <c r="DH56" s="253"/>
      <c r="DI56" s="253"/>
      <c r="DJ56" s="253"/>
      <c r="DK56" s="253"/>
      <c r="DL56" s="253"/>
      <c r="DM56" s="253"/>
      <c r="DN56" s="253"/>
      <c r="DO56" s="253"/>
      <c r="DP56" s="253"/>
      <c r="DQ56" s="253"/>
      <c r="DR56" s="253"/>
      <c r="DS56" s="253"/>
      <c r="DT56" s="253"/>
      <c r="DU56" s="253"/>
      <c r="DV56" s="253"/>
      <c r="DW56" s="253"/>
      <c r="DX56" s="253"/>
      <c r="DY56" s="253"/>
      <c r="DZ56" s="253"/>
      <c r="EA56" s="253"/>
      <c r="EB56" s="253"/>
      <c r="EC56" s="253"/>
      <c r="ED56" s="253"/>
      <c r="EE56" s="253"/>
      <c r="EF56" s="253"/>
      <c r="EG56" s="253"/>
      <c r="EH56" s="253"/>
      <c r="EI56" s="253"/>
      <c r="EJ56" s="253"/>
      <c r="EK56" s="253"/>
      <c r="EL56" s="253"/>
      <c r="EM56" s="253"/>
      <c r="EN56" s="253"/>
      <c r="EO56" s="253"/>
      <c r="EP56" s="253"/>
      <c r="EQ56" s="253"/>
      <c r="ER56" s="253"/>
      <c r="ES56" s="253"/>
      <c r="ET56" s="253"/>
      <c r="EU56" s="253"/>
      <c r="EV56" s="253"/>
      <c r="EW56" s="253"/>
      <c r="EX56" s="253"/>
      <c r="EY56" s="253"/>
      <c r="EZ56" s="253"/>
      <c r="FA56" s="253"/>
      <c r="FB56" s="253"/>
      <c r="FC56" s="253"/>
      <c r="FD56" s="253"/>
      <c r="FE56" s="253"/>
      <c r="FF56" s="253"/>
      <c r="FG56" s="253"/>
      <c r="FH56" s="253"/>
      <c r="FI56" s="253"/>
      <c r="FJ56" s="253"/>
      <c r="FK56" s="253"/>
      <c r="FL56" s="253"/>
      <c r="FM56" s="253"/>
      <c r="FN56" s="256"/>
      <c r="FO56" s="257" t="s">
        <v>1270</v>
      </c>
      <c r="FP56" s="258" t="s">
        <v>389</v>
      </c>
      <c r="FQ56" s="258"/>
      <c r="FR56" s="258" t="s">
        <v>423</v>
      </c>
      <c r="FS56" s="259">
        <f t="shared" si="4"/>
        <v>0</v>
      </c>
      <c r="FT56" s="260" t="s">
        <v>835</v>
      </c>
    </row>
    <row r="57" spans="1:176" s="260" customFormat="1">
      <c r="A57" s="251" t="s">
        <v>393</v>
      </c>
      <c r="B57" s="251" t="s">
        <v>385</v>
      </c>
      <c r="C57" s="251" t="s">
        <v>411</v>
      </c>
      <c r="D57" s="251" t="s">
        <v>1</v>
      </c>
      <c r="E57" s="252" t="s">
        <v>427</v>
      </c>
      <c r="F57" s="251" t="s">
        <v>388</v>
      </c>
      <c r="G57" s="251"/>
      <c r="H57" s="253"/>
      <c r="I57" s="253"/>
      <c r="J57" s="253"/>
      <c r="K57" s="253"/>
      <c r="L57" s="253"/>
      <c r="M57" s="253"/>
      <c r="N57" s="253"/>
      <c r="O57" s="253"/>
      <c r="P57" s="253"/>
      <c r="Q57" s="253"/>
      <c r="R57" s="253"/>
      <c r="S57" s="253"/>
      <c r="T57" s="255">
        <f>100-100</f>
        <v>0</v>
      </c>
      <c r="U57" s="253"/>
      <c r="V57" s="253"/>
      <c r="W57" s="253"/>
      <c r="X57" s="253"/>
      <c r="Y57" s="253"/>
      <c r="Z57" s="255">
        <f>100-100</f>
        <v>0</v>
      </c>
      <c r="AA57" s="255">
        <f>400-400</f>
        <v>0</v>
      </c>
      <c r="AB57" s="255">
        <f>100-100</f>
        <v>0</v>
      </c>
      <c r="AC57" s="253"/>
      <c r="AD57" s="253"/>
      <c r="AE57" s="253"/>
      <c r="AF57" s="253"/>
      <c r="AG57" s="253"/>
      <c r="AH57" s="253"/>
      <c r="AI57" s="253"/>
      <c r="AJ57" s="253"/>
      <c r="AK57" s="253"/>
      <c r="AL57" s="255">
        <f>200-200</f>
        <v>0</v>
      </c>
      <c r="AM57" s="253"/>
      <c r="AN57" s="253"/>
      <c r="AO57" s="253"/>
      <c r="AP57" s="253"/>
      <c r="AQ57" s="253"/>
      <c r="AR57" s="253"/>
      <c r="AS57" s="255">
        <f>200-200</f>
        <v>0</v>
      </c>
      <c r="AT57" s="253"/>
      <c r="AU57" s="253"/>
      <c r="AV57" s="253"/>
      <c r="AW57" s="253"/>
      <c r="AX57" s="254">
        <f>200-200+90</f>
        <v>90</v>
      </c>
      <c r="AY57" s="255">
        <f>200-200</f>
        <v>0</v>
      </c>
      <c r="AZ57" s="253"/>
      <c r="BA57" s="253"/>
      <c r="BB57" s="253"/>
      <c r="BC57" s="255">
        <f>200-200</f>
        <v>0</v>
      </c>
      <c r="BD57" s="253"/>
      <c r="BE57" s="255">
        <f>200-200</f>
        <v>0</v>
      </c>
      <c r="BF57" s="255">
        <f>200-200</f>
        <v>0</v>
      </c>
      <c r="BG57" s="255">
        <f>200-200</f>
        <v>0</v>
      </c>
      <c r="BH57" s="253"/>
      <c r="BI57" s="253"/>
      <c r="BJ57" s="253"/>
      <c r="BK57" s="253"/>
      <c r="BL57" s="253"/>
      <c r="BM57" s="253"/>
      <c r="BN57" s="253"/>
      <c r="BO57" s="253"/>
      <c r="BP57" s="253"/>
      <c r="BQ57" s="253"/>
      <c r="BR57" s="253"/>
      <c r="BS57" s="253"/>
      <c r="BT57" s="253"/>
      <c r="BU57" s="253"/>
      <c r="BV57" s="253"/>
      <c r="BW57" s="253"/>
      <c r="BX57" s="253"/>
      <c r="BY57" s="253"/>
      <c r="BZ57" s="253"/>
      <c r="CA57" s="253"/>
      <c r="CB57" s="253"/>
      <c r="CC57" s="253"/>
      <c r="CD57" s="253"/>
      <c r="CE57" s="253"/>
      <c r="CF57" s="253"/>
      <c r="CG57" s="253"/>
      <c r="CH57" s="253"/>
      <c r="CI57" s="253"/>
      <c r="CJ57" s="253"/>
      <c r="CK57" s="253"/>
      <c r="CL57" s="253"/>
      <c r="CM57" s="253"/>
      <c r="CN57" s="253"/>
      <c r="CO57" s="253"/>
      <c r="CP57" s="253"/>
      <c r="CQ57" s="253"/>
      <c r="CR57" s="253"/>
      <c r="CS57" s="253"/>
      <c r="CT57" s="253"/>
      <c r="CU57" s="253"/>
      <c r="CV57" s="253"/>
      <c r="CW57" s="253"/>
      <c r="CX57" s="253"/>
      <c r="CY57" s="253"/>
      <c r="CZ57" s="253"/>
      <c r="DA57" s="253"/>
      <c r="DB57" s="253"/>
      <c r="DC57" s="253"/>
      <c r="DD57" s="253"/>
      <c r="DE57" s="253"/>
      <c r="DF57" s="253"/>
      <c r="DG57" s="253"/>
      <c r="DH57" s="253"/>
      <c r="DI57" s="253"/>
      <c r="DJ57" s="253"/>
      <c r="DK57" s="253"/>
      <c r="DL57" s="253"/>
      <c r="DM57" s="253"/>
      <c r="DN57" s="253"/>
      <c r="DO57" s="253"/>
      <c r="DP57" s="253"/>
      <c r="DQ57" s="253"/>
      <c r="DR57" s="253"/>
      <c r="DS57" s="253"/>
      <c r="DT57" s="253"/>
      <c r="DU57" s="253"/>
      <c r="DV57" s="253"/>
      <c r="DW57" s="253"/>
      <c r="DX57" s="253"/>
      <c r="DY57" s="253"/>
      <c r="DZ57" s="253"/>
      <c r="EA57" s="255">
        <f>200-200</f>
        <v>0</v>
      </c>
      <c r="EB57" s="253"/>
      <c r="EC57" s="255">
        <f>200-200</f>
        <v>0</v>
      </c>
      <c r="ED57" s="255">
        <f>40-40</f>
        <v>0</v>
      </c>
      <c r="EE57" s="255">
        <f>200-200</f>
        <v>0</v>
      </c>
      <c r="EF57" s="253"/>
      <c r="EG57" s="255">
        <f>200-200</f>
        <v>0</v>
      </c>
      <c r="EH57" s="253"/>
      <c r="EI57" s="253"/>
      <c r="EJ57" s="255">
        <f>200-200</f>
        <v>0</v>
      </c>
      <c r="EK57" s="253"/>
      <c r="EL57" s="255">
        <f>200-200</f>
        <v>0</v>
      </c>
      <c r="EM57" s="253"/>
      <c r="EN57" s="253"/>
      <c r="EO57" s="253"/>
      <c r="EP57" s="253"/>
      <c r="EQ57" s="253"/>
      <c r="ER57" s="253"/>
      <c r="ES57" s="253"/>
      <c r="ET57" s="253"/>
      <c r="EU57" s="253"/>
      <c r="EV57" s="253"/>
      <c r="EW57" s="253"/>
      <c r="EX57" s="253"/>
      <c r="EY57" s="253"/>
      <c r="EZ57" s="253"/>
      <c r="FA57" s="253"/>
      <c r="FB57" s="253"/>
      <c r="FC57" s="253"/>
      <c r="FD57" s="253"/>
      <c r="FE57" s="253"/>
      <c r="FF57" s="253"/>
      <c r="FG57" s="255">
        <f>300-300</f>
        <v>0</v>
      </c>
      <c r="FH57" s="255">
        <f>300-300</f>
        <v>0</v>
      </c>
      <c r="FI57" s="253"/>
      <c r="FJ57" s="253"/>
      <c r="FK57" s="253"/>
      <c r="FL57" s="253"/>
      <c r="FM57" s="253"/>
      <c r="FN57" s="256"/>
      <c r="FO57" s="257" t="s">
        <v>1270</v>
      </c>
      <c r="FP57" s="258" t="s">
        <v>389</v>
      </c>
      <c r="FQ57" s="258"/>
      <c r="FR57" s="258" t="s">
        <v>423</v>
      </c>
      <c r="FS57" s="259">
        <f t="shared" si="4"/>
        <v>90</v>
      </c>
      <c r="FT57" s="260" t="s">
        <v>835</v>
      </c>
    </row>
    <row r="58" spans="1:176" s="260" customFormat="1">
      <c r="A58" s="251" t="s">
        <v>393</v>
      </c>
      <c r="B58" s="251" t="s">
        <v>385</v>
      </c>
      <c r="C58" s="251" t="s">
        <v>411</v>
      </c>
      <c r="D58" s="251" t="s">
        <v>293</v>
      </c>
      <c r="E58" s="252" t="s">
        <v>427</v>
      </c>
      <c r="F58" s="251" t="s">
        <v>388</v>
      </c>
      <c r="G58" s="251"/>
      <c r="H58" s="253"/>
      <c r="I58" s="253"/>
      <c r="J58" s="255">
        <f>200-200</f>
        <v>0</v>
      </c>
      <c r="K58" s="253"/>
      <c r="L58" s="253"/>
      <c r="M58" s="253"/>
      <c r="N58" s="253"/>
      <c r="O58" s="253"/>
      <c r="P58" s="253"/>
      <c r="Q58" s="253"/>
      <c r="R58" s="253"/>
      <c r="S58" s="253"/>
      <c r="T58" s="253"/>
      <c r="U58" s="253"/>
      <c r="V58" s="253"/>
      <c r="W58" s="253"/>
      <c r="X58" s="253"/>
      <c r="Y58" s="253"/>
      <c r="Z58" s="253"/>
      <c r="AA58" s="253"/>
      <c r="AB58" s="253"/>
      <c r="AC58" s="253"/>
      <c r="AD58" s="253"/>
      <c r="AE58" s="253"/>
      <c r="AF58" s="253"/>
      <c r="AG58" s="253"/>
      <c r="AH58" s="253"/>
      <c r="AI58" s="253"/>
      <c r="AJ58" s="253"/>
      <c r="AK58" s="253"/>
      <c r="AL58" s="253"/>
      <c r="AM58" s="253"/>
      <c r="AN58" s="253"/>
      <c r="AO58" s="253"/>
      <c r="AP58" s="253"/>
      <c r="AQ58" s="253"/>
      <c r="AR58" s="253"/>
      <c r="AS58" s="253"/>
      <c r="AT58" s="253"/>
      <c r="AU58" s="253"/>
      <c r="AV58" s="253"/>
      <c r="AW58" s="253"/>
      <c r="AX58" s="253"/>
      <c r="AY58" s="253"/>
      <c r="AZ58" s="253"/>
      <c r="BA58" s="253"/>
      <c r="BB58" s="253"/>
      <c r="BC58" s="253"/>
      <c r="BD58" s="253"/>
      <c r="BE58" s="253"/>
      <c r="BF58" s="253"/>
      <c r="BG58" s="253"/>
      <c r="BH58" s="253"/>
      <c r="BI58" s="253"/>
      <c r="BJ58" s="253"/>
      <c r="BK58" s="253"/>
      <c r="BL58" s="253"/>
      <c r="BM58" s="253"/>
      <c r="BN58" s="253"/>
      <c r="BO58" s="253"/>
      <c r="BP58" s="253"/>
      <c r="BQ58" s="253"/>
      <c r="BR58" s="253"/>
      <c r="BS58" s="253"/>
      <c r="BT58" s="253"/>
      <c r="BU58" s="253"/>
      <c r="BV58" s="253"/>
      <c r="BW58" s="253"/>
      <c r="BX58" s="253"/>
      <c r="BY58" s="253"/>
      <c r="BZ58" s="253"/>
      <c r="CA58" s="253"/>
      <c r="CB58" s="253"/>
      <c r="CC58" s="253"/>
      <c r="CD58" s="253"/>
      <c r="CE58" s="253"/>
      <c r="CF58" s="253"/>
      <c r="CG58" s="253"/>
      <c r="CH58" s="253"/>
      <c r="CI58" s="253"/>
      <c r="CJ58" s="253"/>
      <c r="CK58" s="253"/>
      <c r="CL58" s="253"/>
      <c r="CM58" s="253"/>
      <c r="CN58" s="253"/>
      <c r="CO58" s="253"/>
      <c r="CP58" s="253"/>
      <c r="CQ58" s="253"/>
      <c r="CR58" s="253"/>
      <c r="CS58" s="253"/>
      <c r="CT58" s="253"/>
      <c r="CU58" s="253"/>
      <c r="CV58" s="253"/>
      <c r="CW58" s="253"/>
      <c r="CX58" s="253"/>
      <c r="CY58" s="253"/>
      <c r="CZ58" s="253"/>
      <c r="DA58" s="253"/>
      <c r="DB58" s="253"/>
      <c r="DC58" s="253"/>
      <c r="DD58" s="253"/>
      <c r="DE58" s="253"/>
      <c r="DF58" s="253"/>
      <c r="DG58" s="253"/>
      <c r="DH58" s="253"/>
      <c r="DI58" s="253"/>
      <c r="DJ58" s="253"/>
      <c r="DK58" s="253"/>
      <c r="DL58" s="253"/>
      <c r="DM58" s="253"/>
      <c r="DN58" s="253"/>
      <c r="DO58" s="253"/>
      <c r="DP58" s="253"/>
      <c r="DQ58" s="253"/>
      <c r="DR58" s="253"/>
      <c r="DS58" s="253"/>
      <c r="DT58" s="253"/>
      <c r="DU58" s="253"/>
      <c r="DV58" s="253"/>
      <c r="DW58" s="253"/>
      <c r="DX58" s="253"/>
      <c r="DY58" s="253"/>
      <c r="DZ58" s="253"/>
      <c r="EA58" s="253"/>
      <c r="EB58" s="253"/>
      <c r="EC58" s="253"/>
      <c r="ED58" s="253"/>
      <c r="EE58" s="253"/>
      <c r="EF58" s="253"/>
      <c r="EG58" s="253"/>
      <c r="EH58" s="253"/>
      <c r="EI58" s="253"/>
      <c r="EJ58" s="253"/>
      <c r="EK58" s="253"/>
      <c r="EL58" s="253"/>
      <c r="EM58" s="253"/>
      <c r="EN58" s="253"/>
      <c r="EO58" s="253"/>
      <c r="EP58" s="253"/>
      <c r="EQ58" s="253"/>
      <c r="ER58" s="253"/>
      <c r="ES58" s="253"/>
      <c r="ET58" s="253"/>
      <c r="EU58" s="253"/>
      <c r="EV58" s="253"/>
      <c r="EW58" s="253"/>
      <c r="EX58" s="253"/>
      <c r="EY58" s="253"/>
      <c r="EZ58" s="253"/>
      <c r="FA58" s="253"/>
      <c r="FB58" s="253"/>
      <c r="FC58" s="253"/>
      <c r="FD58" s="253"/>
      <c r="FE58" s="253"/>
      <c r="FF58" s="253"/>
      <c r="FG58" s="253"/>
      <c r="FH58" s="253"/>
      <c r="FI58" s="253"/>
      <c r="FJ58" s="253"/>
      <c r="FK58" s="253"/>
      <c r="FL58" s="253"/>
      <c r="FM58" s="253"/>
      <c r="FN58" s="256"/>
      <c r="FO58" s="257" t="s">
        <v>1270</v>
      </c>
      <c r="FP58" s="258" t="s">
        <v>389</v>
      </c>
      <c r="FQ58" s="258"/>
      <c r="FR58" s="258" t="s">
        <v>423</v>
      </c>
      <c r="FS58" s="259">
        <f t="shared" si="4"/>
        <v>0</v>
      </c>
      <c r="FT58" s="260" t="s">
        <v>835</v>
      </c>
    </row>
    <row r="59" spans="1:176" s="260" customFormat="1">
      <c r="A59" s="251" t="s">
        <v>393</v>
      </c>
      <c r="B59" s="251" t="s">
        <v>385</v>
      </c>
      <c r="C59" s="251" t="s">
        <v>411</v>
      </c>
      <c r="D59" s="251" t="s">
        <v>291</v>
      </c>
      <c r="E59" s="252" t="s">
        <v>428</v>
      </c>
      <c r="F59" s="251" t="s">
        <v>388</v>
      </c>
      <c r="G59" s="251"/>
      <c r="H59" s="253"/>
      <c r="I59" s="253"/>
      <c r="J59" s="253"/>
      <c r="K59" s="253"/>
      <c r="L59" s="253"/>
      <c r="M59" s="253"/>
      <c r="N59" s="253"/>
      <c r="O59" s="253"/>
      <c r="P59" s="253"/>
      <c r="Q59" s="253"/>
      <c r="R59" s="253"/>
      <c r="S59" s="253"/>
      <c r="T59" s="253"/>
      <c r="U59" s="253"/>
      <c r="V59" s="253"/>
      <c r="W59" s="253"/>
      <c r="X59" s="253"/>
      <c r="Y59" s="253"/>
      <c r="Z59" s="253"/>
      <c r="AA59" s="253"/>
      <c r="AB59" s="253"/>
      <c r="AC59" s="253"/>
      <c r="AD59" s="253"/>
      <c r="AE59" s="253"/>
      <c r="AF59" s="255">
        <f>200-200</f>
        <v>0</v>
      </c>
      <c r="AG59" s="255">
        <f>200-200</f>
        <v>0</v>
      </c>
      <c r="AH59" s="253"/>
      <c r="AI59" s="253"/>
      <c r="AJ59" s="253"/>
      <c r="AK59" s="253"/>
      <c r="AL59" s="253"/>
      <c r="AM59" s="253"/>
      <c r="AN59" s="255">
        <f>100-100</f>
        <v>0</v>
      </c>
      <c r="AO59" s="255">
        <f>100-100</f>
        <v>0</v>
      </c>
      <c r="AP59" s="253"/>
      <c r="AQ59" s="253"/>
      <c r="AR59" s="253"/>
      <c r="AS59" s="253"/>
      <c r="AT59" s="253"/>
      <c r="AU59" s="253"/>
      <c r="AV59" s="253"/>
      <c r="AW59" s="253"/>
      <c r="AX59" s="253"/>
      <c r="AY59" s="253"/>
      <c r="AZ59" s="253"/>
      <c r="BA59" s="253"/>
      <c r="BB59" s="255">
        <f>50-50</f>
        <v>0</v>
      </c>
      <c r="BC59" s="253"/>
      <c r="BD59" s="253"/>
      <c r="BE59" s="253"/>
      <c r="BF59" s="253"/>
      <c r="BG59" s="253"/>
      <c r="BH59" s="253"/>
      <c r="BI59" s="253"/>
      <c r="BJ59" s="253"/>
      <c r="BK59" s="253"/>
      <c r="BL59" s="253"/>
      <c r="BM59" s="253"/>
      <c r="BN59" s="253"/>
      <c r="BO59" s="253"/>
      <c r="BP59" s="253"/>
      <c r="BQ59" s="253"/>
      <c r="BR59" s="253"/>
      <c r="BS59" s="253"/>
      <c r="BT59" s="253"/>
      <c r="BU59" s="253"/>
      <c r="BV59" s="253"/>
      <c r="BW59" s="253"/>
      <c r="BX59" s="253"/>
      <c r="BY59" s="253"/>
      <c r="BZ59" s="253"/>
      <c r="CA59" s="253"/>
      <c r="CB59" s="253"/>
      <c r="CC59" s="253"/>
      <c r="CD59" s="253"/>
      <c r="CE59" s="253"/>
      <c r="CF59" s="253"/>
      <c r="CG59" s="253"/>
      <c r="CH59" s="253"/>
      <c r="CI59" s="253"/>
      <c r="CJ59" s="253"/>
      <c r="CK59" s="253"/>
      <c r="CL59" s="253"/>
      <c r="CM59" s="253"/>
      <c r="CN59" s="253"/>
      <c r="CO59" s="253"/>
      <c r="CP59" s="253"/>
      <c r="CQ59" s="253"/>
      <c r="CR59" s="253"/>
      <c r="CS59" s="253"/>
      <c r="CT59" s="253"/>
      <c r="CU59" s="253"/>
      <c r="CV59" s="253"/>
      <c r="CW59" s="253"/>
      <c r="CX59" s="253"/>
      <c r="CY59" s="253"/>
      <c r="CZ59" s="253"/>
      <c r="DA59" s="253"/>
      <c r="DB59" s="253"/>
      <c r="DC59" s="253"/>
      <c r="DD59" s="253"/>
      <c r="DE59" s="253"/>
      <c r="DF59" s="253"/>
      <c r="DG59" s="253"/>
      <c r="DH59" s="253"/>
      <c r="DI59" s="253"/>
      <c r="DJ59" s="253"/>
      <c r="DK59" s="253"/>
      <c r="DL59" s="253"/>
      <c r="DM59" s="253"/>
      <c r="DN59" s="253"/>
      <c r="DO59" s="253"/>
      <c r="DP59" s="253"/>
      <c r="DQ59" s="253"/>
      <c r="DR59" s="253"/>
      <c r="DS59" s="253"/>
      <c r="DT59" s="253"/>
      <c r="DU59" s="253"/>
      <c r="DV59" s="253"/>
      <c r="DW59" s="253"/>
      <c r="DX59" s="253"/>
      <c r="DY59" s="253"/>
      <c r="DZ59" s="253"/>
      <c r="EA59" s="253"/>
      <c r="EB59" s="253"/>
      <c r="EC59" s="253"/>
      <c r="ED59" s="253"/>
      <c r="EE59" s="253"/>
      <c r="EF59" s="253"/>
      <c r="EG59" s="253"/>
      <c r="EH59" s="253"/>
      <c r="EI59" s="253"/>
      <c r="EJ59" s="253"/>
      <c r="EK59" s="253"/>
      <c r="EL59" s="253"/>
      <c r="EM59" s="253"/>
      <c r="EN59" s="253"/>
      <c r="EO59" s="253"/>
      <c r="EP59" s="253"/>
      <c r="EQ59" s="253"/>
      <c r="ER59" s="253"/>
      <c r="ES59" s="253"/>
      <c r="ET59" s="253"/>
      <c r="EU59" s="253"/>
      <c r="EV59" s="253"/>
      <c r="EW59" s="253"/>
      <c r="EX59" s="253"/>
      <c r="EY59" s="253"/>
      <c r="EZ59" s="253"/>
      <c r="FA59" s="253"/>
      <c r="FB59" s="253"/>
      <c r="FC59" s="253"/>
      <c r="FD59" s="253"/>
      <c r="FE59" s="253"/>
      <c r="FF59" s="253"/>
      <c r="FG59" s="253"/>
      <c r="FH59" s="253"/>
      <c r="FI59" s="253"/>
      <c r="FJ59" s="253"/>
      <c r="FK59" s="253"/>
      <c r="FL59" s="253"/>
      <c r="FM59" s="253"/>
      <c r="FN59" s="256"/>
      <c r="FO59" s="257" t="s">
        <v>1270</v>
      </c>
      <c r="FP59" s="258" t="s">
        <v>389</v>
      </c>
      <c r="FQ59" s="258"/>
      <c r="FR59" s="258" t="s">
        <v>429</v>
      </c>
      <c r="FS59" s="259">
        <f t="shared" si="4"/>
        <v>0</v>
      </c>
      <c r="FT59" s="260" t="s">
        <v>414</v>
      </c>
    </row>
    <row r="60" spans="1:176" s="260" customFormat="1">
      <c r="A60" s="251" t="s">
        <v>393</v>
      </c>
      <c r="B60" s="251" t="s">
        <v>385</v>
      </c>
      <c r="C60" s="251" t="s">
        <v>411</v>
      </c>
      <c r="D60" s="251" t="s">
        <v>1</v>
      </c>
      <c r="E60" s="252" t="s">
        <v>428</v>
      </c>
      <c r="F60" s="251" t="s">
        <v>388</v>
      </c>
      <c r="G60" s="251"/>
      <c r="H60" s="253"/>
      <c r="I60" s="253"/>
      <c r="J60" s="253"/>
      <c r="K60" s="253"/>
      <c r="L60" s="253"/>
      <c r="M60" s="253"/>
      <c r="N60" s="253"/>
      <c r="O60" s="253"/>
      <c r="P60" s="253"/>
      <c r="Q60" s="253"/>
      <c r="R60" s="255">
        <f>200-200</f>
        <v>0</v>
      </c>
      <c r="S60" s="253"/>
      <c r="T60" s="255">
        <f>200-200</f>
        <v>0</v>
      </c>
      <c r="U60" s="255">
        <f>200-200</f>
        <v>0</v>
      </c>
      <c r="V60" s="253"/>
      <c r="W60" s="255">
        <f>200-200</f>
        <v>0</v>
      </c>
      <c r="X60" s="253"/>
      <c r="Y60" s="255">
        <f>200-200</f>
        <v>0</v>
      </c>
      <c r="Z60" s="255">
        <f>200-200</f>
        <v>0</v>
      </c>
      <c r="AA60" s="255">
        <f>200-200</f>
        <v>0</v>
      </c>
      <c r="AB60" s="255">
        <f>200-200</f>
        <v>0</v>
      </c>
      <c r="AC60" s="253"/>
      <c r="AD60" s="253"/>
      <c r="AE60" s="254">
        <f>200-200+10</f>
        <v>10</v>
      </c>
      <c r="AF60" s="253"/>
      <c r="AG60" s="253"/>
      <c r="AH60" s="255">
        <f>100-100</f>
        <v>0</v>
      </c>
      <c r="AI60" s="255">
        <f>100-100</f>
        <v>0</v>
      </c>
      <c r="AJ60" s="253"/>
      <c r="AK60" s="253"/>
      <c r="AL60" s="255">
        <f>100-100</f>
        <v>0</v>
      </c>
      <c r="AM60" s="253"/>
      <c r="AN60" s="253"/>
      <c r="AO60" s="254">
        <f>0+20</f>
        <v>20</v>
      </c>
      <c r="AP60" s="253"/>
      <c r="AQ60" s="253"/>
      <c r="AR60" s="253"/>
      <c r="AS60" s="255">
        <f>100-100</f>
        <v>0</v>
      </c>
      <c r="AT60" s="253"/>
      <c r="AU60" s="255">
        <f>100-100</f>
        <v>0</v>
      </c>
      <c r="AV60" s="253"/>
      <c r="AW60" s="253"/>
      <c r="AX60" s="254">
        <f>50-50+20</f>
        <v>20</v>
      </c>
      <c r="AY60" s="253"/>
      <c r="AZ60" s="253"/>
      <c r="BA60" s="253"/>
      <c r="BB60" s="253"/>
      <c r="BC60" s="255">
        <f>50-50</f>
        <v>0</v>
      </c>
      <c r="BD60" s="255">
        <f>50-50</f>
        <v>0</v>
      </c>
      <c r="BE60" s="253"/>
      <c r="BF60" s="253"/>
      <c r="BG60" s="253"/>
      <c r="BH60" s="253"/>
      <c r="BI60" s="253"/>
      <c r="BJ60" s="253"/>
      <c r="BK60" s="253"/>
      <c r="BL60" s="253"/>
      <c r="BM60" s="253"/>
      <c r="BN60" s="253"/>
      <c r="BO60" s="253"/>
      <c r="BP60" s="253"/>
      <c r="BQ60" s="253"/>
      <c r="BR60" s="253"/>
      <c r="BS60" s="253"/>
      <c r="BT60" s="253"/>
      <c r="BU60" s="253"/>
      <c r="BV60" s="253"/>
      <c r="BW60" s="253"/>
      <c r="BX60" s="253"/>
      <c r="BY60" s="253"/>
      <c r="BZ60" s="253"/>
      <c r="CA60" s="253"/>
      <c r="CB60" s="253"/>
      <c r="CC60" s="253"/>
      <c r="CD60" s="253"/>
      <c r="CE60" s="253"/>
      <c r="CF60" s="253"/>
      <c r="CG60" s="253"/>
      <c r="CH60" s="253"/>
      <c r="CI60" s="253"/>
      <c r="CJ60" s="253"/>
      <c r="CK60" s="253"/>
      <c r="CL60" s="253"/>
      <c r="CM60" s="253"/>
      <c r="CN60" s="253"/>
      <c r="CO60" s="253"/>
      <c r="CP60" s="253"/>
      <c r="CQ60" s="253"/>
      <c r="CR60" s="253"/>
      <c r="CS60" s="253"/>
      <c r="CT60" s="253"/>
      <c r="CU60" s="253"/>
      <c r="CV60" s="253"/>
      <c r="CW60" s="253"/>
      <c r="CX60" s="253"/>
      <c r="CY60" s="253"/>
      <c r="CZ60" s="253"/>
      <c r="DA60" s="253"/>
      <c r="DB60" s="253"/>
      <c r="DC60" s="253"/>
      <c r="DD60" s="253"/>
      <c r="DE60" s="253"/>
      <c r="DF60" s="253"/>
      <c r="DG60" s="253"/>
      <c r="DH60" s="253"/>
      <c r="DI60" s="253"/>
      <c r="DJ60" s="253"/>
      <c r="DK60" s="253"/>
      <c r="DL60" s="253"/>
      <c r="DM60" s="253"/>
      <c r="DN60" s="253"/>
      <c r="DO60" s="253"/>
      <c r="DP60" s="253"/>
      <c r="DQ60" s="253"/>
      <c r="DR60" s="253"/>
      <c r="DS60" s="253"/>
      <c r="DT60" s="253"/>
      <c r="DU60" s="253"/>
      <c r="DV60" s="253"/>
      <c r="DW60" s="253"/>
      <c r="DX60" s="253"/>
      <c r="DY60" s="255">
        <f>20-20</f>
        <v>0</v>
      </c>
      <c r="DZ60" s="255">
        <f>20-20</f>
        <v>0</v>
      </c>
      <c r="EA60" s="253"/>
      <c r="EB60" s="253"/>
      <c r="EC60" s="255">
        <f>20-20</f>
        <v>0</v>
      </c>
      <c r="ED60" s="255">
        <f>20-20</f>
        <v>0</v>
      </c>
      <c r="EE60" s="253"/>
      <c r="EF60" s="253"/>
      <c r="EG60" s="255">
        <f t="shared" ref="EG60:EL60" si="5">20-20</f>
        <v>0</v>
      </c>
      <c r="EH60" s="255">
        <f t="shared" si="5"/>
        <v>0</v>
      </c>
      <c r="EI60" s="255">
        <f t="shared" si="5"/>
        <v>0</v>
      </c>
      <c r="EJ60" s="255">
        <f t="shared" si="5"/>
        <v>0</v>
      </c>
      <c r="EK60" s="255">
        <f t="shared" si="5"/>
        <v>0</v>
      </c>
      <c r="EL60" s="255">
        <f t="shared" si="5"/>
        <v>0</v>
      </c>
      <c r="EM60" s="253"/>
      <c r="EN60" s="253"/>
      <c r="EO60" s="253"/>
      <c r="EP60" s="253"/>
      <c r="EQ60" s="253"/>
      <c r="ER60" s="253"/>
      <c r="ES60" s="253"/>
      <c r="ET60" s="253"/>
      <c r="EU60" s="253"/>
      <c r="EV60" s="253"/>
      <c r="EW60" s="253"/>
      <c r="EX60" s="253"/>
      <c r="EY60" s="253"/>
      <c r="EZ60" s="253"/>
      <c r="FA60" s="253"/>
      <c r="FB60" s="253"/>
      <c r="FC60" s="253"/>
      <c r="FD60" s="253"/>
      <c r="FE60" s="253"/>
      <c r="FF60" s="253"/>
      <c r="FG60" s="255">
        <f>100-100</f>
        <v>0</v>
      </c>
      <c r="FH60" s="255">
        <f>200-200</f>
        <v>0</v>
      </c>
      <c r="FI60" s="253"/>
      <c r="FJ60" s="253"/>
      <c r="FK60" s="253"/>
      <c r="FL60" s="253"/>
      <c r="FM60" s="253"/>
      <c r="FN60" s="256"/>
      <c r="FO60" s="257" t="s">
        <v>1270</v>
      </c>
      <c r="FP60" s="258" t="s">
        <v>389</v>
      </c>
      <c r="FQ60" s="258"/>
      <c r="FR60" s="258" t="s">
        <v>429</v>
      </c>
      <c r="FS60" s="259">
        <f t="shared" si="4"/>
        <v>50</v>
      </c>
      <c r="FT60" s="260" t="s">
        <v>414</v>
      </c>
    </row>
    <row r="61" spans="1:176" s="260" customFormat="1">
      <c r="A61" s="251" t="s">
        <v>393</v>
      </c>
      <c r="B61" s="251" t="s">
        <v>385</v>
      </c>
      <c r="C61" s="251" t="s">
        <v>411</v>
      </c>
      <c r="D61" s="251" t="s">
        <v>291</v>
      </c>
      <c r="E61" s="252" t="s">
        <v>430</v>
      </c>
      <c r="F61" s="251" t="s">
        <v>388</v>
      </c>
      <c r="G61" s="251"/>
      <c r="H61" s="253"/>
      <c r="I61" s="255">
        <f>40-40</f>
        <v>0</v>
      </c>
      <c r="J61" s="253"/>
      <c r="K61" s="255">
        <f>30-30</f>
        <v>0</v>
      </c>
      <c r="L61" s="254">
        <f>40-40+40</f>
        <v>40</v>
      </c>
      <c r="M61" s="253"/>
      <c r="N61" s="253"/>
      <c r="O61" s="253"/>
      <c r="P61" s="255">
        <f>200-200</f>
        <v>0</v>
      </c>
      <c r="Q61" s="253"/>
      <c r="R61" s="253"/>
      <c r="S61" s="253"/>
      <c r="T61" s="253"/>
      <c r="U61" s="253"/>
      <c r="V61" s="253"/>
      <c r="W61" s="253"/>
      <c r="X61" s="253"/>
      <c r="Y61" s="253"/>
      <c r="Z61" s="253"/>
      <c r="AA61" s="253"/>
      <c r="AB61" s="253"/>
      <c r="AC61" s="253"/>
      <c r="AD61" s="255">
        <f>10-10</f>
        <v>0</v>
      </c>
      <c r="AE61" s="253"/>
      <c r="AF61" s="255">
        <f>20-20</f>
        <v>0</v>
      </c>
      <c r="AG61" s="255">
        <f>40-40</f>
        <v>0</v>
      </c>
      <c r="AH61" s="253"/>
      <c r="AI61" s="253"/>
      <c r="AJ61" s="253"/>
      <c r="AK61" s="253"/>
      <c r="AL61" s="253"/>
      <c r="AM61" s="253"/>
      <c r="AN61" s="255">
        <f>110-110</f>
        <v>0</v>
      </c>
      <c r="AO61" s="253"/>
      <c r="AP61" s="255">
        <f>40-40</f>
        <v>0</v>
      </c>
      <c r="AQ61" s="253"/>
      <c r="AR61" s="253"/>
      <c r="AS61" s="253"/>
      <c r="AT61" s="253"/>
      <c r="AU61" s="253"/>
      <c r="AV61" s="253"/>
      <c r="AW61" s="253"/>
      <c r="AX61" s="253"/>
      <c r="AY61" s="253"/>
      <c r="AZ61" s="253"/>
      <c r="BA61" s="253"/>
      <c r="BB61" s="255">
        <f>10-10</f>
        <v>0</v>
      </c>
      <c r="BC61" s="253"/>
      <c r="BD61" s="253"/>
      <c r="BE61" s="253"/>
      <c r="BF61" s="253"/>
      <c r="BG61" s="253"/>
      <c r="BH61" s="253"/>
      <c r="BI61" s="253"/>
      <c r="BJ61" s="253"/>
      <c r="BK61" s="253"/>
      <c r="BL61" s="253"/>
      <c r="BM61" s="253"/>
      <c r="BN61" s="253"/>
      <c r="BO61" s="253"/>
      <c r="BP61" s="253"/>
      <c r="BQ61" s="253"/>
      <c r="BR61" s="253"/>
      <c r="BS61" s="253"/>
      <c r="BT61" s="253"/>
      <c r="BU61" s="253"/>
      <c r="BV61" s="253"/>
      <c r="BW61" s="253"/>
      <c r="BX61" s="253"/>
      <c r="BY61" s="253"/>
      <c r="BZ61" s="253"/>
      <c r="CA61" s="253"/>
      <c r="CB61" s="253"/>
      <c r="CC61" s="253"/>
      <c r="CD61" s="253"/>
      <c r="CE61" s="253"/>
      <c r="CF61" s="253"/>
      <c r="CG61" s="253"/>
      <c r="CH61" s="253"/>
      <c r="CI61" s="253"/>
      <c r="CJ61" s="253"/>
      <c r="CK61" s="253"/>
      <c r="CL61" s="253"/>
      <c r="CM61" s="253"/>
      <c r="CN61" s="253"/>
      <c r="CO61" s="253"/>
      <c r="CP61" s="253"/>
      <c r="CQ61" s="253"/>
      <c r="CR61" s="253"/>
      <c r="CS61" s="253"/>
      <c r="CT61" s="253"/>
      <c r="CU61" s="253"/>
      <c r="CV61" s="253"/>
      <c r="CW61" s="253"/>
      <c r="CX61" s="253"/>
      <c r="CY61" s="253"/>
      <c r="CZ61" s="253"/>
      <c r="DA61" s="253"/>
      <c r="DB61" s="253"/>
      <c r="DC61" s="253"/>
      <c r="DD61" s="253"/>
      <c r="DE61" s="253"/>
      <c r="DF61" s="253"/>
      <c r="DG61" s="253"/>
      <c r="DH61" s="253"/>
      <c r="DI61" s="253"/>
      <c r="DJ61" s="253"/>
      <c r="DK61" s="253"/>
      <c r="DL61" s="253"/>
      <c r="DM61" s="253"/>
      <c r="DN61" s="253"/>
      <c r="DO61" s="253"/>
      <c r="DP61" s="253"/>
      <c r="DQ61" s="253"/>
      <c r="DR61" s="253"/>
      <c r="DS61" s="254">
        <f>20-20+20</f>
        <v>20</v>
      </c>
      <c r="DT61" s="253"/>
      <c r="DU61" s="253"/>
      <c r="DV61" s="255">
        <f>60-60</f>
        <v>0</v>
      </c>
      <c r="DW61" s="253"/>
      <c r="DX61" s="253"/>
      <c r="DY61" s="253"/>
      <c r="DZ61" s="253"/>
      <c r="EA61" s="253"/>
      <c r="EB61" s="253"/>
      <c r="EC61" s="253"/>
      <c r="ED61" s="253"/>
      <c r="EE61" s="253"/>
      <c r="EF61" s="253"/>
      <c r="EG61" s="253"/>
      <c r="EH61" s="253"/>
      <c r="EI61" s="253"/>
      <c r="EJ61" s="253"/>
      <c r="EK61" s="253"/>
      <c r="EL61" s="253"/>
      <c r="EM61" s="253"/>
      <c r="EN61" s="253"/>
      <c r="EO61" s="253"/>
      <c r="EP61" s="253"/>
      <c r="EQ61" s="253"/>
      <c r="ER61" s="253"/>
      <c r="ES61" s="253"/>
      <c r="ET61" s="253"/>
      <c r="EU61" s="253"/>
      <c r="EV61" s="253"/>
      <c r="EW61" s="253"/>
      <c r="EX61" s="253"/>
      <c r="EY61" s="253"/>
      <c r="EZ61" s="253"/>
      <c r="FA61" s="253"/>
      <c r="FB61" s="253"/>
      <c r="FC61" s="253"/>
      <c r="FD61" s="253"/>
      <c r="FE61" s="253"/>
      <c r="FF61" s="253"/>
      <c r="FG61" s="253"/>
      <c r="FH61" s="253"/>
      <c r="FI61" s="253"/>
      <c r="FJ61" s="253"/>
      <c r="FK61" s="253"/>
      <c r="FL61" s="253"/>
      <c r="FM61" s="253"/>
      <c r="FN61" s="256"/>
      <c r="FO61" s="257" t="s">
        <v>1270</v>
      </c>
      <c r="FP61" s="258" t="s">
        <v>389</v>
      </c>
      <c r="FQ61" s="258" t="s">
        <v>431</v>
      </c>
      <c r="FR61" s="258" t="s">
        <v>432</v>
      </c>
      <c r="FS61" s="259">
        <f t="shared" si="4"/>
        <v>60</v>
      </c>
      <c r="FT61" s="260" t="s">
        <v>433</v>
      </c>
    </row>
    <row r="62" spans="1:176" s="260" customFormat="1">
      <c r="A62" s="251" t="s">
        <v>393</v>
      </c>
      <c r="B62" s="251" t="s">
        <v>385</v>
      </c>
      <c r="C62" s="251" t="s">
        <v>411</v>
      </c>
      <c r="D62" s="251" t="s">
        <v>1</v>
      </c>
      <c r="E62" s="252" t="s">
        <v>430</v>
      </c>
      <c r="F62" s="251" t="s">
        <v>388</v>
      </c>
      <c r="G62" s="251"/>
      <c r="H62" s="253"/>
      <c r="I62" s="253"/>
      <c r="J62" s="253"/>
      <c r="K62" s="253"/>
      <c r="L62" s="253"/>
      <c r="M62" s="253"/>
      <c r="N62" s="253"/>
      <c r="O62" s="253"/>
      <c r="P62" s="253"/>
      <c r="Q62" s="253"/>
      <c r="R62" s="255">
        <f>30-30</f>
        <v>0</v>
      </c>
      <c r="S62" s="253"/>
      <c r="T62" s="255">
        <f>60-60</f>
        <v>0</v>
      </c>
      <c r="U62" s="253"/>
      <c r="V62" s="253"/>
      <c r="W62" s="253"/>
      <c r="X62" s="253"/>
      <c r="Y62" s="253"/>
      <c r="Z62" s="255">
        <f>10-10</f>
        <v>0</v>
      </c>
      <c r="AA62" s="255">
        <f>20-20</f>
        <v>0</v>
      </c>
      <c r="AB62" s="253"/>
      <c r="AC62" s="253"/>
      <c r="AD62" s="253"/>
      <c r="AE62" s="253"/>
      <c r="AF62" s="253"/>
      <c r="AG62" s="253"/>
      <c r="AH62" s="255">
        <f>340-340</f>
        <v>0</v>
      </c>
      <c r="AI62" s="253"/>
      <c r="AJ62" s="253"/>
      <c r="AK62" s="253"/>
      <c r="AL62" s="253"/>
      <c r="AM62" s="253"/>
      <c r="AN62" s="253"/>
      <c r="AO62" s="253"/>
      <c r="AP62" s="253"/>
      <c r="AQ62" s="253"/>
      <c r="AR62" s="253"/>
      <c r="AS62" s="255">
        <f>160-160</f>
        <v>0</v>
      </c>
      <c r="AT62" s="253"/>
      <c r="AU62" s="253"/>
      <c r="AV62" s="253"/>
      <c r="AW62" s="253"/>
      <c r="AX62" s="254">
        <f>100-100+20</f>
        <v>20</v>
      </c>
      <c r="AY62" s="253"/>
      <c r="AZ62" s="253"/>
      <c r="BA62" s="253"/>
      <c r="BB62" s="253"/>
      <c r="BC62" s="253"/>
      <c r="BD62" s="255">
        <f>30-30</f>
        <v>0</v>
      </c>
      <c r="BE62" s="253"/>
      <c r="BF62" s="253"/>
      <c r="BG62" s="253"/>
      <c r="BH62" s="253"/>
      <c r="BI62" s="253"/>
      <c r="BJ62" s="253"/>
      <c r="BK62" s="253"/>
      <c r="BL62" s="253"/>
      <c r="BM62" s="253"/>
      <c r="BN62" s="253"/>
      <c r="BO62" s="253"/>
      <c r="BP62" s="253"/>
      <c r="BQ62" s="253"/>
      <c r="BR62" s="253"/>
      <c r="BS62" s="253"/>
      <c r="BT62" s="253"/>
      <c r="BU62" s="253"/>
      <c r="BV62" s="253"/>
      <c r="BW62" s="253"/>
      <c r="BX62" s="253"/>
      <c r="BY62" s="253"/>
      <c r="BZ62" s="253"/>
      <c r="CA62" s="253"/>
      <c r="CB62" s="253"/>
      <c r="CC62" s="253"/>
      <c r="CD62" s="253"/>
      <c r="CE62" s="253"/>
      <c r="CF62" s="253"/>
      <c r="CG62" s="253"/>
      <c r="CH62" s="253"/>
      <c r="CI62" s="253"/>
      <c r="CJ62" s="253"/>
      <c r="CK62" s="253"/>
      <c r="CL62" s="253"/>
      <c r="CM62" s="253"/>
      <c r="CN62" s="253"/>
      <c r="CO62" s="253"/>
      <c r="CP62" s="253"/>
      <c r="CQ62" s="253"/>
      <c r="CR62" s="253"/>
      <c r="CS62" s="253"/>
      <c r="CT62" s="253"/>
      <c r="CU62" s="253"/>
      <c r="CV62" s="253"/>
      <c r="CW62" s="253"/>
      <c r="CX62" s="253"/>
      <c r="CY62" s="253"/>
      <c r="CZ62" s="253"/>
      <c r="DA62" s="253"/>
      <c r="DB62" s="253"/>
      <c r="DC62" s="253"/>
      <c r="DD62" s="253"/>
      <c r="DE62" s="253"/>
      <c r="DF62" s="253"/>
      <c r="DG62" s="253"/>
      <c r="DH62" s="253"/>
      <c r="DI62" s="253"/>
      <c r="DJ62" s="253"/>
      <c r="DK62" s="253"/>
      <c r="DL62" s="253"/>
      <c r="DM62" s="253"/>
      <c r="DN62" s="253"/>
      <c r="DO62" s="253"/>
      <c r="DP62" s="253"/>
      <c r="DQ62" s="253"/>
      <c r="DR62" s="253"/>
      <c r="DS62" s="253"/>
      <c r="DT62" s="255">
        <f>90-90</f>
        <v>0</v>
      </c>
      <c r="DU62" s="253"/>
      <c r="DV62" s="253"/>
      <c r="DW62" s="253"/>
      <c r="DX62" s="253"/>
      <c r="DY62" s="253"/>
      <c r="DZ62" s="253"/>
      <c r="EA62" s="255">
        <f>70-70</f>
        <v>0</v>
      </c>
      <c r="EB62" s="255">
        <f>20-20</f>
        <v>0</v>
      </c>
      <c r="EC62" s="255">
        <f>30-30</f>
        <v>0</v>
      </c>
      <c r="ED62" s="255">
        <f>10-10</f>
        <v>0</v>
      </c>
      <c r="EE62" s="255">
        <f>10-10</f>
        <v>0</v>
      </c>
      <c r="EF62" s="253"/>
      <c r="EG62" s="255">
        <f>20-20</f>
        <v>0</v>
      </c>
      <c r="EH62" s="253"/>
      <c r="EI62" s="255">
        <f>70-70</f>
        <v>0</v>
      </c>
      <c r="EJ62" s="255">
        <f>45-45</f>
        <v>0</v>
      </c>
      <c r="EK62" s="253"/>
      <c r="EL62" s="255">
        <f>130-130</f>
        <v>0</v>
      </c>
      <c r="EM62" s="253"/>
      <c r="EN62" s="253"/>
      <c r="EO62" s="253"/>
      <c r="EP62" s="253"/>
      <c r="EQ62" s="253"/>
      <c r="ER62" s="253"/>
      <c r="ES62" s="253"/>
      <c r="ET62" s="253"/>
      <c r="EU62" s="253"/>
      <c r="EV62" s="253"/>
      <c r="EW62" s="253"/>
      <c r="EX62" s="253"/>
      <c r="EY62" s="253"/>
      <c r="EZ62" s="253"/>
      <c r="FA62" s="253"/>
      <c r="FB62" s="253"/>
      <c r="FC62" s="253"/>
      <c r="FD62" s="253"/>
      <c r="FE62" s="253"/>
      <c r="FF62" s="253"/>
      <c r="FG62" s="253"/>
      <c r="FH62" s="253"/>
      <c r="FI62" s="253"/>
      <c r="FJ62" s="253"/>
      <c r="FK62" s="253"/>
      <c r="FL62" s="253"/>
      <c r="FM62" s="253"/>
      <c r="FN62" s="256"/>
      <c r="FO62" s="257" t="s">
        <v>1270</v>
      </c>
      <c r="FP62" s="258" t="s">
        <v>389</v>
      </c>
      <c r="FQ62" s="258" t="s">
        <v>431</v>
      </c>
      <c r="FR62" s="258" t="s">
        <v>432</v>
      </c>
      <c r="FS62" s="259">
        <f t="shared" si="4"/>
        <v>20</v>
      </c>
      <c r="FT62" s="260" t="s">
        <v>433</v>
      </c>
    </row>
    <row r="63" spans="1:176" s="260" customFormat="1">
      <c r="A63" s="251" t="s">
        <v>393</v>
      </c>
      <c r="B63" s="251" t="s">
        <v>385</v>
      </c>
      <c r="C63" s="251" t="s">
        <v>411</v>
      </c>
      <c r="D63" s="251" t="s">
        <v>293</v>
      </c>
      <c r="E63" s="252" t="s">
        <v>430</v>
      </c>
      <c r="F63" s="251" t="s">
        <v>388</v>
      </c>
      <c r="G63" s="251"/>
      <c r="H63" s="253"/>
      <c r="I63" s="253"/>
      <c r="J63" s="255">
        <f>20-20</f>
        <v>0</v>
      </c>
      <c r="K63" s="253"/>
      <c r="L63" s="253"/>
      <c r="M63" s="253"/>
      <c r="N63" s="253"/>
      <c r="O63" s="253"/>
      <c r="P63" s="253"/>
      <c r="Q63" s="253"/>
      <c r="R63" s="253"/>
      <c r="S63" s="253"/>
      <c r="T63" s="253"/>
      <c r="U63" s="253"/>
      <c r="V63" s="253"/>
      <c r="W63" s="253"/>
      <c r="X63" s="253"/>
      <c r="Y63" s="253"/>
      <c r="Z63" s="253"/>
      <c r="AA63" s="253"/>
      <c r="AB63" s="253"/>
      <c r="AC63" s="253"/>
      <c r="AD63" s="253"/>
      <c r="AE63" s="253"/>
      <c r="AF63" s="253"/>
      <c r="AG63" s="253"/>
      <c r="AH63" s="253"/>
      <c r="AI63" s="253"/>
      <c r="AJ63" s="253"/>
      <c r="AK63" s="253"/>
      <c r="AL63" s="253"/>
      <c r="AM63" s="253"/>
      <c r="AN63" s="253"/>
      <c r="AO63" s="253"/>
      <c r="AP63" s="253"/>
      <c r="AQ63" s="253"/>
      <c r="AR63" s="253"/>
      <c r="AS63" s="253"/>
      <c r="AT63" s="253"/>
      <c r="AU63" s="253"/>
      <c r="AV63" s="253"/>
      <c r="AW63" s="253"/>
      <c r="AX63" s="253"/>
      <c r="AY63" s="253"/>
      <c r="AZ63" s="253"/>
      <c r="BA63" s="253"/>
      <c r="BB63" s="253"/>
      <c r="BC63" s="253"/>
      <c r="BD63" s="253"/>
      <c r="BE63" s="253"/>
      <c r="BF63" s="253"/>
      <c r="BG63" s="253"/>
      <c r="BH63" s="253"/>
      <c r="BI63" s="253"/>
      <c r="BJ63" s="253"/>
      <c r="BK63" s="253"/>
      <c r="BL63" s="253"/>
      <c r="BM63" s="253"/>
      <c r="BN63" s="253"/>
      <c r="BO63" s="253"/>
      <c r="BP63" s="253"/>
      <c r="BQ63" s="253"/>
      <c r="BR63" s="253"/>
      <c r="BS63" s="253"/>
      <c r="BT63" s="253"/>
      <c r="BU63" s="253"/>
      <c r="BV63" s="253"/>
      <c r="BW63" s="253"/>
      <c r="BX63" s="253"/>
      <c r="BY63" s="253"/>
      <c r="BZ63" s="253"/>
      <c r="CA63" s="253"/>
      <c r="CB63" s="253"/>
      <c r="CC63" s="253"/>
      <c r="CD63" s="253"/>
      <c r="CE63" s="253"/>
      <c r="CF63" s="253"/>
      <c r="CG63" s="253"/>
      <c r="CH63" s="253"/>
      <c r="CI63" s="253"/>
      <c r="CJ63" s="253"/>
      <c r="CK63" s="253"/>
      <c r="CL63" s="253"/>
      <c r="CM63" s="253"/>
      <c r="CN63" s="253"/>
      <c r="CO63" s="253"/>
      <c r="CP63" s="253"/>
      <c r="CQ63" s="253"/>
      <c r="CR63" s="253"/>
      <c r="CS63" s="253"/>
      <c r="CT63" s="253"/>
      <c r="CU63" s="253"/>
      <c r="CV63" s="253"/>
      <c r="CW63" s="253"/>
      <c r="CX63" s="253"/>
      <c r="CY63" s="253"/>
      <c r="CZ63" s="253"/>
      <c r="DA63" s="253"/>
      <c r="DB63" s="253"/>
      <c r="DC63" s="253"/>
      <c r="DD63" s="253"/>
      <c r="DE63" s="253"/>
      <c r="DF63" s="253"/>
      <c r="DG63" s="253"/>
      <c r="DH63" s="253"/>
      <c r="DI63" s="253"/>
      <c r="DJ63" s="253"/>
      <c r="DK63" s="253"/>
      <c r="DL63" s="253"/>
      <c r="DM63" s="253"/>
      <c r="DN63" s="253"/>
      <c r="DO63" s="253"/>
      <c r="DP63" s="253"/>
      <c r="DQ63" s="253"/>
      <c r="DR63" s="253"/>
      <c r="DS63" s="253"/>
      <c r="DT63" s="253"/>
      <c r="DU63" s="253"/>
      <c r="DV63" s="253"/>
      <c r="DW63" s="253"/>
      <c r="DX63" s="253"/>
      <c r="DY63" s="253"/>
      <c r="DZ63" s="253"/>
      <c r="EA63" s="253"/>
      <c r="EB63" s="253"/>
      <c r="EC63" s="253"/>
      <c r="ED63" s="253"/>
      <c r="EE63" s="253"/>
      <c r="EF63" s="253"/>
      <c r="EG63" s="253"/>
      <c r="EH63" s="253"/>
      <c r="EI63" s="253"/>
      <c r="EJ63" s="253"/>
      <c r="EK63" s="253"/>
      <c r="EL63" s="253"/>
      <c r="EM63" s="253"/>
      <c r="EN63" s="253"/>
      <c r="EO63" s="253"/>
      <c r="EP63" s="253"/>
      <c r="EQ63" s="253"/>
      <c r="ER63" s="253"/>
      <c r="ES63" s="253"/>
      <c r="ET63" s="253"/>
      <c r="EU63" s="253"/>
      <c r="EV63" s="253"/>
      <c r="EW63" s="253"/>
      <c r="EX63" s="253"/>
      <c r="EY63" s="253"/>
      <c r="EZ63" s="253"/>
      <c r="FA63" s="253"/>
      <c r="FB63" s="253"/>
      <c r="FC63" s="253"/>
      <c r="FD63" s="253"/>
      <c r="FE63" s="253"/>
      <c r="FF63" s="253"/>
      <c r="FG63" s="253"/>
      <c r="FH63" s="253"/>
      <c r="FI63" s="253"/>
      <c r="FJ63" s="253"/>
      <c r="FK63" s="253"/>
      <c r="FL63" s="253"/>
      <c r="FM63" s="253"/>
      <c r="FN63" s="256"/>
      <c r="FO63" s="257" t="s">
        <v>1270</v>
      </c>
      <c r="FP63" s="258" t="s">
        <v>389</v>
      </c>
      <c r="FQ63" s="258" t="s">
        <v>431</v>
      </c>
      <c r="FR63" s="258" t="s">
        <v>432</v>
      </c>
      <c r="FS63" s="259">
        <f t="shared" si="4"/>
        <v>0</v>
      </c>
      <c r="FT63" s="260" t="s">
        <v>433</v>
      </c>
    </row>
    <row r="64" spans="1:176" s="260" customFormat="1">
      <c r="A64" s="251" t="s">
        <v>393</v>
      </c>
      <c r="B64" s="251" t="s">
        <v>392</v>
      </c>
      <c r="C64" s="251" t="s">
        <v>411</v>
      </c>
      <c r="D64" s="251" t="s">
        <v>291</v>
      </c>
      <c r="E64" s="252" t="s">
        <v>430</v>
      </c>
      <c r="F64" s="251" t="s">
        <v>388</v>
      </c>
      <c r="G64" s="251"/>
      <c r="H64" s="253"/>
      <c r="I64" s="255">
        <f>20-20</f>
        <v>0</v>
      </c>
      <c r="J64" s="253"/>
      <c r="K64" s="255">
        <f>50-50</f>
        <v>0</v>
      </c>
      <c r="L64" s="254">
        <f>100-100+100</f>
        <v>100</v>
      </c>
      <c r="M64" s="255">
        <f>20-20</f>
        <v>0</v>
      </c>
      <c r="N64" s="253"/>
      <c r="O64" s="253"/>
      <c r="P64" s="255">
        <f>300-300</f>
        <v>0</v>
      </c>
      <c r="Q64" s="253"/>
      <c r="R64" s="253"/>
      <c r="S64" s="253"/>
      <c r="T64" s="253"/>
      <c r="U64" s="253"/>
      <c r="V64" s="253"/>
      <c r="W64" s="253"/>
      <c r="X64" s="253"/>
      <c r="Y64" s="253"/>
      <c r="Z64" s="253"/>
      <c r="AA64" s="253"/>
      <c r="AB64" s="253"/>
      <c r="AC64" s="253"/>
      <c r="AD64" s="255">
        <f>60-60</f>
        <v>0</v>
      </c>
      <c r="AE64" s="253"/>
      <c r="AF64" s="255">
        <f>40-40</f>
        <v>0</v>
      </c>
      <c r="AG64" s="255">
        <f>40-40</f>
        <v>0</v>
      </c>
      <c r="AH64" s="253"/>
      <c r="AI64" s="253"/>
      <c r="AJ64" s="253"/>
      <c r="AK64" s="253"/>
      <c r="AL64" s="253"/>
      <c r="AM64" s="253"/>
      <c r="AN64" s="255">
        <f>141-141</f>
        <v>0</v>
      </c>
      <c r="AO64" s="253"/>
      <c r="AP64" s="255">
        <f>90-90</f>
        <v>0</v>
      </c>
      <c r="AQ64" s="253"/>
      <c r="AR64" s="253"/>
      <c r="AS64" s="253"/>
      <c r="AT64" s="253"/>
      <c r="AU64" s="253"/>
      <c r="AV64" s="253"/>
      <c r="AW64" s="253"/>
      <c r="AX64" s="253"/>
      <c r="AY64" s="253"/>
      <c r="AZ64" s="253"/>
      <c r="BA64" s="253"/>
      <c r="BB64" s="254">
        <f>40-40+20</f>
        <v>20</v>
      </c>
      <c r="BC64" s="253"/>
      <c r="BD64" s="253"/>
      <c r="BE64" s="253"/>
      <c r="BF64" s="253"/>
      <c r="BG64" s="253"/>
      <c r="BH64" s="253"/>
      <c r="BI64" s="253"/>
      <c r="BJ64" s="253"/>
      <c r="BK64" s="253"/>
      <c r="BL64" s="253"/>
      <c r="BM64" s="253"/>
      <c r="BN64" s="253"/>
      <c r="BO64" s="253"/>
      <c r="BP64" s="253"/>
      <c r="BQ64" s="253"/>
      <c r="BR64" s="253"/>
      <c r="BS64" s="253"/>
      <c r="BT64" s="253"/>
      <c r="BU64" s="253"/>
      <c r="BV64" s="253"/>
      <c r="BW64" s="253"/>
      <c r="BX64" s="253"/>
      <c r="BY64" s="253"/>
      <c r="BZ64" s="253"/>
      <c r="CA64" s="253"/>
      <c r="CB64" s="253"/>
      <c r="CC64" s="253"/>
      <c r="CD64" s="253"/>
      <c r="CE64" s="253"/>
      <c r="CF64" s="253"/>
      <c r="CG64" s="253"/>
      <c r="CH64" s="253"/>
      <c r="CI64" s="253"/>
      <c r="CJ64" s="253"/>
      <c r="CK64" s="253"/>
      <c r="CL64" s="253"/>
      <c r="CM64" s="253"/>
      <c r="CN64" s="253"/>
      <c r="CO64" s="253"/>
      <c r="CP64" s="253"/>
      <c r="CQ64" s="253"/>
      <c r="CR64" s="253"/>
      <c r="CS64" s="253"/>
      <c r="CT64" s="253"/>
      <c r="CU64" s="253"/>
      <c r="CV64" s="253"/>
      <c r="CW64" s="253"/>
      <c r="CX64" s="253"/>
      <c r="CY64" s="253"/>
      <c r="CZ64" s="253"/>
      <c r="DA64" s="253"/>
      <c r="DB64" s="253"/>
      <c r="DC64" s="253"/>
      <c r="DD64" s="253"/>
      <c r="DE64" s="253"/>
      <c r="DF64" s="253"/>
      <c r="DG64" s="253"/>
      <c r="DH64" s="253"/>
      <c r="DI64" s="253"/>
      <c r="DJ64" s="253"/>
      <c r="DK64" s="253"/>
      <c r="DL64" s="253"/>
      <c r="DM64" s="253"/>
      <c r="DN64" s="253"/>
      <c r="DO64" s="253"/>
      <c r="DP64" s="253"/>
      <c r="DQ64" s="253"/>
      <c r="DR64" s="253"/>
      <c r="DS64" s="254">
        <f>60-60+60</f>
        <v>60</v>
      </c>
      <c r="DT64" s="253"/>
      <c r="DU64" s="253"/>
      <c r="DV64" s="255">
        <f>150-150</f>
        <v>0</v>
      </c>
      <c r="DW64" s="255">
        <f>20-20</f>
        <v>0</v>
      </c>
      <c r="DX64" s="253"/>
      <c r="DY64" s="253"/>
      <c r="DZ64" s="253"/>
      <c r="EA64" s="253"/>
      <c r="EB64" s="253"/>
      <c r="EC64" s="253"/>
      <c r="ED64" s="253"/>
      <c r="EE64" s="253"/>
      <c r="EF64" s="253"/>
      <c r="EG64" s="253"/>
      <c r="EH64" s="253"/>
      <c r="EI64" s="253"/>
      <c r="EJ64" s="253"/>
      <c r="EK64" s="253"/>
      <c r="EL64" s="253"/>
      <c r="EM64" s="253"/>
      <c r="EN64" s="253"/>
      <c r="EO64" s="253"/>
      <c r="EP64" s="253"/>
      <c r="EQ64" s="253"/>
      <c r="ER64" s="253"/>
      <c r="ES64" s="253"/>
      <c r="ET64" s="253"/>
      <c r="EU64" s="253"/>
      <c r="EV64" s="253"/>
      <c r="EW64" s="253"/>
      <c r="EX64" s="253"/>
      <c r="EY64" s="253"/>
      <c r="EZ64" s="253"/>
      <c r="FA64" s="253"/>
      <c r="FB64" s="253"/>
      <c r="FC64" s="253"/>
      <c r="FD64" s="253"/>
      <c r="FE64" s="253"/>
      <c r="FF64" s="253"/>
      <c r="FG64" s="253"/>
      <c r="FH64" s="253"/>
      <c r="FI64" s="253"/>
      <c r="FJ64" s="253"/>
      <c r="FK64" s="253"/>
      <c r="FL64" s="253"/>
      <c r="FM64" s="253"/>
      <c r="FN64" s="256"/>
      <c r="FO64" s="257" t="s">
        <v>1270</v>
      </c>
      <c r="FP64" s="258" t="s">
        <v>389</v>
      </c>
      <c r="FQ64" s="258" t="s">
        <v>431</v>
      </c>
      <c r="FR64" s="258" t="s">
        <v>432</v>
      </c>
      <c r="FS64" s="259">
        <f t="shared" si="4"/>
        <v>180</v>
      </c>
      <c r="FT64" s="260" t="s">
        <v>433</v>
      </c>
    </row>
    <row r="65" spans="1:176" s="260" customFormat="1">
      <c r="A65" s="251" t="s">
        <v>393</v>
      </c>
      <c r="B65" s="251" t="s">
        <v>392</v>
      </c>
      <c r="C65" s="251" t="s">
        <v>411</v>
      </c>
      <c r="D65" s="251" t="s">
        <v>1</v>
      </c>
      <c r="E65" s="252" t="s">
        <v>430</v>
      </c>
      <c r="F65" s="251" t="s">
        <v>388</v>
      </c>
      <c r="G65" s="251"/>
      <c r="H65" s="253"/>
      <c r="I65" s="253"/>
      <c r="J65" s="253"/>
      <c r="K65" s="253"/>
      <c r="L65" s="253"/>
      <c r="M65" s="253"/>
      <c r="N65" s="253"/>
      <c r="O65" s="253"/>
      <c r="P65" s="253"/>
      <c r="Q65" s="253"/>
      <c r="R65" s="255">
        <f>80-80</f>
        <v>0</v>
      </c>
      <c r="S65" s="253"/>
      <c r="T65" s="255">
        <f>100-100</f>
        <v>0</v>
      </c>
      <c r="U65" s="253"/>
      <c r="V65" s="253"/>
      <c r="W65" s="253"/>
      <c r="X65" s="253"/>
      <c r="Y65" s="253"/>
      <c r="Z65" s="255">
        <f>10-10</f>
        <v>0</v>
      </c>
      <c r="AA65" s="255">
        <f>110-110</f>
        <v>0</v>
      </c>
      <c r="AB65" s="255">
        <f>40-40</f>
        <v>0</v>
      </c>
      <c r="AC65" s="253"/>
      <c r="AD65" s="253"/>
      <c r="AE65" s="253"/>
      <c r="AF65" s="253"/>
      <c r="AG65" s="253"/>
      <c r="AH65" s="255">
        <f>360-360</f>
        <v>0</v>
      </c>
      <c r="AI65" s="253"/>
      <c r="AJ65" s="253"/>
      <c r="AK65" s="253"/>
      <c r="AL65" s="253"/>
      <c r="AM65" s="253"/>
      <c r="AN65" s="253"/>
      <c r="AO65" s="253"/>
      <c r="AP65" s="253"/>
      <c r="AQ65" s="253"/>
      <c r="AR65" s="253"/>
      <c r="AS65" s="255">
        <f>350-350</f>
        <v>0</v>
      </c>
      <c r="AT65" s="253"/>
      <c r="AU65" s="253"/>
      <c r="AV65" s="253"/>
      <c r="AW65" s="253"/>
      <c r="AX65" s="253"/>
      <c r="AY65" s="253"/>
      <c r="AZ65" s="253"/>
      <c r="BA65" s="253"/>
      <c r="BB65" s="253"/>
      <c r="BC65" s="253"/>
      <c r="BD65" s="255">
        <f>40-40</f>
        <v>0</v>
      </c>
      <c r="BE65" s="253"/>
      <c r="BF65" s="253"/>
      <c r="BG65" s="253"/>
      <c r="BH65" s="253"/>
      <c r="BI65" s="253"/>
      <c r="BJ65" s="253"/>
      <c r="BK65" s="253"/>
      <c r="BL65" s="253"/>
      <c r="BM65" s="253"/>
      <c r="BN65" s="253"/>
      <c r="BO65" s="253"/>
      <c r="BP65" s="253"/>
      <c r="BQ65" s="253"/>
      <c r="BR65" s="253"/>
      <c r="BS65" s="253"/>
      <c r="BT65" s="253"/>
      <c r="BU65" s="253"/>
      <c r="BV65" s="253"/>
      <c r="BW65" s="253"/>
      <c r="BX65" s="253"/>
      <c r="BY65" s="253"/>
      <c r="BZ65" s="253"/>
      <c r="CA65" s="253"/>
      <c r="CB65" s="253"/>
      <c r="CC65" s="253"/>
      <c r="CD65" s="253"/>
      <c r="CE65" s="253"/>
      <c r="CF65" s="253"/>
      <c r="CG65" s="253"/>
      <c r="CH65" s="253"/>
      <c r="CI65" s="253"/>
      <c r="CJ65" s="253"/>
      <c r="CK65" s="253"/>
      <c r="CL65" s="253"/>
      <c r="CM65" s="253"/>
      <c r="CN65" s="253"/>
      <c r="CO65" s="253"/>
      <c r="CP65" s="253"/>
      <c r="CQ65" s="253"/>
      <c r="CR65" s="253"/>
      <c r="CS65" s="253"/>
      <c r="CT65" s="253"/>
      <c r="CU65" s="253"/>
      <c r="CV65" s="253"/>
      <c r="CW65" s="253"/>
      <c r="CX65" s="253"/>
      <c r="CY65" s="253"/>
      <c r="CZ65" s="253"/>
      <c r="DA65" s="253"/>
      <c r="DB65" s="253"/>
      <c r="DC65" s="253"/>
      <c r="DD65" s="253"/>
      <c r="DE65" s="253"/>
      <c r="DF65" s="253"/>
      <c r="DG65" s="253"/>
      <c r="DH65" s="253"/>
      <c r="DI65" s="253"/>
      <c r="DJ65" s="253"/>
      <c r="DK65" s="253"/>
      <c r="DL65" s="253"/>
      <c r="DM65" s="253"/>
      <c r="DN65" s="253"/>
      <c r="DO65" s="253"/>
      <c r="DP65" s="253"/>
      <c r="DQ65" s="253"/>
      <c r="DR65" s="253"/>
      <c r="DS65" s="253"/>
      <c r="DT65" s="255">
        <f>240-240</f>
        <v>0</v>
      </c>
      <c r="DU65" s="253"/>
      <c r="DV65" s="253"/>
      <c r="DW65" s="253"/>
      <c r="DX65" s="253"/>
      <c r="DY65" s="253"/>
      <c r="DZ65" s="253"/>
      <c r="EA65" s="253"/>
      <c r="EB65" s="253"/>
      <c r="EC65" s="255">
        <f>40-40</f>
        <v>0</v>
      </c>
      <c r="ED65" s="255">
        <f>10-10</f>
        <v>0</v>
      </c>
      <c r="EE65" s="255">
        <f>4-4</f>
        <v>0</v>
      </c>
      <c r="EF65" s="253"/>
      <c r="EG65" s="255">
        <f>20-20</f>
        <v>0</v>
      </c>
      <c r="EH65" s="253"/>
      <c r="EI65" s="255">
        <f>40-40</f>
        <v>0</v>
      </c>
      <c r="EJ65" s="255">
        <f>30-30</f>
        <v>0</v>
      </c>
      <c r="EK65" s="253"/>
      <c r="EL65" s="255">
        <f>95-95</f>
        <v>0</v>
      </c>
      <c r="EM65" s="253"/>
      <c r="EN65" s="253"/>
      <c r="EO65" s="253"/>
      <c r="EP65" s="253"/>
      <c r="EQ65" s="253"/>
      <c r="ER65" s="253"/>
      <c r="ES65" s="253"/>
      <c r="ET65" s="253"/>
      <c r="EU65" s="253"/>
      <c r="EV65" s="253"/>
      <c r="EW65" s="253"/>
      <c r="EX65" s="253"/>
      <c r="EY65" s="253"/>
      <c r="EZ65" s="253"/>
      <c r="FA65" s="253"/>
      <c r="FB65" s="253"/>
      <c r="FC65" s="253"/>
      <c r="FD65" s="253"/>
      <c r="FE65" s="253"/>
      <c r="FF65" s="253"/>
      <c r="FG65" s="253"/>
      <c r="FH65" s="253"/>
      <c r="FI65" s="253"/>
      <c r="FJ65" s="253"/>
      <c r="FK65" s="253"/>
      <c r="FL65" s="253"/>
      <c r="FM65" s="253"/>
      <c r="FN65" s="256"/>
      <c r="FO65" s="257" t="s">
        <v>1270</v>
      </c>
      <c r="FP65" s="258" t="s">
        <v>389</v>
      </c>
      <c r="FQ65" s="258" t="s">
        <v>431</v>
      </c>
      <c r="FR65" s="258" t="s">
        <v>432</v>
      </c>
      <c r="FS65" s="259">
        <f t="shared" si="4"/>
        <v>0</v>
      </c>
      <c r="FT65" s="260" t="s">
        <v>433</v>
      </c>
    </row>
    <row r="66" spans="1:176" s="260" customFormat="1">
      <c r="A66" s="251" t="s">
        <v>393</v>
      </c>
      <c r="B66" s="251" t="s">
        <v>392</v>
      </c>
      <c r="C66" s="251" t="s">
        <v>411</v>
      </c>
      <c r="D66" s="251" t="s">
        <v>293</v>
      </c>
      <c r="E66" s="252" t="s">
        <v>430</v>
      </c>
      <c r="F66" s="251" t="s">
        <v>388</v>
      </c>
      <c r="G66" s="251"/>
      <c r="H66" s="253"/>
      <c r="I66" s="253"/>
      <c r="J66" s="255">
        <f>60-60</f>
        <v>0</v>
      </c>
      <c r="K66" s="253"/>
      <c r="L66" s="253"/>
      <c r="M66" s="253"/>
      <c r="N66" s="253"/>
      <c r="O66" s="253"/>
      <c r="P66" s="253"/>
      <c r="Q66" s="253"/>
      <c r="R66" s="253"/>
      <c r="S66" s="253"/>
      <c r="T66" s="253"/>
      <c r="U66" s="253"/>
      <c r="V66" s="253"/>
      <c r="W66" s="253"/>
      <c r="X66" s="253"/>
      <c r="Y66" s="253"/>
      <c r="Z66" s="253"/>
      <c r="AA66" s="253"/>
      <c r="AB66" s="253"/>
      <c r="AC66" s="253"/>
      <c r="AD66" s="253"/>
      <c r="AE66" s="253"/>
      <c r="AF66" s="253"/>
      <c r="AG66" s="253"/>
      <c r="AH66" s="253"/>
      <c r="AI66" s="253"/>
      <c r="AJ66" s="253"/>
      <c r="AK66" s="253"/>
      <c r="AL66" s="253"/>
      <c r="AM66" s="253"/>
      <c r="AN66" s="253"/>
      <c r="AO66" s="253"/>
      <c r="AP66" s="253"/>
      <c r="AQ66" s="253"/>
      <c r="AR66" s="253"/>
      <c r="AS66" s="253"/>
      <c r="AT66" s="253"/>
      <c r="AU66" s="253"/>
      <c r="AV66" s="253"/>
      <c r="AW66" s="253"/>
      <c r="AX66" s="253"/>
      <c r="AY66" s="253"/>
      <c r="AZ66" s="253"/>
      <c r="BA66" s="253"/>
      <c r="BB66" s="253"/>
      <c r="BC66" s="253"/>
      <c r="BD66" s="253"/>
      <c r="BE66" s="253"/>
      <c r="BF66" s="253"/>
      <c r="BG66" s="253"/>
      <c r="BH66" s="253"/>
      <c r="BI66" s="253"/>
      <c r="BJ66" s="253"/>
      <c r="BK66" s="253"/>
      <c r="BL66" s="253"/>
      <c r="BM66" s="253"/>
      <c r="BN66" s="253"/>
      <c r="BO66" s="253"/>
      <c r="BP66" s="253"/>
      <c r="BQ66" s="253"/>
      <c r="BR66" s="253"/>
      <c r="BS66" s="253"/>
      <c r="BT66" s="253"/>
      <c r="BU66" s="253"/>
      <c r="BV66" s="253"/>
      <c r="BW66" s="253"/>
      <c r="BX66" s="253"/>
      <c r="BY66" s="253"/>
      <c r="BZ66" s="253"/>
      <c r="CA66" s="253"/>
      <c r="CB66" s="253"/>
      <c r="CC66" s="253"/>
      <c r="CD66" s="253"/>
      <c r="CE66" s="253"/>
      <c r="CF66" s="253"/>
      <c r="CG66" s="253"/>
      <c r="CH66" s="253"/>
      <c r="CI66" s="253"/>
      <c r="CJ66" s="253"/>
      <c r="CK66" s="253"/>
      <c r="CL66" s="253"/>
      <c r="CM66" s="253"/>
      <c r="CN66" s="253"/>
      <c r="CO66" s="253"/>
      <c r="CP66" s="253"/>
      <c r="CQ66" s="253"/>
      <c r="CR66" s="253"/>
      <c r="CS66" s="253"/>
      <c r="CT66" s="253"/>
      <c r="CU66" s="253"/>
      <c r="CV66" s="253"/>
      <c r="CW66" s="253"/>
      <c r="CX66" s="253"/>
      <c r="CY66" s="253"/>
      <c r="CZ66" s="253"/>
      <c r="DA66" s="253"/>
      <c r="DB66" s="253"/>
      <c r="DC66" s="253"/>
      <c r="DD66" s="253"/>
      <c r="DE66" s="253"/>
      <c r="DF66" s="253"/>
      <c r="DG66" s="253"/>
      <c r="DH66" s="253"/>
      <c r="DI66" s="253"/>
      <c r="DJ66" s="253"/>
      <c r="DK66" s="253"/>
      <c r="DL66" s="253"/>
      <c r="DM66" s="253"/>
      <c r="DN66" s="253"/>
      <c r="DO66" s="253"/>
      <c r="DP66" s="253"/>
      <c r="DQ66" s="253"/>
      <c r="DR66" s="253"/>
      <c r="DS66" s="253"/>
      <c r="DT66" s="253"/>
      <c r="DU66" s="253"/>
      <c r="DV66" s="253"/>
      <c r="DW66" s="253"/>
      <c r="DX66" s="253"/>
      <c r="DY66" s="253"/>
      <c r="DZ66" s="253"/>
      <c r="EA66" s="253"/>
      <c r="EB66" s="253"/>
      <c r="EC66" s="253"/>
      <c r="ED66" s="253"/>
      <c r="EE66" s="253"/>
      <c r="EF66" s="253"/>
      <c r="EG66" s="253"/>
      <c r="EH66" s="253"/>
      <c r="EI66" s="253"/>
      <c r="EJ66" s="253"/>
      <c r="EK66" s="253"/>
      <c r="EL66" s="253"/>
      <c r="EM66" s="253"/>
      <c r="EN66" s="253"/>
      <c r="EO66" s="253"/>
      <c r="EP66" s="253"/>
      <c r="EQ66" s="253"/>
      <c r="ER66" s="253"/>
      <c r="ES66" s="253"/>
      <c r="ET66" s="253"/>
      <c r="EU66" s="253"/>
      <c r="EV66" s="253"/>
      <c r="EW66" s="253"/>
      <c r="EX66" s="253"/>
      <c r="EY66" s="253"/>
      <c r="EZ66" s="253"/>
      <c r="FA66" s="253"/>
      <c r="FB66" s="253"/>
      <c r="FC66" s="253"/>
      <c r="FD66" s="253"/>
      <c r="FE66" s="253"/>
      <c r="FF66" s="253"/>
      <c r="FG66" s="253"/>
      <c r="FH66" s="253"/>
      <c r="FI66" s="253"/>
      <c r="FJ66" s="253"/>
      <c r="FK66" s="253"/>
      <c r="FL66" s="253"/>
      <c r="FM66" s="253"/>
      <c r="FN66" s="256"/>
      <c r="FO66" s="257" t="s">
        <v>1270</v>
      </c>
      <c r="FP66" s="258" t="s">
        <v>389</v>
      </c>
      <c r="FQ66" s="258" t="s">
        <v>431</v>
      </c>
      <c r="FR66" s="258" t="s">
        <v>432</v>
      </c>
      <c r="FS66" s="259">
        <f t="shared" si="4"/>
        <v>0</v>
      </c>
      <c r="FT66" s="260" t="s">
        <v>433</v>
      </c>
    </row>
    <row r="67" spans="1:176" s="260" customFormat="1">
      <c r="A67" s="251" t="s">
        <v>385</v>
      </c>
      <c r="B67" s="251" t="s">
        <v>385</v>
      </c>
      <c r="C67" s="251" t="s">
        <v>411</v>
      </c>
      <c r="D67" s="251" t="s">
        <v>291</v>
      </c>
      <c r="E67" s="252" t="s">
        <v>434</v>
      </c>
      <c r="F67" s="251" t="s">
        <v>388</v>
      </c>
      <c r="G67" s="251"/>
      <c r="H67" s="253"/>
      <c r="I67" s="253"/>
      <c r="J67" s="253"/>
      <c r="K67" s="253"/>
      <c r="L67" s="253"/>
      <c r="M67" s="253"/>
      <c r="N67" s="253"/>
      <c r="O67" s="253"/>
      <c r="P67" s="253"/>
      <c r="Q67" s="253"/>
      <c r="R67" s="253"/>
      <c r="S67" s="253"/>
      <c r="T67" s="253"/>
      <c r="U67" s="253"/>
      <c r="V67" s="253"/>
      <c r="W67" s="253"/>
      <c r="X67" s="253"/>
      <c r="Y67" s="253"/>
      <c r="Z67" s="253"/>
      <c r="AA67" s="253"/>
      <c r="AB67" s="253"/>
      <c r="AC67" s="253"/>
      <c r="AD67" s="255">
        <f>300-300</f>
        <v>0</v>
      </c>
      <c r="AE67" s="253"/>
      <c r="AF67" s="253"/>
      <c r="AG67" s="253"/>
      <c r="AH67" s="253"/>
      <c r="AI67" s="253"/>
      <c r="AJ67" s="253"/>
      <c r="AK67" s="253"/>
      <c r="AL67" s="253"/>
      <c r="AM67" s="253"/>
      <c r="AN67" s="254">
        <f>300-300+10</f>
        <v>10</v>
      </c>
      <c r="AO67" s="253"/>
      <c r="AP67" s="253"/>
      <c r="AQ67" s="253"/>
      <c r="AR67" s="253"/>
      <c r="AS67" s="253"/>
      <c r="AT67" s="253"/>
      <c r="AU67" s="253"/>
      <c r="AV67" s="253"/>
      <c r="AW67" s="253"/>
      <c r="AX67" s="253"/>
      <c r="AY67" s="253"/>
      <c r="AZ67" s="253"/>
      <c r="BA67" s="253"/>
      <c r="BB67" s="255">
        <f>500-500</f>
        <v>0</v>
      </c>
      <c r="BC67" s="253"/>
      <c r="BD67" s="253"/>
      <c r="BE67" s="253"/>
      <c r="BF67" s="253"/>
      <c r="BG67" s="253"/>
      <c r="BH67" s="253"/>
      <c r="BI67" s="253"/>
      <c r="BJ67" s="253"/>
      <c r="BK67" s="253"/>
      <c r="BL67" s="253"/>
      <c r="BM67" s="253"/>
      <c r="BN67" s="253"/>
      <c r="BO67" s="253"/>
      <c r="BP67" s="253"/>
      <c r="BQ67" s="253"/>
      <c r="BR67" s="253"/>
      <c r="BS67" s="253"/>
      <c r="BT67" s="253"/>
      <c r="BU67" s="253"/>
      <c r="BV67" s="253"/>
      <c r="BW67" s="253"/>
      <c r="BX67" s="253"/>
      <c r="BY67" s="253"/>
      <c r="BZ67" s="253"/>
      <c r="CA67" s="253"/>
      <c r="CB67" s="253"/>
      <c r="CC67" s="253"/>
      <c r="CD67" s="253"/>
      <c r="CE67" s="253"/>
      <c r="CF67" s="253"/>
      <c r="CG67" s="253"/>
      <c r="CH67" s="253"/>
      <c r="CI67" s="253"/>
      <c r="CJ67" s="253"/>
      <c r="CK67" s="253"/>
      <c r="CL67" s="253"/>
      <c r="CM67" s="253"/>
      <c r="CN67" s="253"/>
      <c r="CO67" s="253"/>
      <c r="CP67" s="253"/>
      <c r="CQ67" s="253"/>
      <c r="CR67" s="253"/>
      <c r="CS67" s="253"/>
      <c r="CT67" s="253"/>
      <c r="CU67" s="253"/>
      <c r="CV67" s="253"/>
      <c r="CW67" s="253"/>
      <c r="CX67" s="253"/>
      <c r="CY67" s="253"/>
      <c r="CZ67" s="253"/>
      <c r="DA67" s="253"/>
      <c r="DB67" s="253"/>
      <c r="DC67" s="253"/>
      <c r="DD67" s="253"/>
      <c r="DE67" s="253"/>
      <c r="DF67" s="253"/>
      <c r="DG67" s="253"/>
      <c r="DH67" s="253"/>
      <c r="DI67" s="253"/>
      <c r="DJ67" s="253"/>
      <c r="DK67" s="253"/>
      <c r="DL67" s="253"/>
      <c r="DM67" s="253"/>
      <c r="DN67" s="253"/>
      <c r="DO67" s="253"/>
      <c r="DP67" s="253"/>
      <c r="DQ67" s="253"/>
      <c r="DR67" s="253"/>
      <c r="DS67" s="253"/>
      <c r="DT67" s="253"/>
      <c r="DU67" s="253"/>
      <c r="DV67" s="253"/>
      <c r="DW67" s="253"/>
      <c r="DX67" s="253"/>
      <c r="DY67" s="253"/>
      <c r="DZ67" s="253"/>
      <c r="EA67" s="253"/>
      <c r="EB67" s="253"/>
      <c r="EC67" s="253"/>
      <c r="ED67" s="253"/>
      <c r="EE67" s="253"/>
      <c r="EF67" s="253"/>
      <c r="EG67" s="253"/>
      <c r="EH67" s="253"/>
      <c r="EI67" s="253"/>
      <c r="EJ67" s="253"/>
      <c r="EK67" s="253"/>
      <c r="EL67" s="253"/>
      <c r="EM67" s="253"/>
      <c r="EN67" s="253"/>
      <c r="EO67" s="253"/>
      <c r="EP67" s="253"/>
      <c r="EQ67" s="253"/>
      <c r="ER67" s="253"/>
      <c r="ES67" s="253"/>
      <c r="ET67" s="253"/>
      <c r="EU67" s="253"/>
      <c r="EV67" s="253"/>
      <c r="EW67" s="253"/>
      <c r="EX67" s="253"/>
      <c r="EY67" s="253"/>
      <c r="EZ67" s="253"/>
      <c r="FA67" s="253"/>
      <c r="FB67" s="253"/>
      <c r="FC67" s="253"/>
      <c r="FD67" s="253"/>
      <c r="FE67" s="253"/>
      <c r="FF67" s="253"/>
      <c r="FG67" s="253"/>
      <c r="FH67" s="253"/>
      <c r="FI67" s="253"/>
      <c r="FJ67" s="253"/>
      <c r="FK67" s="253"/>
      <c r="FL67" s="253"/>
      <c r="FM67" s="253"/>
      <c r="FN67" s="256"/>
      <c r="FO67" s="257" t="s">
        <v>1270</v>
      </c>
      <c r="FP67" s="258" t="s">
        <v>389</v>
      </c>
      <c r="FQ67" s="258" t="s">
        <v>1082</v>
      </c>
      <c r="FR67" s="258" t="s">
        <v>420</v>
      </c>
      <c r="FS67" s="259">
        <f t="shared" si="4"/>
        <v>10</v>
      </c>
      <c r="FT67" s="260" t="s">
        <v>421</v>
      </c>
    </row>
    <row r="68" spans="1:176" s="260" customFormat="1">
      <c r="A68" s="251" t="s">
        <v>385</v>
      </c>
      <c r="B68" s="251" t="s">
        <v>385</v>
      </c>
      <c r="C68" s="251" t="s">
        <v>411</v>
      </c>
      <c r="D68" s="251" t="s">
        <v>1</v>
      </c>
      <c r="E68" s="252" t="s">
        <v>434</v>
      </c>
      <c r="F68" s="251" t="s">
        <v>388</v>
      </c>
      <c r="G68" s="251"/>
      <c r="H68" s="253"/>
      <c r="I68" s="253"/>
      <c r="J68" s="253"/>
      <c r="K68" s="253"/>
      <c r="L68" s="253"/>
      <c r="M68" s="253"/>
      <c r="N68" s="253"/>
      <c r="O68" s="253"/>
      <c r="P68" s="253"/>
      <c r="Q68" s="253"/>
      <c r="R68" s="253"/>
      <c r="S68" s="253"/>
      <c r="T68" s="253"/>
      <c r="U68" s="253"/>
      <c r="V68" s="253"/>
      <c r="W68" s="253"/>
      <c r="X68" s="253"/>
      <c r="Y68" s="253"/>
      <c r="Z68" s="253"/>
      <c r="AA68" s="253"/>
      <c r="AB68" s="255">
        <f>200-200</f>
        <v>0</v>
      </c>
      <c r="AC68" s="253"/>
      <c r="AD68" s="253"/>
      <c r="AE68" s="253"/>
      <c r="AF68" s="253"/>
      <c r="AG68" s="253"/>
      <c r="AH68" s="253"/>
      <c r="AI68" s="253"/>
      <c r="AJ68" s="253"/>
      <c r="AK68" s="253"/>
      <c r="AL68" s="253"/>
      <c r="AM68" s="253"/>
      <c r="AN68" s="253"/>
      <c r="AO68" s="253"/>
      <c r="AP68" s="253"/>
      <c r="AQ68" s="253"/>
      <c r="AR68" s="253"/>
      <c r="AS68" s="255">
        <f>300-300</f>
        <v>0</v>
      </c>
      <c r="AT68" s="253"/>
      <c r="AU68" s="253"/>
      <c r="AV68" s="253"/>
      <c r="AW68" s="253"/>
      <c r="AX68" s="254">
        <f>500-500+20</f>
        <v>20</v>
      </c>
      <c r="AY68" s="253"/>
      <c r="AZ68" s="253"/>
      <c r="BA68" s="253"/>
      <c r="BB68" s="253"/>
      <c r="BC68" s="253"/>
      <c r="BD68" s="253"/>
      <c r="BE68" s="253"/>
      <c r="BF68" s="253"/>
      <c r="BG68" s="253"/>
      <c r="BH68" s="253"/>
      <c r="BI68" s="253"/>
      <c r="BJ68" s="253"/>
      <c r="BK68" s="253"/>
      <c r="BL68" s="253"/>
      <c r="BM68" s="253"/>
      <c r="BN68" s="253"/>
      <c r="BO68" s="253"/>
      <c r="BP68" s="253"/>
      <c r="BQ68" s="253"/>
      <c r="BR68" s="253"/>
      <c r="BS68" s="253"/>
      <c r="BT68" s="253"/>
      <c r="BU68" s="253"/>
      <c r="BV68" s="253"/>
      <c r="BW68" s="253"/>
      <c r="BX68" s="253"/>
      <c r="BY68" s="253"/>
      <c r="BZ68" s="253"/>
      <c r="CA68" s="253"/>
      <c r="CB68" s="253"/>
      <c r="CC68" s="253"/>
      <c r="CD68" s="253"/>
      <c r="CE68" s="253"/>
      <c r="CF68" s="253"/>
      <c r="CG68" s="253"/>
      <c r="CH68" s="253"/>
      <c r="CI68" s="253"/>
      <c r="CJ68" s="253"/>
      <c r="CK68" s="253"/>
      <c r="CL68" s="253"/>
      <c r="CM68" s="253"/>
      <c r="CN68" s="253"/>
      <c r="CO68" s="253"/>
      <c r="CP68" s="253"/>
      <c r="CQ68" s="253"/>
      <c r="CR68" s="253"/>
      <c r="CS68" s="253"/>
      <c r="CT68" s="253"/>
      <c r="CU68" s="253"/>
      <c r="CV68" s="253"/>
      <c r="CW68" s="253"/>
      <c r="CX68" s="253"/>
      <c r="CY68" s="253"/>
      <c r="CZ68" s="253"/>
      <c r="DA68" s="253"/>
      <c r="DB68" s="253"/>
      <c r="DC68" s="253"/>
      <c r="DD68" s="253"/>
      <c r="DE68" s="253"/>
      <c r="DF68" s="253"/>
      <c r="DG68" s="253"/>
      <c r="DH68" s="253"/>
      <c r="DI68" s="253"/>
      <c r="DJ68" s="253"/>
      <c r="DK68" s="253"/>
      <c r="DL68" s="253"/>
      <c r="DM68" s="253"/>
      <c r="DN68" s="253"/>
      <c r="DO68" s="253"/>
      <c r="DP68" s="253"/>
      <c r="DQ68" s="253"/>
      <c r="DR68" s="253"/>
      <c r="DS68" s="253"/>
      <c r="DT68" s="253"/>
      <c r="DU68" s="253"/>
      <c r="DV68" s="253"/>
      <c r="DW68" s="253"/>
      <c r="DX68" s="253"/>
      <c r="DY68" s="253"/>
      <c r="DZ68" s="253"/>
      <c r="EA68" s="253"/>
      <c r="EB68" s="253"/>
      <c r="EC68" s="253"/>
      <c r="ED68" s="253"/>
      <c r="EE68" s="253"/>
      <c r="EF68" s="253"/>
      <c r="EG68" s="253"/>
      <c r="EH68" s="253"/>
      <c r="EI68" s="253"/>
      <c r="EJ68" s="253"/>
      <c r="EK68" s="253"/>
      <c r="EL68" s="253"/>
      <c r="EM68" s="253"/>
      <c r="EN68" s="253"/>
      <c r="EO68" s="253"/>
      <c r="EP68" s="253"/>
      <c r="EQ68" s="253"/>
      <c r="ER68" s="253"/>
      <c r="ES68" s="253"/>
      <c r="ET68" s="253"/>
      <c r="EU68" s="253"/>
      <c r="EV68" s="253"/>
      <c r="EW68" s="253"/>
      <c r="EX68" s="253"/>
      <c r="EY68" s="253"/>
      <c r="EZ68" s="253"/>
      <c r="FA68" s="253"/>
      <c r="FB68" s="253"/>
      <c r="FC68" s="253"/>
      <c r="FD68" s="253"/>
      <c r="FE68" s="253"/>
      <c r="FF68" s="253"/>
      <c r="FG68" s="253"/>
      <c r="FH68" s="253"/>
      <c r="FI68" s="253"/>
      <c r="FJ68" s="253"/>
      <c r="FK68" s="253"/>
      <c r="FL68" s="253"/>
      <c r="FM68" s="253"/>
      <c r="FN68" s="256"/>
      <c r="FO68" s="257" t="s">
        <v>1270</v>
      </c>
      <c r="FP68" s="258" t="s">
        <v>389</v>
      </c>
      <c r="FQ68" s="258" t="s">
        <v>1082</v>
      </c>
      <c r="FR68" s="258" t="s">
        <v>420</v>
      </c>
      <c r="FS68" s="259">
        <f t="shared" si="4"/>
        <v>20</v>
      </c>
      <c r="FT68" s="260" t="s">
        <v>421</v>
      </c>
    </row>
    <row r="69" spans="1:176" s="260" customFormat="1">
      <c r="A69" s="251" t="s">
        <v>385</v>
      </c>
      <c r="B69" s="251" t="s">
        <v>385</v>
      </c>
      <c r="C69" s="251" t="s">
        <v>411</v>
      </c>
      <c r="D69" s="251" t="s">
        <v>291</v>
      </c>
      <c r="E69" s="263" t="s">
        <v>434</v>
      </c>
      <c r="F69" s="251" t="s">
        <v>388</v>
      </c>
      <c r="G69" s="251"/>
      <c r="H69" s="253"/>
      <c r="I69" s="253"/>
      <c r="J69" s="253"/>
      <c r="K69" s="253"/>
      <c r="L69" s="253"/>
      <c r="M69" s="253"/>
      <c r="N69" s="253"/>
      <c r="O69" s="253"/>
      <c r="P69" s="253"/>
      <c r="Q69" s="253"/>
      <c r="R69" s="253"/>
      <c r="S69" s="253"/>
      <c r="T69" s="253"/>
      <c r="U69" s="253"/>
      <c r="V69" s="253"/>
      <c r="W69" s="253"/>
      <c r="X69" s="253"/>
      <c r="Y69" s="253"/>
      <c r="Z69" s="253"/>
      <c r="AA69" s="253"/>
      <c r="AB69" s="253"/>
      <c r="AC69" s="253"/>
      <c r="AD69" s="255">
        <f>300-300</f>
        <v>0</v>
      </c>
      <c r="AE69" s="253"/>
      <c r="AF69" s="253"/>
      <c r="AG69" s="253"/>
      <c r="AH69" s="253"/>
      <c r="AI69" s="253"/>
      <c r="AJ69" s="253"/>
      <c r="AK69" s="253"/>
      <c r="AL69" s="253"/>
      <c r="AM69" s="253"/>
      <c r="AN69" s="255">
        <f>300-300</f>
        <v>0</v>
      </c>
      <c r="AO69" s="253"/>
      <c r="AP69" s="253"/>
      <c r="AQ69" s="253"/>
      <c r="AR69" s="253"/>
      <c r="AS69" s="253"/>
      <c r="AT69" s="253"/>
      <c r="AU69" s="253"/>
      <c r="AV69" s="253"/>
      <c r="AW69" s="253"/>
      <c r="AX69" s="253"/>
      <c r="AY69" s="253"/>
      <c r="AZ69" s="253"/>
      <c r="BA69" s="253"/>
      <c r="BB69" s="255">
        <f>500-500</f>
        <v>0</v>
      </c>
      <c r="BC69" s="253"/>
      <c r="BD69" s="253"/>
      <c r="BE69" s="253"/>
      <c r="BF69" s="253"/>
      <c r="BG69" s="253"/>
      <c r="BH69" s="253"/>
      <c r="BI69" s="253"/>
      <c r="BJ69" s="253"/>
      <c r="BK69" s="253"/>
      <c r="BL69" s="253"/>
      <c r="BM69" s="253"/>
      <c r="BN69" s="253"/>
      <c r="BO69" s="253"/>
      <c r="BP69" s="253"/>
      <c r="BQ69" s="253"/>
      <c r="BR69" s="253"/>
      <c r="BS69" s="253"/>
      <c r="BT69" s="253"/>
      <c r="BU69" s="253"/>
      <c r="BV69" s="253"/>
      <c r="BW69" s="253"/>
      <c r="BX69" s="253"/>
      <c r="BY69" s="253"/>
      <c r="BZ69" s="253"/>
      <c r="CA69" s="253"/>
      <c r="CB69" s="253"/>
      <c r="CC69" s="253"/>
      <c r="CD69" s="253"/>
      <c r="CE69" s="253"/>
      <c r="CF69" s="253"/>
      <c r="CG69" s="253"/>
      <c r="CH69" s="253"/>
      <c r="CI69" s="253"/>
      <c r="CJ69" s="253"/>
      <c r="CK69" s="253"/>
      <c r="CL69" s="253"/>
      <c r="CM69" s="253"/>
      <c r="CN69" s="253"/>
      <c r="CO69" s="253"/>
      <c r="CP69" s="253"/>
      <c r="CQ69" s="253"/>
      <c r="CR69" s="253"/>
      <c r="CS69" s="253"/>
      <c r="CT69" s="253"/>
      <c r="CU69" s="253"/>
      <c r="CV69" s="253"/>
      <c r="CW69" s="253"/>
      <c r="CX69" s="253"/>
      <c r="CY69" s="253"/>
      <c r="CZ69" s="253"/>
      <c r="DA69" s="253"/>
      <c r="DB69" s="253"/>
      <c r="DC69" s="253"/>
      <c r="DD69" s="253"/>
      <c r="DE69" s="253"/>
      <c r="DF69" s="253"/>
      <c r="DG69" s="253"/>
      <c r="DH69" s="253"/>
      <c r="DI69" s="253"/>
      <c r="DJ69" s="253"/>
      <c r="DK69" s="253"/>
      <c r="DL69" s="253"/>
      <c r="DM69" s="253"/>
      <c r="DN69" s="253"/>
      <c r="DO69" s="253"/>
      <c r="DP69" s="253"/>
      <c r="DQ69" s="253"/>
      <c r="DR69" s="253"/>
      <c r="DS69" s="253"/>
      <c r="DT69" s="253"/>
      <c r="DU69" s="253"/>
      <c r="DV69" s="253"/>
      <c r="DW69" s="253"/>
      <c r="DX69" s="253"/>
      <c r="DY69" s="253"/>
      <c r="DZ69" s="253"/>
      <c r="EA69" s="253"/>
      <c r="EB69" s="253"/>
      <c r="EC69" s="253"/>
      <c r="ED69" s="253"/>
      <c r="EE69" s="253"/>
      <c r="EF69" s="253"/>
      <c r="EG69" s="253"/>
      <c r="EH69" s="253"/>
      <c r="EI69" s="253"/>
      <c r="EJ69" s="253"/>
      <c r="EK69" s="253"/>
      <c r="EL69" s="253"/>
      <c r="EM69" s="253"/>
      <c r="EN69" s="253"/>
      <c r="EO69" s="253"/>
      <c r="EP69" s="253"/>
      <c r="EQ69" s="253"/>
      <c r="ER69" s="253"/>
      <c r="ES69" s="253"/>
      <c r="ET69" s="253"/>
      <c r="EU69" s="253"/>
      <c r="EV69" s="253"/>
      <c r="EW69" s="253"/>
      <c r="EX69" s="253"/>
      <c r="EY69" s="253"/>
      <c r="EZ69" s="253"/>
      <c r="FA69" s="253"/>
      <c r="FB69" s="253"/>
      <c r="FC69" s="253"/>
      <c r="FD69" s="253"/>
      <c r="FE69" s="253"/>
      <c r="FF69" s="253"/>
      <c r="FG69" s="253"/>
      <c r="FH69" s="253"/>
      <c r="FI69" s="253"/>
      <c r="FJ69" s="253"/>
      <c r="FK69" s="253"/>
      <c r="FL69" s="253"/>
      <c r="FM69" s="253"/>
      <c r="FN69" s="256"/>
      <c r="FO69" s="257" t="s">
        <v>1270</v>
      </c>
      <c r="FP69" s="258" t="s">
        <v>389</v>
      </c>
      <c r="FQ69" s="258" t="s">
        <v>435</v>
      </c>
      <c r="FR69" s="258" t="s">
        <v>420</v>
      </c>
      <c r="FS69" s="259">
        <f t="shared" si="4"/>
        <v>0</v>
      </c>
      <c r="FT69" s="260" t="s">
        <v>421</v>
      </c>
    </row>
    <row r="70" spans="1:176" s="260" customFormat="1">
      <c r="A70" s="251" t="s">
        <v>385</v>
      </c>
      <c r="B70" s="251" t="s">
        <v>385</v>
      </c>
      <c r="C70" s="251" t="s">
        <v>411</v>
      </c>
      <c r="D70" s="251" t="s">
        <v>1</v>
      </c>
      <c r="E70" s="263" t="s">
        <v>434</v>
      </c>
      <c r="F70" s="251" t="s">
        <v>388</v>
      </c>
      <c r="G70" s="251"/>
      <c r="H70" s="253"/>
      <c r="I70" s="253"/>
      <c r="J70" s="253"/>
      <c r="K70" s="253"/>
      <c r="L70" s="253"/>
      <c r="M70" s="253"/>
      <c r="N70" s="253"/>
      <c r="O70" s="253"/>
      <c r="P70" s="253"/>
      <c r="Q70" s="253"/>
      <c r="R70" s="253"/>
      <c r="S70" s="253"/>
      <c r="T70" s="253"/>
      <c r="U70" s="253"/>
      <c r="V70" s="253"/>
      <c r="W70" s="253"/>
      <c r="X70" s="253"/>
      <c r="Y70" s="253"/>
      <c r="Z70" s="253"/>
      <c r="AA70" s="253"/>
      <c r="AB70" s="255">
        <f>200-200</f>
        <v>0</v>
      </c>
      <c r="AC70" s="253"/>
      <c r="AD70" s="253"/>
      <c r="AE70" s="253"/>
      <c r="AF70" s="253"/>
      <c r="AG70" s="253"/>
      <c r="AH70" s="253"/>
      <c r="AI70" s="253"/>
      <c r="AJ70" s="253"/>
      <c r="AK70" s="253"/>
      <c r="AL70" s="253"/>
      <c r="AM70" s="253"/>
      <c r="AN70" s="253"/>
      <c r="AO70" s="253"/>
      <c r="AP70" s="253"/>
      <c r="AQ70" s="253"/>
      <c r="AR70" s="253"/>
      <c r="AS70" s="255">
        <f>300-300</f>
        <v>0</v>
      </c>
      <c r="AT70" s="253"/>
      <c r="AU70" s="253"/>
      <c r="AV70" s="253"/>
      <c r="AW70" s="253"/>
      <c r="AX70" s="254">
        <f>500-500+20</f>
        <v>20</v>
      </c>
      <c r="AY70" s="253"/>
      <c r="AZ70" s="253"/>
      <c r="BA70" s="253"/>
      <c r="BB70" s="253"/>
      <c r="BC70" s="253"/>
      <c r="BD70" s="253"/>
      <c r="BE70" s="253"/>
      <c r="BF70" s="253"/>
      <c r="BG70" s="253"/>
      <c r="BH70" s="253"/>
      <c r="BI70" s="253"/>
      <c r="BJ70" s="253"/>
      <c r="BK70" s="253"/>
      <c r="BL70" s="253"/>
      <c r="BM70" s="253"/>
      <c r="BN70" s="253"/>
      <c r="BO70" s="253"/>
      <c r="BP70" s="253"/>
      <c r="BQ70" s="253"/>
      <c r="BR70" s="253"/>
      <c r="BS70" s="253"/>
      <c r="BT70" s="253"/>
      <c r="BU70" s="253"/>
      <c r="BV70" s="253"/>
      <c r="BW70" s="253"/>
      <c r="BX70" s="253"/>
      <c r="BY70" s="253"/>
      <c r="BZ70" s="253"/>
      <c r="CA70" s="253"/>
      <c r="CB70" s="253"/>
      <c r="CC70" s="253"/>
      <c r="CD70" s="253"/>
      <c r="CE70" s="253"/>
      <c r="CF70" s="253"/>
      <c r="CG70" s="253"/>
      <c r="CH70" s="253"/>
      <c r="CI70" s="253"/>
      <c r="CJ70" s="253"/>
      <c r="CK70" s="253"/>
      <c r="CL70" s="253"/>
      <c r="CM70" s="253"/>
      <c r="CN70" s="253"/>
      <c r="CO70" s="253"/>
      <c r="CP70" s="253"/>
      <c r="CQ70" s="253"/>
      <c r="CR70" s="253"/>
      <c r="CS70" s="253"/>
      <c r="CT70" s="253"/>
      <c r="CU70" s="253"/>
      <c r="CV70" s="253"/>
      <c r="CW70" s="253"/>
      <c r="CX70" s="253"/>
      <c r="CY70" s="253"/>
      <c r="CZ70" s="253"/>
      <c r="DA70" s="253"/>
      <c r="DB70" s="253"/>
      <c r="DC70" s="253"/>
      <c r="DD70" s="253"/>
      <c r="DE70" s="253"/>
      <c r="DF70" s="253"/>
      <c r="DG70" s="253"/>
      <c r="DH70" s="253"/>
      <c r="DI70" s="253"/>
      <c r="DJ70" s="253"/>
      <c r="DK70" s="253"/>
      <c r="DL70" s="253"/>
      <c r="DM70" s="253"/>
      <c r="DN70" s="253"/>
      <c r="DO70" s="253"/>
      <c r="DP70" s="253"/>
      <c r="DQ70" s="253"/>
      <c r="DR70" s="253"/>
      <c r="DS70" s="253"/>
      <c r="DT70" s="253"/>
      <c r="DU70" s="253"/>
      <c r="DV70" s="253"/>
      <c r="DW70" s="253"/>
      <c r="DX70" s="253"/>
      <c r="DY70" s="253"/>
      <c r="DZ70" s="253"/>
      <c r="EA70" s="253"/>
      <c r="EB70" s="253"/>
      <c r="EC70" s="253"/>
      <c r="ED70" s="253"/>
      <c r="EE70" s="253"/>
      <c r="EF70" s="253"/>
      <c r="EG70" s="253"/>
      <c r="EH70" s="253"/>
      <c r="EI70" s="253"/>
      <c r="EJ70" s="253"/>
      <c r="EK70" s="253"/>
      <c r="EL70" s="253"/>
      <c r="EM70" s="253"/>
      <c r="EN70" s="253"/>
      <c r="EO70" s="253"/>
      <c r="EP70" s="253"/>
      <c r="EQ70" s="253"/>
      <c r="ER70" s="253"/>
      <c r="ES70" s="253"/>
      <c r="ET70" s="253"/>
      <c r="EU70" s="253"/>
      <c r="EV70" s="253"/>
      <c r="EW70" s="253"/>
      <c r="EX70" s="253"/>
      <c r="EY70" s="253"/>
      <c r="EZ70" s="253"/>
      <c r="FA70" s="253"/>
      <c r="FB70" s="253"/>
      <c r="FC70" s="253"/>
      <c r="FD70" s="253"/>
      <c r="FE70" s="253"/>
      <c r="FF70" s="253"/>
      <c r="FG70" s="253"/>
      <c r="FH70" s="253"/>
      <c r="FI70" s="253"/>
      <c r="FJ70" s="253"/>
      <c r="FK70" s="253"/>
      <c r="FL70" s="253"/>
      <c r="FM70" s="253"/>
      <c r="FN70" s="256"/>
      <c r="FO70" s="257" t="s">
        <v>1270</v>
      </c>
      <c r="FP70" s="258" t="s">
        <v>389</v>
      </c>
      <c r="FQ70" s="258" t="s">
        <v>435</v>
      </c>
      <c r="FR70" s="258" t="s">
        <v>420</v>
      </c>
      <c r="FS70" s="259">
        <f t="shared" si="4"/>
        <v>20</v>
      </c>
      <c r="FT70" s="260" t="s">
        <v>421</v>
      </c>
    </row>
    <row r="71" spans="1:176" s="260" customFormat="1">
      <c r="A71" s="251" t="s">
        <v>385</v>
      </c>
      <c r="B71" s="251" t="s">
        <v>385</v>
      </c>
      <c r="C71" s="251" t="s">
        <v>411</v>
      </c>
      <c r="D71" s="251" t="s">
        <v>291</v>
      </c>
      <c r="E71" s="252" t="s">
        <v>434</v>
      </c>
      <c r="F71" s="251" t="s">
        <v>388</v>
      </c>
      <c r="G71" s="251"/>
      <c r="H71" s="253"/>
      <c r="I71" s="253"/>
      <c r="J71" s="253"/>
      <c r="K71" s="253"/>
      <c r="L71" s="253"/>
      <c r="M71" s="253"/>
      <c r="N71" s="253"/>
      <c r="O71" s="253"/>
      <c r="P71" s="255">
        <f>100-100</f>
        <v>0</v>
      </c>
      <c r="Q71" s="253"/>
      <c r="R71" s="253"/>
      <c r="S71" s="253"/>
      <c r="T71" s="253"/>
      <c r="U71" s="253"/>
      <c r="V71" s="253"/>
      <c r="W71" s="253"/>
      <c r="X71" s="253"/>
      <c r="Y71" s="253"/>
      <c r="Z71" s="253"/>
      <c r="AA71" s="253"/>
      <c r="AB71" s="253"/>
      <c r="AC71" s="253"/>
      <c r="AD71" s="255">
        <f>100-100</f>
        <v>0</v>
      </c>
      <c r="AE71" s="253"/>
      <c r="AF71" s="253"/>
      <c r="AG71" s="253"/>
      <c r="AH71" s="253"/>
      <c r="AI71" s="253"/>
      <c r="AJ71" s="253"/>
      <c r="AK71" s="253"/>
      <c r="AL71" s="253"/>
      <c r="AM71" s="253"/>
      <c r="AN71" s="255">
        <f>300-300</f>
        <v>0</v>
      </c>
      <c r="AO71" s="253"/>
      <c r="AP71" s="253"/>
      <c r="AQ71" s="253"/>
      <c r="AR71" s="253"/>
      <c r="AS71" s="253"/>
      <c r="AT71" s="253"/>
      <c r="AU71" s="253"/>
      <c r="AV71" s="253"/>
      <c r="AW71" s="253"/>
      <c r="AX71" s="253"/>
      <c r="AY71" s="253"/>
      <c r="AZ71" s="253"/>
      <c r="BA71" s="253"/>
      <c r="BB71" s="255">
        <f>100-100</f>
        <v>0</v>
      </c>
      <c r="BC71" s="253"/>
      <c r="BD71" s="253"/>
      <c r="BE71" s="253"/>
      <c r="BF71" s="253"/>
      <c r="BG71" s="253"/>
      <c r="BH71" s="253"/>
      <c r="BI71" s="253"/>
      <c r="BJ71" s="253"/>
      <c r="BK71" s="253"/>
      <c r="BL71" s="253"/>
      <c r="BM71" s="253"/>
      <c r="BN71" s="253"/>
      <c r="BO71" s="253"/>
      <c r="BP71" s="253"/>
      <c r="BQ71" s="253"/>
      <c r="BR71" s="253"/>
      <c r="BS71" s="253"/>
      <c r="BT71" s="253"/>
      <c r="BU71" s="253"/>
      <c r="BV71" s="253"/>
      <c r="BW71" s="253"/>
      <c r="BX71" s="253"/>
      <c r="BY71" s="253"/>
      <c r="BZ71" s="253"/>
      <c r="CA71" s="253"/>
      <c r="CB71" s="253"/>
      <c r="CC71" s="253"/>
      <c r="CD71" s="253"/>
      <c r="CE71" s="253"/>
      <c r="CF71" s="253"/>
      <c r="CG71" s="253"/>
      <c r="CH71" s="253"/>
      <c r="CI71" s="253"/>
      <c r="CJ71" s="253"/>
      <c r="CK71" s="253"/>
      <c r="CL71" s="253"/>
      <c r="CM71" s="253"/>
      <c r="CN71" s="253"/>
      <c r="CO71" s="253"/>
      <c r="CP71" s="253"/>
      <c r="CQ71" s="253"/>
      <c r="CR71" s="253"/>
      <c r="CS71" s="253"/>
      <c r="CT71" s="253"/>
      <c r="CU71" s="253"/>
      <c r="CV71" s="253"/>
      <c r="CW71" s="253"/>
      <c r="CX71" s="253"/>
      <c r="CY71" s="253"/>
      <c r="CZ71" s="253"/>
      <c r="DA71" s="253"/>
      <c r="DB71" s="253"/>
      <c r="DC71" s="253"/>
      <c r="DD71" s="253"/>
      <c r="DE71" s="253"/>
      <c r="DF71" s="253"/>
      <c r="DG71" s="253"/>
      <c r="DH71" s="253"/>
      <c r="DI71" s="253"/>
      <c r="DJ71" s="253"/>
      <c r="DK71" s="253"/>
      <c r="DL71" s="253"/>
      <c r="DM71" s="253"/>
      <c r="DN71" s="253"/>
      <c r="DO71" s="253"/>
      <c r="DP71" s="253"/>
      <c r="DQ71" s="255">
        <f>200-200</f>
        <v>0</v>
      </c>
      <c r="DR71" s="253"/>
      <c r="DS71" s="254">
        <f>200-200+200</f>
        <v>200</v>
      </c>
      <c r="DT71" s="253"/>
      <c r="DU71" s="253"/>
      <c r="DV71" s="253"/>
      <c r="DW71" s="253"/>
      <c r="DX71" s="253"/>
      <c r="DY71" s="253"/>
      <c r="DZ71" s="253"/>
      <c r="EA71" s="253"/>
      <c r="EB71" s="253"/>
      <c r="EC71" s="253"/>
      <c r="ED71" s="253"/>
      <c r="EE71" s="253"/>
      <c r="EF71" s="253"/>
      <c r="EG71" s="253"/>
      <c r="EH71" s="253"/>
      <c r="EI71" s="253"/>
      <c r="EJ71" s="253"/>
      <c r="EK71" s="253"/>
      <c r="EL71" s="253"/>
      <c r="EM71" s="253"/>
      <c r="EN71" s="253"/>
      <c r="EO71" s="253"/>
      <c r="EP71" s="253"/>
      <c r="EQ71" s="253"/>
      <c r="ER71" s="253"/>
      <c r="ES71" s="253"/>
      <c r="ET71" s="253"/>
      <c r="EU71" s="253"/>
      <c r="EV71" s="253"/>
      <c r="EW71" s="253"/>
      <c r="EX71" s="253"/>
      <c r="EY71" s="253"/>
      <c r="EZ71" s="253"/>
      <c r="FA71" s="253"/>
      <c r="FB71" s="253"/>
      <c r="FC71" s="253"/>
      <c r="FD71" s="253"/>
      <c r="FE71" s="253"/>
      <c r="FF71" s="253"/>
      <c r="FG71" s="253"/>
      <c r="FH71" s="253"/>
      <c r="FI71" s="253"/>
      <c r="FJ71" s="253"/>
      <c r="FK71" s="253"/>
      <c r="FL71" s="253"/>
      <c r="FM71" s="253"/>
      <c r="FN71" s="256"/>
      <c r="FO71" s="257" t="s">
        <v>1270</v>
      </c>
      <c r="FP71" s="258" t="s">
        <v>389</v>
      </c>
      <c r="FQ71" s="258" t="s">
        <v>436</v>
      </c>
      <c r="FR71" s="258" t="s">
        <v>420</v>
      </c>
      <c r="FS71" s="259">
        <f t="shared" si="4"/>
        <v>200</v>
      </c>
      <c r="FT71" s="260" t="s">
        <v>421</v>
      </c>
    </row>
    <row r="72" spans="1:176" s="260" customFormat="1">
      <c r="A72" s="251" t="s">
        <v>385</v>
      </c>
      <c r="B72" s="251" t="s">
        <v>385</v>
      </c>
      <c r="C72" s="251" t="s">
        <v>411</v>
      </c>
      <c r="D72" s="251" t="s">
        <v>1</v>
      </c>
      <c r="E72" s="252" t="s">
        <v>434</v>
      </c>
      <c r="F72" s="251" t="s">
        <v>388</v>
      </c>
      <c r="G72" s="251"/>
      <c r="H72" s="253"/>
      <c r="I72" s="253"/>
      <c r="J72" s="253"/>
      <c r="K72" s="253"/>
      <c r="L72" s="253"/>
      <c r="M72" s="253"/>
      <c r="N72" s="255">
        <f>200-200</f>
        <v>0</v>
      </c>
      <c r="O72" s="253"/>
      <c r="P72" s="253"/>
      <c r="Q72" s="253"/>
      <c r="R72" s="253"/>
      <c r="S72" s="253"/>
      <c r="T72" s="255">
        <f>100-100</f>
        <v>0</v>
      </c>
      <c r="U72" s="253"/>
      <c r="V72" s="253"/>
      <c r="W72" s="254">
        <f>100-100+10</f>
        <v>10</v>
      </c>
      <c r="X72" s="253"/>
      <c r="Y72" s="253"/>
      <c r="Z72" s="253"/>
      <c r="AA72" s="253"/>
      <c r="AB72" s="253"/>
      <c r="AC72" s="253"/>
      <c r="AD72" s="253"/>
      <c r="AE72" s="253"/>
      <c r="AF72" s="253"/>
      <c r="AG72" s="253"/>
      <c r="AH72" s="253"/>
      <c r="AI72" s="253"/>
      <c r="AJ72" s="253"/>
      <c r="AK72" s="253"/>
      <c r="AL72" s="253"/>
      <c r="AM72" s="253"/>
      <c r="AN72" s="253"/>
      <c r="AO72" s="253"/>
      <c r="AP72" s="253"/>
      <c r="AQ72" s="253"/>
      <c r="AR72" s="253"/>
      <c r="AS72" s="255">
        <f>300-300</f>
        <v>0</v>
      </c>
      <c r="AT72" s="253"/>
      <c r="AU72" s="253"/>
      <c r="AV72" s="253"/>
      <c r="AW72" s="253"/>
      <c r="AX72" s="253"/>
      <c r="AY72" s="253"/>
      <c r="AZ72" s="253"/>
      <c r="BA72" s="253"/>
      <c r="BB72" s="253"/>
      <c r="BC72" s="253"/>
      <c r="BD72" s="253"/>
      <c r="BE72" s="253"/>
      <c r="BF72" s="253"/>
      <c r="BG72" s="253"/>
      <c r="BH72" s="253"/>
      <c r="BI72" s="253"/>
      <c r="BJ72" s="253"/>
      <c r="BK72" s="253"/>
      <c r="BL72" s="253"/>
      <c r="BM72" s="253"/>
      <c r="BN72" s="253"/>
      <c r="BO72" s="253"/>
      <c r="BP72" s="253"/>
      <c r="BQ72" s="253"/>
      <c r="BR72" s="253"/>
      <c r="BS72" s="253"/>
      <c r="BT72" s="253"/>
      <c r="BU72" s="253"/>
      <c r="BV72" s="253"/>
      <c r="BW72" s="253"/>
      <c r="BX72" s="253"/>
      <c r="BY72" s="253"/>
      <c r="BZ72" s="253"/>
      <c r="CA72" s="253"/>
      <c r="CB72" s="253"/>
      <c r="CC72" s="253"/>
      <c r="CD72" s="253"/>
      <c r="CE72" s="253"/>
      <c r="CF72" s="253"/>
      <c r="CG72" s="253"/>
      <c r="CH72" s="253"/>
      <c r="CI72" s="253"/>
      <c r="CJ72" s="253"/>
      <c r="CK72" s="253"/>
      <c r="CL72" s="253"/>
      <c r="CM72" s="253"/>
      <c r="CN72" s="253"/>
      <c r="CO72" s="253"/>
      <c r="CP72" s="253"/>
      <c r="CQ72" s="253"/>
      <c r="CR72" s="253"/>
      <c r="CS72" s="253"/>
      <c r="CT72" s="253"/>
      <c r="CU72" s="253"/>
      <c r="CV72" s="253"/>
      <c r="CW72" s="253"/>
      <c r="CX72" s="253"/>
      <c r="CY72" s="253"/>
      <c r="CZ72" s="253"/>
      <c r="DA72" s="253"/>
      <c r="DB72" s="253"/>
      <c r="DC72" s="253"/>
      <c r="DD72" s="253"/>
      <c r="DE72" s="253"/>
      <c r="DF72" s="253"/>
      <c r="DG72" s="253"/>
      <c r="DH72" s="253"/>
      <c r="DI72" s="253"/>
      <c r="DJ72" s="253"/>
      <c r="DK72" s="253"/>
      <c r="DL72" s="253"/>
      <c r="DM72" s="253"/>
      <c r="DN72" s="253"/>
      <c r="DO72" s="253"/>
      <c r="DP72" s="253"/>
      <c r="DQ72" s="253"/>
      <c r="DR72" s="253"/>
      <c r="DS72" s="253"/>
      <c r="DT72" s="253"/>
      <c r="DU72" s="253"/>
      <c r="DV72" s="253"/>
      <c r="DW72" s="253"/>
      <c r="DX72" s="253"/>
      <c r="DY72" s="253"/>
      <c r="DZ72" s="253"/>
      <c r="EA72" s="253"/>
      <c r="EB72" s="253"/>
      <c r="EC72" s="253"/>
      <c r="ED72" s="253"/>
      <c r="EE72" s="253"/>
      <c r="EF72" s="253"/>
      <c r="EG72" s="253"/>
      <c r="EH72" s="253"/>
      <c r="EI72" s="253"/>
      <c r="EJ72" s="253"/>
      <c r="EK72" s="253"/>
      <c r="EL72" s="253"/>
      <c r="EM72" s="253"/>
      <c r="EN72" s="253"/>
      <c r="EO72" s="253"/>
      <c r="EP72" s="253"/>
      <c r="EQ72" s="253"/>
      <c r="ER72" s="253"/>
      <c r="ES72" s="253"/>
      <c r="ET72" s="253"/>
      <c r="EU72" s="253"/>
      <c r="EV72" s="253"/>
      <c r="EW72" s="253"/>
      <c r="EX72" s="253"/>
      <c r="EY72" s="253"/>
      <c r="EZ72" s="253"/>
      <c r="FA72" s="253"/>
      <c r="FB72" s="253"/>
      <c r="FC72" s="253"/>
      <c r="FD72" s="253"/>
      <c r="FE72" s="253"/>
      <c r="FF72" s="253"/>
      <c r="FG72" s="253"/>
      <c r="FH72" s="253"/>
      <c r="FI72" s="253"/>
      <c r="FJ72" s="253"/>
      <c r="FK72" s="253"/>
      <c r="FL72" s="253"/>
      <c r="FM72" s="253"/>
      <c r="FN72" s="256"/>
      <c r="FO72" s="257" t="s">
        <v>1270</v>
      </c>
      <c r="FP72" s="258" t="s">
        <v>389</v>
      </c>
      <c r="FQ72" s="258" t="s">
        <v>436</v>
      </c>
      <c r="FR72" s="258" t="s">
        <v>420</v>
      </c>
      <c r="FS72" s="259">
        <f t="shared" si="4"/>
        <v>10</v>
      </c>
      <c r="FT72" s="260" t="s">
        <v>421</v>
      </c>
    </row>
    <row r="73" spans="1:176" s="260" customFormat="1">
      <c r="A73" s="251" t="s">
        <v>393</v>
      </c>
      <c r="B73" s="251" t="s">
        <v>385</v>
      </c>
      <c r="C73" s="251" t="s">
        <v>411</v>
      </c>
      <c r="D73" s="251" t="s">
        <v>291</v>
      </c>
      <c r="E73" s="252" t="s">
        <v>440</v>
      </c>
      <c r="F73" s="251" t="s">
        <v>388</v>
      </c>
      <c r="G73" s="251"/>
      <c r="H73" s="253"/>
      <c r="I73" s="255">
        <f>500-500</f>
        <v>0</v>
      </c>
      <c r="J73" s="253"/>
      <c r="K73" s="255">
        <f>500-500</f>
        <v>0</v>
      </c>
      <c r="L73" s="253"/>
      <c r="M73" s="255">
        <f>420-420</f>
        <v>0</v>
      </c>
      <c r="N73" s="253"/>
      <c r="O73" s="253"/>
      <c r="P73" s="255">
        <f>500-500</f>
        <v>0</v>
      </c>
      <c r="Q73" s="253"/>
      <c r="R73" s="253"/>
      <c r="S73" s="255">
        <f>500-500</f>
        <v>0</v>
      </c>
      <c r="T73" s="253"/>
      <c r="U73" s="253"/>
      <c r="V73" s="253"/>
      <c r="W73" s="253"/>
      <c r="X73" s="253"/>
      <c r="Y73" s="253"/>
      <c r="Z73" s="253"/>
      <c r="AA73" s="253"/>
      <c r="AB73" s="253"/>
      <c r="AC73" s="253"/>
      <c r="AD73" s="255">
        <f>480-480</f>
        <v>0</v>
      </c>
      <c r="AE73" s="253"/>
      <c r="AF73" s="255">
        <f>500-500</f>
        <v>0</v>
      </c>
      <c r="AG73" s="255">
        <f>500-500</f>
        <v>0</v>
      </c>
      <c r="AH73" s="253"/>
      <c r="AI73" s="253"/>
      <c r="AJ73" s="253"/>
      <c r="AK73" s="253"/>
      <c r="AL73" s="253"/>
      <c r="AM73" s="253"/>
      <c r="AN73" s="255">
        <f>480-480</f>
        <v>0</v>
      </c>
      <c r="AO73" s="253"/>
      <c r="AP73" s="253"/>
      <c r="AQ73" s="253"/>
      <c r="AR73" s="253"/>
      <c r="AS73" s="253"/>
      <c r="AT73" s="253"/>
      <c r="AU73" s="253"/>
      <c r="AV73" s="253"/>
      <c r="AW73" s="253"/>
      <c r="AX73" s="253"/>
      <c r="AY73" s="253"/>
      <c r="AZ73" s="253"/>
      <c r="BA73" s="253"/>
      <c r="BB73" s="254">
        <f>500-500+90</f>
        <v>90</v>
      </c>
      <c r="BC73" s="253"/>
      <c r="BD73" s="253"/>
      <c r="BE73" s="253"/>
      <c r="BF73" s="253"/>
      <c r="BG73" s="253"/>
      <c r="BH73" s="253"/>
      <c r="BI73" s="253"/>
      <c r="BJ73" s="253"/>
      <c r="BK73" s="253"/>
      <c r="BL73" s="253"/>
      <c r="BM73" s="253"/>
      <c r="BN73" s="253"/>
      <c r="BO73" s="253"/>
      <c r="BP73" s="253"/>
      <c r="BQ73" s="253"/>
      <c r="BR73" s="253"/>
      <c r="BS73" s="253"/>
      <c r="BT73" s="253"/>
      <c r="BU73" s="253"/>
      <c r="BV73" s="253"/>
      <c r="BW73" s="253"/>
      <c r="BX73" s="253"/>
      <c r="BY73" s="253"/>
      <c r="BZ73" s="253"/>
      <c r="CA73" s="253"/>
      <c r="CB73" s="253"/>
      <c r="CC73" s="253"/>
      <c r="CD73" s="253"/>
      <c r="CE73" s="253"/>
      <c r="CF73" s="253"/>
      <c r="CG73" s="253"/>
      <c r="CH73" s="253"/>
      <c r="CI73" s="253"/>
      <c r="CJ73" s="253"/>
      <c r="CK73" s="253"/>
      <c r="CL73" s="253"/>
      <c r="CM73" s="253"/>
      <c r="CN73" s="253"/>
      <c r="CO73" s="253"/>
      <c r="CP73" s="253"/>
      <c r="CQ73" s="253"/>
      <c r="CR73" s="253"/>
      <c r="CS73" s="253"/>
      <c r="CT73" s="253"/>
      <c r="CU73" s="253"/>
      <c r="CV73" s="253"/>
      <c r="CW73" s="253"/>
      <c r="CX73" s="253"/>
      <c r="CY73" s="253"/>
      <c r="CZ73" s="253"/>
      <c r="DA73" s="253"/>
      <c r="DB73" s="253"/>
      <c r="DC73" s="253"/>
      <c r="DD73" s="253"/>
      <c r="DE73" s="253"/>
      <c r="DF73" s="253"/>
      <c r="DG73" s="253"/>
      <c r="DH73" s="253"/>
      <c r="DI73" s="253"/>
      <c r="DJ73" s="253"/>
      <c r="DK73" s="253"/>
      <c r="DL73" s="253"/>
      <c r="DM73" s="253"/>
      <c r="DN73" s="253"/>
      <c r="DO73" s="253"/>
      <c r="DP73" s="253"/>
      <c r="DQ73" s="253"/>
      <c r="DR73" s="253"/>
      <c r="DS73" s="253"/>
      <c r="DT73" s="253"/>
      <c r="DU73" s="253"/>
      <c r="DV73" s="255">
        <f>500-500</f>
        <v>0</v>
      </c>
      <c r="DW73" s="255">
        <f>500-500</f>
        <v>0</v>
      </c>
      <c r="DX73" s="253"/>
      <c r="DY73" s="253"/>
      <c r="DZ73" s="253"/>
      <c r="EA73" s="253"/>
      <c r="EB73" s="253"/>
      <c r="EC73" s="253"/>
      <c r="ED73" s="253"/>
      <c r="EE73" s="253"/>
      <c r="EF73" s="253"/>
      <c r="EG73" s="253"/>
      <c r="EH73" s="253"/>
      <c r="EI73" s="253"/>
      <c r="EJ73" s="253"/>
      <c r="EK73" s="253"/>
      <c r="EL73" s="253"/>
      <c r="EM73" s="253"/>
      <c r="EN73" s="253"/>
      <c r="EO73" s="253"/>
      <c r="EP73" s="253"/>
      <c r="EQ73" s="253"/>
      <c r="ER73" s="253"/>
      <c r="ES73" s="253"/>
      <c r="ET73" s="253"/>
      <c r="EU73" s="253"/>
      <c r="EV73" s="253"/>
      <c r="EW73" s="253"/>
      <c r="EX73" s="253"/>
      <c r="EY73" s="253"/>
      <c r="EZ73" s="253"/>
      <c r="FA73" s="253"/>
      <c r="FB73" s="253"/>
      <c r="FC73" s="253"/>
      <c r="FD73" s="253"/>
      <c r="FE73" s="253"/>
      <c r="FF73" s="253"/>
      <c r="FG73" s="253"/>
      <c r="FH73" s="253"/>
      <c r="FI73" s="253"/>
      <c r="FJ73" s="253"/>
      <c r="FK73" s="253"/>
      <c r="FL73" s="253"/>
      <c r="FM73" s="253"/>
      <c r="FN73" s="256"/>
      <c r="FO73" s="257" t="s">
        <v>1270</v>
      </c>
      <c r="FP73" s="258" t="s">
        <v>389</v>
      </c>
      <c r="FQ73" s="258"/>
      <c r="FR73" s="258" t="s">
        <v>423</v>
      </c>
      <c r="FS73" s="259">
        <f t="shared" si="4"/>
        <v>90</v>
      </c>
      <c r="FT73" s="260" t="s">
        <v>424</v>
      </c>
    </row>
    <row r="74" spans="1:176" s="260" customFormat="1">
      <c r="A74" s="251" t="s">
        <v>393</v>
      </c>
      <c r="B74" s="251" t="s">
        <v>385</v>
      </c>
      <c r="C74" s="251" t="s">
        <v>411</v>
      </c>
      <c r="D74" s="251" t="s">
        <v>1</v>
      </c>
      <c r="E74" s="252" t="s">
        <v>440</v>
      </c>
      <c r="F74" s="251" t="s">
        <v>388</v>
      </c>
      <c r="G74" s="251"/>
      <c r="H74" s="253"/>
      <c r="I74" s="253"/>
      <c r="J74" s="253"/>
      <c r="K74" s="253"/>
      <c r="L74" s="253"/>
      <c r="M74" s="253"/>
      <c r="N74" s="255">
        <f>440-440</f>
        <v>0</v>
      </c>
      <c r="O74" s="253"/>
      <c r="P74" s="253"/>
      <c r="Q74" s="253"/>
      <c r="R74" s="255">
        <f>500-500</f>
        <v>0</v>
      </c>
      <c r="S74" s="253"/>
      <c r="T74" s="255">
        <f>420-420</f>
        <v>0</v>
      </c>
      <c r="U74" s="255">
        <f>480-480</f>
        <v>0</v>
      </c>
      <c r="V74" s="255">
        <f>500-500</f>
        <v>0</v>
      </c>
      <c r="W74" s="255">
        <f>500-500</f>
        <v>0</v>
      </c>
      <c r="X74" s="253"/>
      <c r="Y74" s="255">
        <f>500-500</f>
        <v>0</v>
      </c>
      <c r="Z74" s="253"/>
      <c r="AA74" s="255">
        <f>500-500</f>
        <v>0</v>
      </c>
      <c r="AB74" s="255">
        <f>500-500</f>
        <v>0</v>
      </c>
      <c r="AC74" s="255">
        <f>500-500</f>
        <v>0</v>
      </c>
      <c r="AD74" s="253"/>
      <c r="AE74" s="254">
        <f>500-500+10</f>
        <v>10</v>
      </c>
      <c r="AF74" s="253"/>
      <c r="AG74" s="253"/>
      <c r="AH74" s="255">
        <f>500-500</f>
        <v>0</v>
      </c>
      <c r="AI74" s="255">
        <f>500-500</f>
        <v>0</v>
      </c>
      <c r="AJ74" s="253"/>
      <c r="AK74" s="253"/>
      <c r="AL74" s="255">
        <f>420-420</f>
        <v>0</v>
      </c>
      <c r="AM74" s="253"/>
      <c r="AN74" s="253"/>
      <c r="AO74" s="253"/>
      <c r="AP74" s="253"/>
      <c r="AQ74" s="253"/>
      <c r="AR74" s="253"/>
      <c r="AS74" s="254">
        <f>500-500+10</f>
        <v>10</v>
      </c>
      <c r="AT74" s="253"/>
      <c r="AU74" s="253"/>
      <c r="AV74" s="253"/>
      <c r="AW74" s="253"/>
      <c r="AX74" s="255">
        <f>440-440</f>
        <v>0</v>
      </c>
      <c r="AY74" s="253"/>
      <c r="AZ74" s="253"/>
      <c r="BA74" s="253"/>
      <c r="BB74" s="253"/>
      <c r="BC74" s="253"/>
      <c r="BD74" s="253"/>
      <c r="BE74" s="253"/>
      <c r="BF74" s="253"/>
      <c r="BG74" s="253"/>
      <c r="BH74" s="255">
        <f>490-490</f>
        <v>0</v>
      </c>
      <c r="BI74" s="255">
        <f>500-500</f>
        <v>0</v>
      </c>
      <c r="BJ74" s="255">
        <f>480-480</f>
        <v>0</v>
      </c>
      <c r="BK74" s="255">
        <f>440-440</f>
        <v>0</v>
      </c>
      <c r="BL74" s="255">
        <f>500-500</f>
        <v>0</v>
      </c>
      <c r="BM74" s="255">
        <f>500-500</f>
        <v>0</v>
      </c>
      <c r="BN74" s="255">
        <f>498-498</f>
        <v>0</v>
      </c>
      <c r="BO74" s="255">
        <f>498-498</f>
        <v>0</v>
      </c>
      <c r="BP74" s="255">
        <f>500-500</f>
        <v>0</v>
      </c>
      <c r="BQ74" s="253"/>
      <c r="BR74" s="255">
        <f>500-500</f>
        <v>0</v>
      </c>
      <c r="BS74" s="255">
        <f>500-500</f>
        <v>0</v>
      </c>
      <c r="BT74" s="255">
        <f>500-500</f>
        <v>0</v>
      </c>
      <c r="BU74" s="255">
        <f>500-500</f>
        <v>0</v>
      </c>
      <c r="BV74" s="255">
        <f>400-400</f>
        <v>0</v>
      </c>
      <c r="BW74" s="255">
        <f>500-500</f>
        <v>0</v>
      </c>
      <c r="BX74" s="255">
        <f>500-500</f>
        <v>0</v>
      </c>
      <c r="BY74" s="255">
        <f>420-420</f>
        <v>0</v>
      </c>
      <c r="BZ74" s="255">
        <f>480-480</f>
        <v>0</v>
      </c>
      <c r="CA74" s="255">
        <f>490-490</f>
        <v>0</v>
      </c>
      <c r="CB74" s="255">
        <f>496-496</f>
        <v>0</v>
      </c>
      <c r="CC74" s="255">
        <f>490-490</f>
        <v>0</v>
      </c>
      <c r="CD74" s="255">
        <f>500-500</f>
        <v>0</v>
      </c>
      <c r="CE74" s="255">
        <f>500-500</f>
        <v>0</v>
      </c>
      <c r="CF74" s="255">
        <f>500-500</f>
        <v>0</v>
      </c>
      <c r="CG74" s="255">
        <f>500-500</f>
        <v>0</v>
      </c>
      <c r="CH74" s="255">
        <f>490-490</f>
        <v>0</v>
      </c>
      <c r="CI74" s="255">
        <f>500-500</f>
        <v>0</v>
      </c>
      <c r="CJ74" s="253"/>
      <c r="CK74" s="253"/>
      <c r="CL74" s="253"/>
      <c r="CM74" s="253"/>
      <c r="CN74" s="253"/>
      <c r="CO74" s="255">
        <f>500-500</f>
        <v>0</v>
      </c>
      <c r="CP74" s="255">
        <f>500-500</f>
        <v>0</v>
      </c>
      <c r="CQ74" s="253"/>
      <c r="CR74" s="253"/>
      <c r="CS74" s="255">
        <f>97-97</f>
        <v>0</v>
      </c>
      <c r="CT74" s="255">
        <f>96-96</f>
        <v>0</v>
      </c>
      <c r="CU74" s="255">
        <f>100-100</f>
        <v>0</v>
      </c>
      <c r="CV74" s="255">
        <f>90-90</f>
        <v>0</v>
      </c>
      <c r="CW74" s="255">
        <f>100-100</f>
        <v>0</v>
      </c>
      <c r="CX74" s="255">
        <f>100-100</f>
        <v>0</v>
      </c>
      <c r="CY74" s="255">
        <f>95-95</f>
        <v>0</v>
      </c>
      <c r="CZ74" s="255">
        <f>89-89</f>
        <v>0</v>
      </c>
      <c r="DA74" s="253"/>
      <c r="DB74" s="253"/>
      <c r="DC74" s="253"/>
      <c r="DD74" s="253"/>
      <c r="DE74" s="253"/>
      <c r="DF74" s="255">
        <f>500-500</f>
        <v>0</v>
      </c>
      <c r="DG74" s="253"/>
      <c r="DH74" s="253"/>
      <c r="DI74" s="253"/>
      <c r="DJ74" s="253"/>
      <c r="DK74" s="253"/>
      <c r="DL74" s="253"/>
      <c r="DM74" s="253"/>
      <c r="DN74" s="253"/>
      <c r="DO74" s="253"/>
      <c r="DP74" s="253"/>
      <c r="DQ74" s="253"/>
      <c r="DR74" s="253"/>
      <c r="DS74" s="253"/>
      <c r="DT74" s="255">
        <f>500-500</f>
        <v>0</v>
      </c>
      <c r="DU74" s="253"/>
      <c r="DV74" s="253"/>
      <c r="DW74" s="253"/>
      <c r="DX74" s="253"/>
      <c r="DY74" s="255">
        <f>500-500</f>
        <v>0</v>
      </c>
      <c r="DZ74" s="255">
        <f>500-500</f>
        <v>0</v>
      </c>
      <c r="EA74" s="253"/>
      <c r="EB74" s="253"/>
      <c r="EC74" s="255">
        <f>500-500</f>
        <v>0</v>
      </c>
      <c r="ED74" s="255">
        <f>500-500</f>
        <v>0</v>
      </c>
      <c r="EE74" s="255">
        <f>500-500</f>
        <v>0</v>
      </c>
      <c r="EF74" s="255">
        <f>500-500</f>
        <v>0</v>
      </c>
      <c r="EG74" s="255">
        <f>500-500</f>
        <v>0</v>
      </c>
      <c r="EH74" s="253"/>
      <c r="EI74" s="253"/>
      <c r="EJ74" s="255">
        <f>490-490</f>
        <v>0</v>
      </c>
      <c r="EK74" s="255">
        <f>500-500</f>
        <v>0</v>
      </c>
      <c r="EL74" s="255">
        <f>490-490</f>
        <v>0</v>
      </c>
      <c r="EM74" s="253"/>
      <c r="EN74" s="253"/>
      <c r="EO74" s="253"/>
      <c r="EP74" s="255">
        <f>500-500</f>
        <v>0</v>
      </c>
      <c r="EQ74" s="253"/>
      <c r="ER74" s="255">
        <f>490-490</f>
        <v>0</v>
      </c>
      <c r="ES74" s="255">
        <f>500-500</f>
        <v>0</v>
      </c>
      <c r="ET74" s="255">
        <f>500-500</f>
        <v>0</v>
      </c>
      <c r="EU74" s="253"/>
      <c r="EV74" s="255">
        <f>500-500</f>
        <v>0</v>
      </c>
      <c r="EW74" s="255">
        <f>500-500</f>
        <v>0</v>
      </c>
      <c r="EX74" s="255">
        <f>500-500</f>
        <v>0</v>
      </c>
      <c r="EY74" s="253"/>
      <c r="EZ74" s="255">
        <f>500-500</f>
        <v>0</v>
      </c>
      <c r="FA74" s="255">
        <f>500-500</f>
        <v>0</v>
      </c>
      <c r="FB74" s="255">
        <f>500-500</f>
        <v>0</v>
      </c>
      <c r="FC74" s="253"/>
      <c r="FD74" s="255">
        <f>490-490</f>
        <v>0</v>
      </c>
      <c r="FE74" s="253"/>
      <c r="FF74" s="253"/>
      <c r="FG74" s="255">
        <f>500-500</f>
        <v>0</v>
      </c>
      <c r="FH74" s="255">
        <f>500-500</f>
        <v>0</v>
      </c>
      <c r="FI74" s="253"/>
      <c r="FJ74" s="253"/>
      <c r="FK74" s="253"/>
      <c r="FL74" s="253"/>
      <c r="FM74" s="253"/>
      <c r="FN74" s="256"/>
      <c r="FO74" s="257" t="s">
        <v>1270</v>
      </c>
      <c r="FP74" s="258" t="s">
        <v>389</v>
      </c>
      <c r="FQ74" s="258"/>
      <c r="FR74" s="258" t="s">
        <v>423</v>
      </c>
      <c r="FS74" s="259">
        <f t="shared" si="4"/>
        <v>20</v>
      </c>
      <c r="FT74" s="260" t="s">
        <v>424</v>
      </c>
    </row>
    <row r="75" spans="1:176" s="260" customFormat="1">
      <c r="A75" s="251" t="s">
        <v>393</v>
      </c>
      <c r="B75" s="251" t="s">
        <v>385</v>
      </c>
      <c r="C75" s="251" t="s">
        <v>411</v>
      </c>
      <c r="D75" s="251" t="s">
        <v>293</v>
      </c>
      <c r="E75" s="252" t="s">
        <v>440</v>
      </c>
      <c r="F75" s="251" t="s">
        <v>388</v>
      </c>
      <c r="G75" s="251"/>
      <c r="H75" s="253"/>
      <c r="I75" s="253"/>
      <c r="J75" s="255">
        <f>500-500</f>
        <v>0</v>
      </c>
      <c r="K75" s="253"/>
      <c r="L75" s="253"/>
      <c r="M75" s="253"/>
      <c r="N75" s="253"/>
      <c r="O75" s="253"/>
      <c r="P75" s="253"/>
      <c r="Q75" s="253"/>
      <c r="R75" s="253"/>
      <c r="S75" s="253"/>
      <c r="T75" s="253"/>
      <c r="U75" s="253"/>
      <c r="V75" s="253"/>
      <c r="W75" s="253"/>
      <c r="X75" s="253"/>
      <c r="Y75" s="253"/>
      <c r="Z75" s="253"/>
      <c r="AA75" s="253"/>
      <c r="AB75" s="253"/>
      <c r="AC75" s="253"/>
      <c r="AD75" s="253"/>
      <c r="AE75" s="253"/>
      <c r="AF75" s="253"/>
      <c r="AG75" s="253"/>
      <c r="AH75" s="253"/>
      <c r="AI75" s="253"/>
      <c r="AJ75" s="253"/>
      <c r="AK75" s="253"/>
      <c r="AL75" s="253"/>
      <c r="AM75" s="253"/>
      <c r="AN75" s="253"/>
      <c r="AO75" s="253"/>
      <c r="AP75" s="253"/>
      <c r="AQ75" s="253"/>
      <c r="AR75" s="253"/>
      <c r="AS75" s="253"/>
      <c r="AT75" s="253"/>
      <c r="AU75" s="253"/>
      <c r="AV75" s="253"/>
      <c r="AW75" s="253"/>
      <c r="AX75" s="253"/>
      <c r="AY75" s="253"/>
      <c r="AZ75" s="253"/>
      <c r="BA75" s="253"/>
      <c r="BB75" s="253"/>
      <c r="BC75" s="253"/>
      <c r="BD75" s="253"/>
      <c r="BE75" s="253"/>
      <c r="BF75" s="253"/>
      <c r="BG75" s="253"/>
      <c r="BH75" s="253"/>
      <c r="BI75" s="253"/>
      <c r="BJ75" s="253"/>
      <c r="BK75" s="253"/>
      <c r="BL75" s="253"/>
      <c r="BM75" s="253"/>
      <c r="BN75" s="253"/>
      <c r="BO75" s="253"/>
      <c r="BP75" s="253"/>
      <c r="BQ75" s="253"/>
      <c r="BR75" s="253"/>
      <c r="BS75" s="253"/>
      <c r="BT75" s="253"/>
      <c r="BU75" s="253"/>
      <c r="BV75" s="253"/>
      <c r="BW75" s="253"/>
      <c r="BX75" s="253"/>
      <c r="BY75" s="253"/>
      <c r="BZ75" s="253"/>
      <c r="CA75" s="253"/>
      <c r="CB75" s="253"/>
      <c r="CC75" s="253"/>
      <c r="CD75" s="253"/>
      <c r="CE75" s="253"/>
      <c r="CF75" s="253"/>
      <c r="CG75" s="253"/>
      <c r="CH75" s="253"/>
      <c r="CI75" s="253"/>
      <c r="CJ75" s="253"/>
      <c r="CK75" s="253"/>
      <c r="CL75" s="253"/>
      <c r="CM75" s="253"/>
      <c r="CN75" s="253"/>
      <c r="CO75" s="253"/>
      <c r="CP75" s="253"/>
      <c r="CQ75" s="253"/>
      <c r="CR75" s="253"/>
      <c r="CS75" s="253"/>
      <c r="CT75" s="253"/>
      <c r="CU75" s="253"/>
      <c r="CV75" s="253"/>
      <c r="CW75" s="253"/>
      <c r="CX75" s="253"/>
      <c r="CY75" s="253"/>
      <c r="CZ75" s="253"/>
      <c r="DA75" s="253"/>
      <c r="DB75" s="253"/>
      <c r="DC75" s="253"/>
      <c r="DD75" s="253"/>
      <c r="DE75" s="253"/>
      <c r="DF75" s="253"/>
      <c r="DG75" s="253"/>
      <c r="DH75" s="253"/>
      <c r="DI75" s="253"/>
      <c r="DJ75" s="253"/>
      <c r="DK75" s="253"/>
      <c r="DL75" s="253"/>
      <c r="DM75" s="253"/>
      <c r="DN75" s="253"/>
      <c r="DO75" s="253"/>
      <c r="DP75" s="253"/>
      <c r="DQ75" s="253"/>
      <c r="DR75" s="253"/>
      <c r="DS75" s="253"/>
      <c r="DT75" s="253"/>
      <c r="DU75" s="253"/>
      <c r="DV75" s="253"/>
      <c r="DW75" s="253"/>
      <c r="DX75" s="253"/>
      <c r="DY75" s="253"/>
      <c r="DZ75" s="253"/>
      <c r="EA75" s="253"/>
      <c r="EB75" s="253"/>
      <c r="EC75" s="253"/>
      <c r="ED75" s="253"/>
      <c r="EE75" s="253"/>
      <c r="EF75" s="253"/>
      <c r="EG75" s="253"/>
      <c r="EH75" s="253"/>
      <c r="EI75" s="253"/>
      <c r="EJ75" s="253"/>
      <c r="EK75" s="253"/>
      <c r="EL75" s="253"/>
      <c r="EM75" s="253"/>
      <c r="EN75" s="253"/>
      <c r="EO75" s="253"/>
      <c r="EP75" s="253"/>
      <c r="EQ75" s="255">
        <f>500-500</f>
        <v>0</v>
      </c>
      <c r="ER75" s="253"/>
      <c r="ES75" s="253"/>
      <c r="ET75" s="253"/>
      <c r="EU75" s="255">
        <f>500-500</f>
        <v>0</v>
      </c>
      <c r="EV75" s="253"/>
      <c r="EW75" s="253"/>
      <c r="EX75" s="253"/>
      <c r="EY75" s="255">
        <f>500-500</f>
        <v>0</v>
      </c>
      <c r="EZ75" s="253"/>
      <c r="FA75" s="253"/>
      <c r="FB75" s="253"/>
      <c r="FC75" s="255">
        <f>500-500</f>
        <v>0</v>
      </c>
      <c r="FD75" s="253"/>
      <c r="FE75" s="253"/>
      <c r="FF75" s="253"/>
      <c r="FG75" s="253"/>
      <c r="FH75" s="253"/>
      <c r="FI75" s="253"/>
      <c r="FJ75" s="253"/>
      <c r="FK75" s="253"/>
      <c r="FL75" s="253"/>
      <c r="FM75" s="253"/>
      <c r="FN75" s="256"/>
      <c r="FO75" s="257" t="s">
        <v>1270</v>
      </c>
      <c r="FP75" s="258" t="s">
        <v>389</v>
      </c>
      <c r="FQ75" s="258"/>
      <c r="FR75" s="258" t="s">
        <v>423</v>
      </c>
      <c r="FS75" s="259">
        <f t="shared" si="4"/>
        <v>0</v>
      </c>
      <c r="FT75" s="260" t="s">
        <v>424</v>
      </c>
    </row>
    <row r="76" spans="1:176" s="260" customFormat="1">
      <c r="A76" s="251" t="s">
        <v>393</v>
      </c>
      <c r="B76" s="251" t="s">
        <v>385</v>
      </c>
      <c r="C76" s="251" t="s">
        <v>411</v>
      </c>
      <c r="D76" s="251" t="s">
        <v>291</v>
      </c>
      <c r="E76" s="252" t="s">
        <v>441</v>
      </c>
      <c r="F76" s="251" t="s">
        <v>388</v>
      </c>
      <c r="G76" s="251"/>
      <c r="H76" s="253"/>
      <c r="I76" s="253"/>
      <c r="J76" s="253"/>
      <c r="K76" s="253"/>
      <c r="L76" s="253"/>
      <c r="M76" s="255">
        <f>50-50</f>
        <v>0</v>
      </c>
      <c r="N76" s="253"/>
      <c r="O76" s="253"/>
      <c r="P76" s="255">
        <f>100-100</f>
        <v>0</v>
      </c>
      <c r="Q76" s="253"/>
      <c r="R76" s="253"/>
      <c r="S76" s="255">
        <f>20-20</f>
        <v>0</v>
      </c>
      <c r="T76" s="253"/>
      <c r="U76" s="253"/>
      <c r="V76" s="253"/>
      <c r="W76" s="253"/>
      <c r="X76" s="253"/>
      <c r="Y76" s="253"/>
      <c r="Z76" s="253"/>
      <c r="AA76" s="253"/>
      <c r="AB76" s="253"/>
      <c r="AC76" s="253"/>
      <c r="AD76" s="255">
        <f>200-200</f>
        <v>0</v>
      </c>
      <c r="AE76" s="253"/>
      <c r="AF76" s="255">
        <f>300-300</f>
        <v>0</v>
      </c>
      <c r="AG76" s="255">
        <f>300-300</f>
        <v>0</v>
      </c>
      <c r="AH76" s="253"/>
      <c r="AI76" s="253"/>
      <c r="AJ76" s="253"/>
      <c r="AK76" s="253"/>
      <c r="AL76" s="254">
        <f>0+10</f>
        <v>10</v>
      </c>
      <c r="AM76" s="253"/>
      <c r="AN76" s="255">
        <f>100-100</f>
        <v>0</v>
      </c>
      <c r="AO76" s="253"/>
      <c r="AP76" s="253"/>
      <c r="AQ76" s="253"/>
      <c r="AR76" s="253"/>
      <c r="AS76" s="253"/>
      <c r="AT76" s="253"/>
      <c r="AU76" s="253"/>
      <c r="AV76" s="253"/>
      <c r="AW76" s="253"/>
      <c r="AX76" s="253"/>
      <c r="AY76" s="253"/>
      <c r="AZ76" s="253"/>
      <c r="BA76" s="253"/>
      <c r="BB76" s="254">
        <f>300-300+90</f>
        <v>90</v>
      </c>
      <c r="BC76" s="253"/>
      <c r="BD76" s="253"/>
      <c r="BE76" s="253"/>
      <c r="BF76" s="253"/>
      <c r="BG76" s="253"/>
      <c r="BH76" s="253"/>
      <c r="BI76" s="253"/>
      <c r="BJ76" s="253"/>
      <c r="BK76" s="253"/>
      <c r="BL76" s="253"/>
      <c r="BM76" s="253"/>
      <c r="BN76" s="253"/>
      <c r="BO76" s="253"/>
      <c r="BP76" s="253"/>
      <c r="BQ76" s="253"/>
      <c r="BR76" s="253"/>
      <c r="BS76" s="253"/>
      <c r="BT76" s="253"/>
      <c r="BU76" s="253"/>
      <c r="BV76" s="253"/>
      <c r="BW76" s="253"/>
      <c r="BX76" s="253"/>
      <c r="BY76" s="253"/>
      <c r="BZ76" s="253"/>
      <c r="CA76" s="253"/>
      <c r="CB76" s="253"/>
      <c r="CC76" s="253"/>
      <c r="CD76" s="253"/>
      <c r="CE76" s="253"/>
      <c r="CF76" s="253"/>
      <c r="CG76" s="253"/>
      <c r="CH76" s="253"/>
      <c r="CI76" s="253"/>
      <c r="CJ76" s="253"/>
      <c r="CK76" s="253"/>
      <c r="CL76" s="253"/>
      <c r="CM76" s="253"/>
      <c r="CN76" s="253"/>
      <c r="CO76" s="253"/>
      <c r="CP76" s="253"/>
      <c r="CQ76" s="253"/>
      <c r="CR76" s="253"/>
      <c r="CS76" s="253"/>
      <c r="CT76" s="253"/>
      <c r="CU76" s="253"/>
      <c r="CV76" s="253"/>
      <c r="CW76" s="253"/>
      <c r="CX76" s="253"/>
      <c r="CY76" s="253"/>
      <c r="CZ76" s="253"/>
      <c r="DA76" s="253"/>
      <c r="DB76" s="253"/>
      <c r="DC76" s="253"/>
      <c r="DD76" s="253"/>
      <c r="DE76" s="253"/>
      <c r="DF76" s="253"/>
      <c r="DG76" s="253"/>
      <c r="DH76" s="253"/>
      <c r="DI76" s="253"/>
      <c r="DJ76" s="253"/>
      <c r="DK76" s="253"/>
      <c r="DL76" s="253"/>
      <c r="DM76" s="253"/>
      <c r="DN76" s="253"/>
      <c r="DO76" s="253"/>
      <c r="DP76" s="253"/>
      <c r="DQ76" s="253"/>
      <c r="DR76" s="253"/>
      <c r="DS76" s="253"/>
      <c r="DT76" s="253"/>
      <c r="DU76" s="253"/>
      <c r="DV76" s="253"/>
      <c r="DW76" s="253"/>
      <c r="DX76" s="253"/>
      <c r="DY76" s="253"/>
      <c r="DZ76" s="253"/>
      <c r="EA76" s="253"/>
      <c r="EB76" s="253"/>
      <c r="EC76" s="253"/>
      <c r="ED76" s="253"/>
      <c r="EE76" s="253"/>
      <c r="EF76" s="253"/>
      <c r="EG76" s="253"/>
      <c r="EH76" s="253"/>
      <c r="EI76" s="253"/>
      <c r="EJ76" s="253"/>
      <c r="EK76" s="253"/>
      <c r="EL76" s="253"/>
      <c r="EM76" s="253"/>
      <c r="EN76" s="253"/>
      <c r="EO76" s="253"/>
      <c r="EP76" s="253"/>
      <c r="EQ76" s="253"/>
      <c r="ER76" s="253"/>
      <c r="ES76" s="253"/>
      <c r="ET76" s="253"/>
      <c r="EU76" s="253"/>
      <c r="EV76" s="253"/>
      <c r="EW76" s="253"/>
      <c r="EX76" s="253"/>
      <c r="EY76" s="253"/>
      <c r="EZ76" s="253"/>
      <c r="FA76" s="253"/>
      <c r="FB76" s="253"/>
      <c r="FC76" s="253"/>
      <c r="FD76" s="253"/>
      <c r="FE76" s="253"/>
      <c r="FF76" s="253"/>
      <c r="FG76" s="253"/>
      <c r="FH76" s="253"/>
      <c r="FI76" s="253"/>
      <c r="FJ76" s="253"/>
      <c r="FK76" s="253"/>
      <c r="FL76" s="253"/>
      <c r="FM76" s="253"/>
      <c r="FN76" s="256"/>
      <c r="FO76" s="257" t="s">
        <v>1270</v>
      </c>
      <c r="FP76" s="258" t="s">
        <v>389</v>
      </c>
      <c r="FQ76" s="258"/>
      <c r="FR76" s="258" t="s">
        <v>423</v>
      </c>
      <c r="FS76" s="259">
        <f t="shared" si="4"/>
        <v>100</v>
      </c>
      <c r="FT76" s="260" t="s">
        <v>424</v>
      </c>
    </row>
    <row r="77" spans="1:176" s="260" customFormat="1">
      <c r="A77" s="251" t="s">
        <v>393</v>
      </c>
      <c r="B77" s="251" t="s">
        <v>385</v>
      </c>
      <c r="C77" s="251" t="s">
        <v>411</v>
      </c>
      <c r="D77" s="251" t="s">
        <v>1</v>
      </c>
      <c r="E77" s="252" t="s">
        <v>441</v>
      </c>
      <c r="F77" s="251" t="s">
        <v>388</v>
      </c>
      <c r="G77" s="251"/>
      <c r="H77" s="253"/>
      <c r="I77" s="253"/>
      <c r="J77" s="253"/>
      <c r="K77" s="253"/>
      <c r="L77" s="253"/>
      <c r="M77" s="253"/>
      <c r="N77" s="255">
        <f>50-50</f>
        <v>0</v>
      </c>
      <c r="O77" s="255">
        <f>50-50</f>
        <v>0</v>
      </c>
      <c r="P77" s="253"/>
      <c r="Q77" s="253"/>
      <c r="R77" s="255">
        <f>20-20</f>
        <v>0</v>
      </c>
      <c r="S77" s="253"/>
      <c r="T77" s="255">
        <f>100-100</f>
        <v>0</v>
      </c>
      <c r="U77" s="255">
        <f>100-100</f>
        <v>0</v>
      </c>
      <c r="V77" s="253"/>
      <c r="W77" s="255">
        <f>100-100</f>
        <v>0</v>
      </c>
      <c r="X77" s="253"/>
      <c r="Y77" s="255">
        <f>100-100</f>
        <v>0</v>
      </c>
      <c r="Z77" s="255">
        <f>200-200</f>
        <v>0</v>
      </c>
      <c r="AA77" s="255">
        <f>200-200</f>
        <v>0</v>
      </c>
      <c r="AB77" s="255">
        <f>100-100</f>
        <v>0</v>
      </c>
      <c r="AC77" s="255">
        <f>100-100</f>
        <v>0</v>
      </c>
      <c r="AD77" s="253"/>
      <c r="AE77" s="254">
        <f>100-100+10</f>
        <v>10</v>
      </c>
      <c r="AF77" s="253"/>
      <c r="AG77" s="253"/>
      <c r="AH77" s="255">
        <f>100-100</f>
        <v>0</v>
      </c>
      <c r="AI77" s="253"/>
      <c r="AJ77" s="253"/>
      <c r="AK77" s="253"/>
      <c r="AL77" s="255">
        <f>100-100</f>
        <v>0</v>
      </c>
      <c r="AM77" s="253"/>
      <c r="AN77" s="253"/>
      <c r="AO77" s="253"/>
      <c r="AP77" s="253"/>
      <c r="AQ77" s="253"/>
      <c r="AR77" s="253"/>
      <c r="AS77" s="255">
        <f>500-500</f>
        <v>0</v>
      </c>
      <c r="AT77" s="253"/>
      <c r="AU77" s="253"/>
      <c r="AV77" s="253"/>
      <c r="AW77" s="253"/>
      <c r="AX77" s="255">
        <f>200-200</f>
        <v>0</v>
      </c>
      <c r="AY77" s="253"/>
      <c r="AZ77" s="253"/>
      <c r="BA77" s="253"/>
      <c r="BB77" s="253"/>
      <c r="BC77" s="253"/>
      <c r="BD77" s="253"/>
      <c r="BE77" s="253"/>
      <c r="BF77" s="253"/>
      <c r="BG77" s="253"/>
      <c r="BH77" s="253"/>
      <c r="BI77" s="255">
        <f>300-300</f>
        <v>0</v>
      </c>
      <c r="BJ77" s="255">
        <f>300-300</f>
        <v>0</v>
      </c>
      <c r="BK77" s="255">
        <f>300-300</f>
        <v>0</v>
      </c>
      <c r="BL77" s="255">
        <f>300-300</f>
        <v>0</v>
      </c>
      <c r="BM77" s="253"/>
      <c r="BN77" s="255">
        <f>300-300</f>
        <v>0</v>
      </c>
      <c r="BO77" s="255">
        <f>300-300</f>
        <v>0</v>
      </c>
      <c r="BP77" s="255">
        <f>300-300</f>
        <v>0</v>
      </c>
      <c r="BQ77" s="253"/>
      <c r="BR77" s="255">
        <f>300-300</f>
        <v>0</v>
      </c>
      <c r="BS77" s="255">
        <f>300-300</f>
        <v>0</v>
      </c>
      <c r="BT77" s="253"/>
      <c r="BU77" s="255">
        <f>300-300</f>
        <v>0</v>
      </c>
      <c r="BV77" s="255">
        <f>200-200</f>
        <v>0</v>
      </c>
      <c r="BW77" s="255">
        <f>200-200</f>
        <v>0</v>
      </c>
      <c r="BX77" s="255">
        <f>200-200</f>
        <v>0</v>
      </c>
      <c r="BY77" s="255">
        <f>300-300</f>
        <v>0</v>
      </c>
      <c r="BZ77" s="255">
        <f>200-200</f>
        <v>0</v>
      </c>
      <c r="CA77" s="255">
        <f>100-100</f>
        <v>0</v>
      </c>
      <c r="CB77" s="253"/>
      <c r="CC77" s="253"/>
      <c r="CD77" s="255">
        <f>50-50</f>
        <v>0</v>
      </c>
      <c r="CE77" s="255">
        <f>100-100</f>
        <v>0</v>
      </c>
      <c r="CF77" s="255">
        <f>100-100</f>
        <v>0</v>
      </c>
      <c r="CG77" s="255">
        <f>200-200</f>
        <v>0</v>
      </c>
      <c r="CH77" s="253"/>
      <c r="CI77" s="253"/>
      <c r="CJ77" s="253"/>
      <c r="CK77" s="253"/>
      <c r="CL77" s="253"/>
      <c r="CM77" s="253"/>
      <c r="CN77" s="253"/>
      <c r="CO77" s="253"/>
      <c r="CP77" s="255">
        <f>100-100</f>
        <v>0</v>
      </c>
      <c r="CQ77" s="253"/>
      <c r="CR77" s="253"/>
      <c r="CS77" s="255">
        <f>50-50</f>
        <v>0</v>
      </c>
      <c r="CT77" s="253"/>
      <c r="CU77" s="253"/>
      <c r="CV77" s="253"/>
      <c r="CW77" s="255">
        <f>20-20</f>
        <v>0</v>
      </c>
      <c r="CX77" s="255">
        <f>20-20</f>
        <v>0</v>
      </c>
      <c r="CY77" s="255">
        <f>20-20</f>
        <v>0</v>
      </c>
      <c r="CZ77" s="253"/>
      <c r="DA77" s="253"/>
      <c r="DB77" s="253"/>
      <c r="DC77" s="253"/>
      <c r="DD77" s="253"/>
      <c r="DE77" s="253"/>
      <c r="DF77" s="255">
        <f>10-10</f>
        <v>0</v>
      </c>
      <c r="DG77" s="253"/>
      <c r="DH77" s="253"/>
      <c r="DI77" s="253"/>
      <c r="DJ77" s="253"/>
      <c r="DK77" s="253"/>
      <c r="DL77" s="253"/>
      <c r="DM77" s="253"/>
      <c r="DN77" s="253"/>
      <c r="DO77" s="253"/>
      <c r="DP77" s="253"/>
      <c r="DQ77" s="253"/>
      <c r="DR77" s="253"/>
      <c r="DS77" s="253"/>
      <c r="DT77" s="253"/>
      <c r="DU77" s="253"/>
      <c r="DV77" s="253"/>
      <c r="DW77" s="253"/>
      <c r="DX77" s="253"/>
      <c r="DY77" s="255">
        <f>50-50</f>
        <v>0</v>
      </c>
      <c r="DZ77" s="255">
        <f>50-50</f>
        <v>0</v>
      </c>
      <c r="EA77" s="253"/>
      <c r="EB77" s="253"/>
      <c r="EC77" s="255">
        <f>100-100</f>
        <v>0</v>
      </c>
      <c r="ED77" s="255">
        <f>50-50</f>
        <v>0</v>
      </c>
      <c r="EE77" s="253"/>
      <c r="EF77" s="253"/>
      <c r="EG77" s="253"/>
      <c r="EH77" s="255">
        <f>50-50</f>
        <v>0</v>
      </c>
      <c r="EI77" s="255">
        <f>50-50</f>
        <v>0</v>
      </c>
      <c r="EJ77" s="255">
        <f>50-50</f>
        <v>0</v>
      </c>
      <c r="EK77" s="255">
        <f>50-50</f>
        <v>0</v>
      </c>
      <c r="EL77" s="255">
        <f>50-50</f>
        <v>0</v>
      </c>
      <c r="EM77" s="253"/>
      <c r="EN77" s="253"/>
      <c r="EO77" s="253"/>
      <c r="EP77" s="253"/>
      <c r="EQ77" s="253"/>
      <c r="ER77" s="253"/>
      <c r="ES77" s="255">
        <f>50-50</f>
        <v>0</v>
      </c>
      <c r="ET77" s="255">
        <f>30-30</f>
        <v>0</v>
      </c>
      <c r="EU77" s="253"/>
      <c r="EV77" s="255">
        <f>30-30</f>
        <v>0</v>
      </c>
      <c r="EW77" s="255">
        <f>30-30</f>
        <v>0</v>
      </c>
      <c r="EX77" s="255">
        <f>30-30</f>
        <v>0</v>
      </c>
      <c r="EY77" s="253"/>
      <c r="EZ77" s="255">
        <f>30-30</f>
        <v>0</v>
      </c>
      <c r="FA77" s="255">
        <f>20-20</f>
        <v>0</v>
      </c>
      <c r="FB77" s="253"/>
      <c r="FC77" s="253"/>
      <c r="FD77" s="255">
        <f>20-20</f>
        <v>0</v>
      </c>
      <c r="FE77" s="253"/>
      <c r="FF77" s="253"/>
      <c r="FG77" s="253"/>
      <c r="FH77" s="253"/>
      <c r="FI77" s="253"/>
      <c r="FJ77" s="253"/>
      <c r="FK77" s="253"/>
      <c r="FL77" s="253"/>
      <c r="FM77" s="253"/>
      <c r="FN77" s="256"/>
      <c r="FO77" s="257" t="s">
        <v>1270</v>
      </c>
      <c r="FP77" s="258" t="s">
        <v>389</v>
      </c>
      <c r="FQ77" s="258"/>
      <c r="FR77" s="258" t="s">
        <v>423</v>
      </c>
      <c r="FS77" s="259">
        <f t="shared" si="4"/>
        <v>10</v>
      </c>
      <c r="FT77" s="260" t="s">
        <v>424</v>
      </c>
    </row>
    <row r="78" spans="1:176" s="260" customFormat="1">
      <c r="A78" s="251" t="s">
        <v>393</v>
      </c>
      <c r="B78" s="251" t="s">
        <v>385</v>
      </c>
      <c r="C78" s="251" t="s">
        <v>411</v>
      </c>
      <c r="D78" s="251" t="s">
        <v>293</v>
      </c>
      <c r="E78" s="252" t="s">
        <v>441</v>
      </c>
      <c r="F78" s="251" t="s">
        <v>388</v>
      </c>
      <c r="G78" s="251"/>
      <c r="H78" s="253"/>
      <c r="I78" s="253"/>
      <c r="J78" s="253"/>
      <c r="K78" s="253"/>
      <c r="L78" s="253"/>
      <c r="M78" s="253"/>
      <c r="N78" s="253"/>
      <c r="O78" s="253"/>
      <c r="P78" s="253"/>
      <c r="Q78" s="253"/>
      <c r="R78" s="253"/>
      <c r="S78" s="253"/>
      <c r="T78" s="253"/>
      <c r="U78" s="253"/>
      <c r="V78" s="253"/>
      <c r="W78" s="253"/>
      <c r="X78" s="253"/>
      <c r="Y78" s="253"/>
      <c r="Z78" s="253"/>
      <c r="AA78" s="253"/>
      <c r="AB78" s="253"/>
      <c r="AC78" s="253"/>
      <c r="AD78" s="253"/>
      <c r="AE78" s="253"/>
      <c r="AF78" s="253"/>
      <c r="AG78" s="253"/>
      <c r="AH78" s="253"/>
      <c r="AI78" s="253"/>
      <c r="AJ78" s="253"/>
      <c r="AK78" s="253"/>
      <c r="AL78" s="253"/>
      <c r="AM78" s="253"/>
      <c r="AN78" s="253"/>
      <c r="AO78" s="253"/>
      <c r="AP78" s="253"/>
      <c r="AQ78" s="253"/>
      <c r="AR78" s="253"/>
      <c r="AS78" s="253"/>
      <c r="AT78" s="253"/>
      <c r="AU78" s="253"/>
      <c r="AV78" s="253"/>
      <c r="AW78" s="253"/>
      <c r="AX78" s="253"/>
      <c r="AY78" s="253"/>
      <c r="AZ78" s="253"/>
      <c r="BA78" s="253"/>
      <c r="BB78" s="253"/>
      <c r="BC78" s="253"/>
      <c r="BD78" s="253"/>
      <c r="BE78" s="253"/>
      <c r="BF78" s="253"/>
      <c r="BG78" s="253"/>
      <c r="BH78" s="253"/>
      <c r="BI78" s="253"/>
      <c r="BJ78" s="253"/>
      <c r="BK78" s="253"/>
      <c r="BL78" s="253"/>
      <c r="BM78" s="253"/>
      <c r="BN78" s="253"/>
      <c r="BO78" s="253"/>
      <c r="BP78" s="253"/>
      <c r="BQ78" s="253"/>
      <c r="BR78" s="253"/>
      <c r="BS78" s="253"/>
      <c r="BT78" s="253"/>
      <c r="BU78" s="253"/>
      <c r="BV78" s="253"/>
      <c r="BW78" s="253"/>
      <c r="BX78" s="253"/>
      <c r="BY78" s="253"/>
      <c r="BZ78" s="253"/>
      <c r="CA78" s="253"/>
      <c r="CB78" s="253"/>
      <c r="CC78" s="253"/>
      <c r="CD78" s="253"/>
      <c r="CE78" s="253"/>
      <c r="CF78" s="253"/>
      <c r="CG78" s="253"/>
      <c r="CH78" s="253"/>
      <c r="CI78" s="253"/>
      <c r="CJ78" s="253"/>
      <c r="CK78" s="253"/>
      <c r="CL78" s="253"/>
      <c r="CM78" s="253"/>
      <c r="CN78" s="253"/>
      <c r="CO78" s="253"/>
      <c r="CP78" s="253"/>
      <c r="CQ78" s="253"/>
      <c r="CR78" s="253"/>
      <c r="CS78" s="253"/>
      <c r="CT78" s="253"/>
      <c r="CU78" s="253"/>
      <c r="CV78" s="253"/>
      <c r="CW78" s="253"/>
      <c r="CX78" s="253"/>
      <c r="CY78" s="253"/>
      <c r="CZ78" s="253"/>
      <c r="DA78" s="253"/>
      <c r="DB78" s="253"/>
      <c r="DC78" s="253"/>
      <c r="DD78" s="253"/>
      <c r="DE78" s="253"/>
      <c r="DF78" s="253"/>
      <c r="DG78" s="253"/>
      <c r="DH78" s="253"/>
      <c r="DI78" s="253"/>
      <c r="DJ78" s="253"/>
      <c r="DK78" s="253"/>
      <c r="DL78" s="253"/>
      <c r="DM78" s="253"/>
      <c r="DN78" s="253"/>
      <c r="DO78" s="253"/>
      <c r="DP78" s="253"/>
      <c r="DQ78" s="253"/>
      <c r="DR78" s="253"/>
      <c r="DS78" s="253"/>
      <c r="DT78" s="253"/>
      <c r="DU78" s="253"/>
      <c r="DV78" s="253"/>
      <c r="DW78" s="253"/>
      <c r="DX78" s="253"/>
      <c r="DY78" s="253"/>
      <c r="DZ78" s="253"/>
      <c r="EA78" s="253"/>
      <c r="EB78" s="253"/>
      <c r="EC78" s="253"/>
      <c r="ED78" s="253"/>
      <c r="EE78" s="253"/>
      <c r="EF78" s="253"/>
      <c r="EG78" s="253"/>
      <c r="EH78" s="253"/>
      <c r="EI78" s="253"/>
      <c r="EJ78" s="253"/>
      <c r="EK78" s="253"/>
      <c r="EL78" s="253"/>
      <c r="EM78" s="253"/>
      <c r="EN78" s="253"/>
      <c r="EO78" s="253"/>
      <c r="EP78" s="253"/>
      <c r="EQ78" s="253"/>
      <c r="ER78" s="253"/>
      <c r="ES78" s="253"/>
      <c r="ET78" s="253"/>
      <c r="EU78" s="255">
        <f>30-30</f>
        <v>0</v>
      </c>
      <c r="EV78" s="253"/>
      <c r="EW78" s="253"/>
      <c r="EX78" s="253"/>
      <c r="EY78" s="255">
        <f>30-30</f>
        <v>0</v>
      </c>
      <c r="EZ78" s="253"/>
      <c r="FA78" s="253"/>
      <c r="FB78" s="253"/>
      <c r="FC78" s="255">
        <f>20-20</f>
        <v>0</v>
      </c>
      <c r="FD78" s="253"/>
      <c r="FE78" s="253"/>
      <c r="FF78" s="253"/>
      <c r="FG78" s="253"/>
      <c r="FH78" s="253"/>
      <c r="FI78" s="253"/>
      <c r="FJ78" s="253"/>
      <c r="FK78" s="253"/>
      <c r="FL78" s="253"/>
      <c r="FM78" s="253"/>
      <c r="FN78" s="256"/>
      <c r="FO78" s="257" t="s">
        <v>1270</v>
      </c>
      <c r="FP78" s="258" t="s">
        <v>389</v>
      </c>
      <c r="FQ78" s="258"/>
      <c r="FR78" s="258" t="s">
        <v>423</v>
      </c>
      <c r="FS78" s="259">
        <f t="shared" si="4"/>
        <v>0</v>
      </c>
      <c r="FT78" s="260" t="s">
        <v>424</v>
      </c>
    </row>
    <row r="79" spans="1:176" s="260" customFormat="1">
      <c r="A79" s="251" t="s">
        <v>385</v>
      </c>
      <c r="B79" s="251" t="s">
        <v>392</v>
      </c>
      <c r="C79" s="251" t="s">
        <v>411</v>
      </c>
      <c r="D79" s="251" t="s">
        <v>291</v>
      </c>
      <c r="E79" s="252" t="s">
        <v>851</v>
      </c>
      <c r="F79" s="251" t="s">
        <v>388</v>
      </c>
      <c r="G79" s="251"/>
      <c r="H79" s="253"/>
      <c r="I79" s="255">
        <f>200-200</f>
        <v>0</v>
      </c>
      <c r="J79" s="253"/>
      <c r="K79" s="255">
        <f>200-200</f>
        <v>0</v>
      </c>
      <c r="L79" s="253"/>
      <c r="M79" s="255">
        <f>200-200</f>
        <v>0</v>
      </c>
      <c r="N79" s="253"/>
      <c r="O79" s="253"/>
      <c r="P79" s="253"/>
      <c r="Q79" s="253"/>
      <c r="R79" s="253"/>
      <c r="S79" s="253"/>
      <c r="T79" s="253"/>
      <c r="U79" s="253"/>
      <c r="V79" s="253"/>
      <c r="W79" s="253"/>
      <c r="X79" s="253"/>
      <c r="Y79" s="253"/>
      <c r="Z79" s="253"/>
      <c r="AA79" s="253"/>
      <c r="AB79" s="253"/>
      <c r="AC79" s="253"/>
      <c r="AD79" s="255">
        <f>100-100</f>
        <v>0</v>
      </c>
      <c r="AE79" s="253"/>
      <c r="AF79" s="255">
        <f>250-250</f>
        <v>0</v>
      </c>
      <c r="AG79" s="255">
        <f>200-200</f>
        <v>0</v>
      </c>
      <c r="AH79" s="253"/>
      <c r="AI79" s="253"/>
      <c r="AJ79" s="253"/>
      <c r="AK79" s="253"/>
      <c r="AL79" s="253"/>
      <c r="AM79" s="253"/>
      <c r="AN79" s="254">
        <f>100-100+10</f>
        <v>10</v>
      </c>
      <c r="AO79" s="253"/>
      <c r="AP79" s="253"/>
      <c r="AQ79" s="253"/>
      <c r="AR79" s="253"/>
      <c r="AS79" s="253"/>
      <c r="AT79" s="253"/>
      <c r="AU79" s="253"/>
      <c r="AV79" s="253"/>
      <c r="AW79" s="253"/>
      <c r="AX79" s="253"/>
      <c r="AY79" s="253"/>
      <c r="AZ79" s="253"/>
      <c r="BA79" s="253"/>
      <c r="BB79" s="255">
        <f>150-150</f>
        <v>0</v>
      </c>
      <c r="BC79" s="253"/>
      <c r="BD79" s="253"/>
      <c r="BE79" s="253"/>
      <c r="BF79" s="253"/>
      <c r="BG79" s="253"/>
      <c r="BH79" s="253"/>
      <c r="BI79" s="253"/>
      <c r="BJ79" s="253"/>
      <c r="BK79" s="253"/>
      <c r="BL79" s="253"/>
      <c r="BM79" s="253"/>
      <c r="BN79" s="253"/>
      <c r="BO79" s="253"/>
      <c r="BP79" s="253"/>
      <c r="BQ79" s="253"/>
      <c r="BR79" s="253"/>
      <c r="BS79" s="253"/>
      <c r="BT79" s="253"/>
      <c r="BU79" s="253"/>
      <c r="BV79" s="253"/>
      <c r="BW79" s="253"/>
      <c r="BX79" s="253"/>
      <c r="BY79" s="253"/>
      <c r="BZ79" s="253"/>
      <c r="CA79" s="253"/>
      <c r="CB79" s="253"/>
      <c r="CC79" s="253"/>
      <c r="CD79" s="253"/>
      <c r="CE79" s="253"/>
      <c r="CF79" s="253"/>
      <c r="CG79" s="253"/>
      <c r="CH79" s="253"/>
      <c r="CI79" s="253"/>
      <c r="CJ79" s="253"/>
      <c r="CK79" s="253"/>
      <c r="CL79" s="253"/>
      <c r="CM79" s="253"/>
      <c r="CN79" s="253"/>
      <c r="CO79" s="253"/>
      <c r="CP79" s="253"/>
      <c r="CQ79" s="253"/>
      <c r="CR79" s="253"/>
      <c r="CS79" s="253"/>
      <c r="CT79" s="253"/>
      <c r="CU79" s="253"/>
      <c r="CV79" s="253"/>
      <c r="CW79" s="253"/>
      <c r="CX79" s="253"/>
      <c r="CY79" s="253"/>
      <c r="CZ79" s="253"/>
      <c r="DA79" s="253"/>
      <c r="DB79" s="253"/>
      <c r="DC79" s="253"/>
      <c r="DD79" s="253"/>
      <c r="DE79" s="253"/>
      <c r="DF79" s="253"/>
      <c r="DG79" s="253"/>
      <c r="DH79" s="253"/>
      <c r="DI79" s="253"/>
      <c r="DJ79" s="253"/>
      <c r="DK79" s="253"/>
      <c r="DL79" s="253"/>
      <c r="DM79" s="253"/>
      <c r="DN79" s="253"/>
      <c r="DO79" s="253"/>
      <c r="DP79" s="253"/>
      <c r="DQ79" s="253"/>
      <c r="DR79" s="253"/>
      <c r="DS79" s="253"/>
      <c r="DT79" s="253"/>
      <c r="DU79" s="253"/>
      <c r="DV79" s="253"/>
      <c r="DW79" s="253"/>
      <c r="DX79" s="253"/>
      <c r="DY79" s="253"/>
      <c r="DZ79" s="253"/>
      <c r="EA79" s="253"/>
      <c r="EB79" s="253"/>
      <c r="EC79" s="253"/>
      <c r="ED79" s="253"/>
      <c r="EE79" s="253"/>
      <c r="EF79" s="253"/>
      <c r="EG79" s="253"/>
      <c r="EH79" s="253"/>
      <c r="EI79" s="253"/>
      <c r="EJ79" s="253"/>
      <c r="EK79" s="253"/>
      <c r="EL79" s="253"/>
      <c r="EM79" s="253"/>
      <c r="EN79" s="253"/>
      <c r="EO79" s="253"/>
      <c r="EP79" s="253"/>
      <c r="EQ79" s="253"/>
      <c r="ER79" s="253"/>
      <c r="ES79" s="253"/>
      <c r="ET79" s="253"/>
      <c r="EU79" s="253"/>
      <c r="EV79" s="253"/>
      <c r="EW79" s="253"/>
      <c r="EX79" s="253"/>
      <c r="EY79" s="253"/>
      <c r="EZ79" s="253"/>
      <c r="FA79" s="253"/>
      <c r="FB79" s="253"/>
      <c r="FC79" s="253"/>
      <c r="FD79" s="253"/>
      <c r="FE79" s="253"/>
      <c r="FF79" s="253"/>
      <c r="FG79" s="253"/>
      <c r="FH79" s="253"/>
      <c r="FI79" s="253"/>
      <c r="FJ79" s="253"/>
      <c r="FK79" s="253"/>
      <c r="FL79" s="253"/>
      <c r="FM79" s="253"/>
      <c r="FN79" s="256"/>
      <c r="FO79" s="257" t="s">
        <v>1270</v>
      </c>
      <c r="FP79" s="258" t="s">
        <v>389</v>
      </c>
      <c r="FQ79" s="258" t="s">
        <v>855</v>
      </c>
      <c r="FR79" s="258" t="s">
        <v>439</v>
      </c>
      <c r="FS79" s="259">
        <f t="shared" si="4"/>
        <v>10</v>
      </c>
      <c r="FT79" s="260" t="s">
        <v>421</v>
      </c>
    </row>
    <row r="80" spans="1:176" s="260" customFormat="1">
      <c r="A80" s="251" t="s">
        <v>385</v>
      </c>
      <c r="B80" s="251" t="s">
        <v>392</v>
      </c>
      <c r="C80" s="251" t="s">
        <v>411</v>
      </c>
      <c r="D80" s="251" t="s">
        <v>1</v>
      </c>
      <c r="E80" s="252" t="s">
        <v>851</v>
      </c>
      <c r="F80" s="251" t="s">
        <v>388</v>
      </c>
      <c r="G80" s="251"/>
      <c r="H80" s="253"/>
      <c r="I80" s="253"/>
      <c r="J80" s="253"/>
      <c r="K80" s="253"/>
      <c r="L80" s="253"/>
      <c r="M80" s="253"/>
      <c r="N80" s="255">
        <f>150-150</f>
        <v>0</v>
      </c>
      <c r="O80" s="253"/>
      <c r="P80" s="253"/>
      <c r="Q80" s="253"/>
      <c r="R80" s="253"/>
      <c r="S80" s="253"/>
      <c r="T80" s="255">
        <f>100-100</f>
        <v>0</v>
      </c>
      <c r="U80" s="253"/>
      <c r="V80" s="253"/>
      <c r="W80" s="254">
        <f>100-100+10</f>
        <v>10</v>
      </c>
      <c r="X80" s="253"/>
      <c r="Y80" s="255">
        <f>100-100</f>
        <v>0</v>
      </c>
      <c r="Z80" s="253"/>
      <c r="AA80" s="255">
        <f>400-400</f>
        <v>0</v>
      </c>
      <c r="AB80" s="253"/>
      <c r="AC80" s="253"/>
      <c r="AD80" s="253"/>
      <c r="AE80" s="255">
        <f>150-150</f>
        <v>0</v>
      </c>
      <c r="AF80" s="253"/>
      <c r="AG80" s="253"/>
      <c r="AH80" s="253"/>
      <c r="AI80" s="253"/>
      <c r="AJ80" s="253"/>
      <c r="AK80" s="253"/>
      <c r="AL80" s="255">
        <f>150-150</f>
        <v>0</v>
      </c>
      <c r="AM80" s="253"/>
      <c r="AN80" s="253"/>
      <c r="AO80" s="253"/>
      <c r="AP80" s="253"/>
      <c r="AQ80" s="253"/>
      <c r="AR80" s="253"/>
      <c r="AS80" s="255">
        <f>200-200</f>
        <v>0</v>
      </c>
      <c r="AT80" s="253"/>
      <c r="AU80" s="253"/>
      <c r="AV80" s="253"/>
      <c r="AW80" s="253"/>
      <c r="AX80" s="254">
        <f>20-20+20</f>
        <v>20</v>
      </c>
      <c r="AY80" s="253"/>
      <c r="AZ80" s="253"/>
      <c r="BA80" s="253"/>
      <c r="BB80" s="253"/>
      <c r="BC80" s="253"/>
      <c r="BD80" s="253"/>
      <c r="BE80" s="253"/>
      <c r="BF80" s="253"/>
      <c r="BG80" s="253"/>
      <c r="BH80" s="253"/>
      <c r="BI80" s="253"/>
      <c r="BJ80" s="253"/>
      <c r="BK80" s="253"/>
      <c r="BL80" s="253"/>
      <c r="BM80" s="253"/>
      <c r="BN80" s="253"/>
      <c r="BO80" s="253"/>
      <c r="BP80" s="253"/>
      <c r="BQ80" s="253"/>
      <c r="BR80" s="253"/>
      <c r="BS80" s="253"/>
      <c r="BT80" s="253"/>
      <c r="BU80" s="253"/>
      <c r="BV80" s="253"/>
      <c r="BW80" s="253"/>
      <c r="BX80" s="253"/>
      <c r="BY80" s="253"/>
      <c r="BZ80" s="253"/>
      <c r="CA80" s="253"/>
      <c r="CB80" s="253"/>
      <c r="CC80" s="253"/>
      <c r="CD80" s="253"/>
      <c r="CE80" s="253"/>
      <c r="CF80" s="253"/>
      <c r="CG80" s="253"/>
      <c r="CH80" s="253"/>
      <c r="CI80" s="253"/>
      <c r="CJ80" s="253"/>
      <c r="CK80" s="253"/>
      <c r="CL80" s="253"/>
      <c r="CM80" s="253"/>
      <c r="CN80" s="253"/>
      <c r="CO80" s="253"/>
      <c r="CP80" s="253"/>
      <c r="CQ80" s="253"/>
      <c r="CR80" s="253"/>
      <c r="CS80" s="253"/>
      <c r="CT80" s="253"/>
      <c r="CU80" s="253"/>
      <c r="CV80" s="253"/>
      <c r="CW80" s="253"/>
      <c r="CX80" s="253"/>
      <c r="CY80" s="253"/>
      <c r="CZ80" s="253"/>
      <c r="DA80" s="253"/>
      <c r="DB80" s="253"/>
      <c r="DC80" s="253"/>
      <c r="DD80" s="253"/>
      <c r="DE80" s="253"/>
      <c r="DF80" s="253"/>
      <c r="DG80" s="253"/>
      <c r="DH80" s="253"/>
      <c r="DI80" s="253"/>
      <c r="DJ80" s="253"/>
      <c r="DK80" s="253"/>
      <c r="DL80" s="253"/>
      <c r="DM80" s="253"/>
      <c r="DN80" s="253"/>
      <c r="DO80" s="253"/>
      <c r="DP80" s="253"/>
      <c r="DQ80" s="253"/>
      <c r="DR80" s="253"/>
      <c r="DS80" s="253"/>
      <c r="DT80" s="255">
        <f>200-200</f>
        <v>0</v>
      </c>
      <c r="DU80" s="253"/>
      <c r="DV80" s="253"/>
      <c r="DW80" s="253"/>
      <c r="DX80" s="253"/>
      <c r="DY80" s="253"/>
      <c r="DZ80" s="253"/>
      <c r="EA80" s="253"/>
      <c r="EB80" s="253"/>
      <c r="EC80" s="253"/>
      <c r="ED80" s="253"/>
      <c r="EE80" s="253"/>
      <c r="EF80" s="253"/>
      <c r="EG80" s="253"/>
      <c r="EH80" s="253"/>
      <c r="EI80" s="253"/>
      <c r="EJ80" s="255">
        <f>60-60</f>
        <v>0</v>
      </c>
      <c r="EK80" s="253"/>
      <c r="EL80" s="255">
        <f>60-60</f>
        <v>0</v>
      </c>
      <c r="EM80" s="253"/>
      <c r="EN80" s="253"/>
      <c r="EO80" s="253"/>
      <c r="EP80" s="253"/>
      <c r="EQ80" s="253"/>
      <c r="ER80" s="253"/>
      <c r="ES80" s="253"/>
      <c r="ET80" s="253"/>
      <c r="EU80" s="253"/>
      <c r="EV80" s="253"/>
      <c r="EW80" s="253"/>
      <c r="EX80" s="253"/>
      <c r="EY80" s="253"/>
      <c r="EZ80" s="253"/>
      <c r="FA80" s="253"/>
      <c r="FB80" s="253"/>
      <c r="FC80" s="253"/>
      <c r="FD80" s="253"/>
      <c r="FE80" s="253"/>
      <c r="FF80" s="253"/>
      <c r="FG80" s="253"/>
      <c r="FH80" s="253"/>
      <c r="FI80" s="253"/>
      <c r="FJ80" s="253"/>
      <c r="FK80" s="253"/>
      <c r="FL80" s="253"/>
      <c r="FM80" s="253"/>
      <c r="FN80" s="256"/>
      <c r="FO80" s="257" t="s">
        <v>1270</v>
      </c>
      <c r="FP80" s="258" t="s">
        <v>389</v>
      </c>
      <c r="FQ80" s="258" t="s">
        <v>855</v>
      </c>
      <c r="FR80" s="258" t="s">
        <v>439</v>
      </c>
      <c r="FS80" s="259">
        <f t="shared" si="4"/>
        <v>30</v>
      </c>
      <c r="FT80" s="260" t="s">
        <v>421</v>
      </c>
    </row>
    <row r="81" spans="1:176" s="260" customFormat="1">
      <c r="A81" s="251" t="s">
        <v>417</v>
      </c>
      <c r="B81" s="251" t="s">
        <v>385</v>
      </c>
      <c r="C81" s="251" t="s">
        <v>411</v>
      </c>
      <c r="D81" s="251" t="s">
        <v>291</v>
      </c>
      <c r="E81" s="252" t="s">
        <v>856</v>
      </c>
      <c r="F81" s="251" t="s">
        <v>388</v>
      </c>
      <c r="G81" s="251"/>
      <c r="H81" s="253"/>
      <c r="I81" s="253"/>
      <c r="J81" s="253"/>
      <c r="K81" s="253"/>
      <c r="L81" s="253"/>
      <c r="M81" s="253"/>
      <c r="N81" s="253"/>
      <c r="O81" s="253"/>
      <c r="P81" s="253"/>
      <c r="Q81" s="253"/>
      <c r="R81" s="253"/>
      <c r="S81" s="253"/>
      <c r="T81" s="253"/>
      <c r="U81" s="253"/>
      <c r="V81" s="253"/>
      <c r="W81" s="253"/>
      <c r="X81" s="253"/>
      <c r="Y81" s="253"/>
      <c r="Z81" s="253"/>
      <c r="AA81" s="253"/>
      <c r="AB81" s="253"/>
      <c r="AC81" s="253"/>
      <c r="AD81" s="255">
        <f>100-100</f>
        <v>0</v>
      </c>
      <c r="AE81" s="253"/>
      <c r="AF81" s="255">
        <f>80-80</f>
        <v>0</v>
      </c>
      <c r="AG81" s="255">
        <f>80-80</f>
        <v>0</v>
      </c>
      <c r="AH81" s="253"/>
      <c r="AI81" s="253"/>
      <c r="AJ81" s="253"/>
      <c r="AK81" s="253"/>
      <c r="AL81" s="253"/>
      <c r="AM81" s="253"/>
      <c r="AN81" s="253"/>
      <c r="AO81" s="255">
        <f>60-60</f>
        <v>0</v>
      </c>
      <c r="AP81" s="255">
        <f>60-60</f>
        <v>0</v>
      </c>
      <c r="AQ81" s="253"/>
      <c r="AR81" s="253"/>
      <c r="AS81" s="253"/>
      <c r="AT81" s="253"/>
      <c r="AU81" s="253"/>
      <c r="AV81" s="253"/>
      <c r="AW81" s="253"/>
      <c r="AX81" s="253"/>
      <c r="AY81" s="253"/>
      <c r="AZ81" s="253"/>
      <c r="BA81" s="253"/>
      <c r="BB81" s="254">
        <f>40-40+20</f>
        <v>20</v>
      </c>
      <c r="BC81" s="253"/>
      <c r="BD81" s="253"/>
      <c r="BE81" s="253"/>
      <c r="BF81" s="253"/>
      <c r="BG81" s="253"/>
      <c r="BH81" s="253"/>
      <c r="BI81" s="253"/>
      <c r="BJ81" s="253"/>
      <c r="BK81" s="253"/>
      <c r="BL81" s="253"/>
      <c r="BM81" s="253"/>
      <c r="BN81" s="253"/>
      <c r="BO81" s="253"/>
      <c r="BP81" s="253"/>
      <c r="BQ81" s="253"/>
      <c r="BR81" s="253"/>
      <c r="BS81" s="253"/>
      <c r="BT81" s="253"/>
      <c r="BU81" s="253"/>
      <c r="BV81" s="253"/>
      <c r="BW81" s="253"/>
      <c r="BX81" s="253"/>
      <c r="BY81" s="253"/>
      <c r="BZ81" s="253"/>
      <c r="CA81" s="253"/>
      <c r="CB81" s="253"/>
      <c r="CC81" s="253"/>
      <c r="CD81" s="253"/>
      <c r="CE81" s="253"/>
      <c r="CF81" s="253"/>
      <c r="CG81" s="253"/>
      <c r="CH81" s="253"/>
      <c r="CI81" s="253"/>
      <c r="CJ81" s="253"/>
      <c r="CK81" s="253"/>
      <c r="CL81" s="253"/>
      <c r="CM81" s="253"/>
      <c r="CN81" s="253"/>
      <c r="CO81" s="253"/>
      <c r="CP81" s="253"/>
      <c r="CQ81" s="253"/>
      <c r="CR81" s="253"/>
      <c r="CS81" s="253"/>
      <c r="CT81" s="253"/>
      <c r="CU81" s="253"/>
      <c r="CV81" s="253"/>
      <c r="CW81" s="253"/>
      <c r="CX81" s="253"/>
      <c r="CY81" s="253"/>
      <c r="CZ81" s="253"/>
      <c r="DA81" s="253"/>
      <c r="DB81" s="253"/>
      <c r="DC81" s="253"/>
      <c r="DD81" s="253"/>
      <c r="DE81" s="253"/>
      <c r="DF81" s="253"/>
      <c r="DG81" s="253"/>
      <c r="DH81" s="253"/>
      <c r="DI81" s="253"/>
      <c r="DJ81" s="253"/>
      <c r="DK81" s="253"/>
      <c r="DL81" s="253"/>
      <c r="DM81" s="253"/>
      <c r="DN81" s="253"/>
      <c r="DO81" s="253"/>
      <c r="DP81" s="253"/>
      <c r="DQ81" s="253"/>
      <c r="DR81" s="253"/>
      <c r="DS81" s="253"/>
      <c r="DT81" s="253"/>
      <c r="DU81" s="253"/>
      <c r="DV81" s="253"/>
      <c r="DW81" s="253"/>
      <c r="DX81" s="253"/>
      <c r="DY81" s="253"/>
      <c r="DZ81" s="253"/>
      <c r="EA81" s="253"/>
      <c r="EB81" s="253"/>
      <c r="EC81" s="253"/>
      <c r="ED81" s="253"/>
      <c r="EE81" s="253"/>
      <c r="EF81" s="253"/>
      <c r="EG81" s="253"/>
      <c r="EH81" s="253"/>
      <c r="EI81" s="253"/>
      <c r="EJ81" s="253"/>
      <c r="EK81" s="253"/>
      <c r="EL81" s="253"/>
      <c r="EM81" s="253"/>
      <c r="EN81" s="253"/>
      <c r="EO81" s="253"/>
      <c r="EP81" s="253"/>
      <c r="EQ81" s="253"/>
      <c r="ER81" s="253"/>
      <c r="ES81" s="253"/>
      <c r="ET81" s="253"/>
      <c r="EU81" s="253"/>
      <c r="EV81" s="253"/>
      <c r="EW81" s="253"/>
      <c r="EX81" s="253"/>
      <c r="EY81" s="253"/>
      <c r="EZ81" s="253"/>
      <c r="FA81" s="253"/>
      <c r="FB81" s="253"/>
      <c r="FC81" s="253"/>
      <c r="FD81" s="253"/>
      <c r="FE81" s="253"/>
      <c r="FF81" s="253"/>
      <c r="FG81" s="253"/>
      <c r="FH81" s="253"/>
      <c r="FI81" s="253"/>
      <c r="FJ81" s="253"/>
      <c r="FK81" s="253"/>
      <c r="FL81" s="253"/>
      <c r="FM81" s="253"/>
      <c r="FN81" s="256"/>
      <c r="FO81" s="257" t="s">
        <v>1270</v>
      </c>
      <c r="FP81" s="258" t="s">
        <v>389</v>
      </c>
      <c r="FQ81" s="258" t="s">
        <v>858</v>
      </c>
      <c r="FR81" s="258" t="s">
        <v>420</v>
      </c>
      <c r="FS81" s="259">
        <f t="shared" si="4"/>
        <v>20</v>
      </c>
      <c r="FT81" s="260" t="s">
        <v>433</v>
      </c>
    </row>
    <row r="82" spans="1:176" s="260" customFormat="1">
      <c r="A82" s="251" t="s">
        <v>417</v>
      </c>
      <c r="B82" s="251" t="s">
        <v>385</v>
      </c>
      <c r="C82" s="251" t="s">
        <v>411</v>
      </c>
      <c r="D82" s="251" t="s">
        <v>1</v>
      </c>
      <c r="E82" s="252" t="s">
        <v>856</v>
      </c>
      <c r="F82" s="251" t="s">
        <v>388</v>
      </c>
      <c r="G82" s="251"/>
      <c r="H82" s="253"/>
      <c r="I82" s="253"/>
      <c r="J82" s="253"/>
      <c r="K82" s="253"/>
      <c r="L82" s="253"/>
      <c r="M82" s="253"/>
      <c r="N82" s="255">
        <f>20-20</f>
        <v>0</v>
      </c>
      <c r="O82" s="253"/>
      <c r="P82" s="253"/>
      <c r="Q82" s="253"/>
      <c r="R82" s="253"/>
      <c r="S82" s="253"/>
      <c r="T82" s="255">
        <f>100-100</f>
        <v>0</v>
      </c>
      <c r="U82" s="253"/>
      <c r="V82" s="253"/>
      <c r="W82" s="253"/>
      <c r="X82" s="253"/>
      <c r="Y82" s="253"/>
      <c r="Z82" s="253"/>
      <c r="AA82" s="253"/>
      <c r="AB82" s="253"/>
      <c r="AC82" s="253"/>
      <c r="AD82" s="253"/>
      <c r="AE82" s="253"/>
      <c r="AF82" s="253"/>
      <c r="AG82" s="253"/>
      <c r="AH82" s="253"/>
      <c r="AI82" s="253"/>
      <c r="AJ82" s="253"/>
      <c r="AK82" s="253"/>
      <c r="AL82" s="253"/>
      <c r="AM82" s="253"/>
      <c r="AN82" s="253"/>
      <c r="AO82" s="253"/>
      <c r="AP82" s="253"/>
      <c r="AQ82" s="253"/>
      <c r="AR82" s="253"/>
      <c r="AS82" s="253"/>
      <c r="AT82" s="253"/>
      <c r="AU82" s="253"/>
      <c r="AV82" s="253"/>
      <c r="AW82" s="253"/>
      <c r="AX82" s="253"/>
      <c r="AY82" s="253"/>
      <c r="AZ82" s="253"/>
      <c r="BA82" s="253"/>
      <c r="BB82" s="253"/>
      <c r="BC82" s="253"/>
      <c r="BD82" s="253"/>
      <c r="BE82" s="253"/>
      <c r="BF82" s="253"/>
      <c r="BG82" s="253"/>
      <c r="BH82" s="253"/>
      <c r="BI82" s="253"/>
      <c r="BJ82" s="253"/>
      <c r="BK82" s="253"/>
      <c r="BL82" s="253"/>
      <c r="BM82" s="253"/>
      <c r="BN82" s="253"/>
      <c r="BO82" s="253"/>
      <c r="BP82" s="253"/>
      <c r="BQ82" s="253"/>
      <c r="BR82" s="253"/>
      <c r="BS82" s="253"/>
      <c r="BT82" s="253"/>
      <c r="BU82" s="253"/>
      <c r="BV82" s="253"/>
      <c r="BW82" s="253"/>
      <c r="BX82" s="253"/>
      <c r="BY82" s="253"/>
      <c r="BZ82" s="253"/>
      <c r="CA82" s="253"/>
      <c r="CB82" s="253"/>
      <c r="CC82" s="253"/>
      <c r="CD82" s="253"/>
      <c r="CE82" s="253"/>
      <c r="CF82" s="253"/>
      <c r="CG82" s="253"/>
      <c r="CH82" s="253"/>
      <c r="CI82" s="253"/>
      <c r="CJ82" s="253"/>
      <c r="CK82" s="253"/>
      <c r="CL82" s="253"/>
      <c r="CM82" s="253"/>
      <c r="CN82" s="253"/>
      <c r="CO82" s="253"/>
      <c r="CP82" s="253"/>
      <c r="CQ82" s="253"/>
      <c r="CR82" s="253"/>
      <c r="CS82" s="253"/>
      <c r="CT82" s="253"/>
      <c r="CU82" s="253"/>
      <c r="CV82" s="253"/>
      <c r="CW82" s="253"/>
      <c r="CX82" s="253"/>
      <c r="CY82" s="253"/>
      <c r="CZ82" s="253"/>
      <c r="DA82" s="253"/>
      <c r="DB82" s="253"/>
      <c r="DC82" s="253"/>
      <c r="DD82" s="253"/>
      <c r="DE82" s="253"/>
      <c r="DF82" s="253"/>
      <c r="DG82" s="253"/>
      <c r="DH82" s="253"/>
      <c r="DI82" s="253"/>
      <c r="DJ82" s="253"/>
      <c r="DK82" s="253"/>
      <c r="DL82" s="253"/>
      <c r="DM82" s="253"/>
      <c r="DN82" s="253"/>
      <c r="DO82" s="253"/>
      <c r="DP82" s="253"/>
      <c r="DQ82" s="253"/>
      <c r="DR82" s="253"/>
      <c r="DS82" s="253"/>
      <c r="DT82" s="253"/>
      <c r="DU82" s="253"/>
      <c r="DV82" s="253"/>
      <c r="DW82" s="253"/>
      <c r="DX82" s="253"/>
      <c r="DY82" s="253"/>
      <c r="DZ82" s="253"/>
      <c r="EA82" s="253"/>
      <c r="EB82" s="253"/>
      <c r="EC82" s="253"/>
      <c r="ED82" s="253"/>
      <c r="EE82" s="253"/>
      <c r="EF82" s="253"/>
      <c r="EG82" s="253"/>
      <c r="EH82" s="253"/>
      <c r="EI82" s="253"/>
      <c r="EJ82" s="253"/>
      <c r="EK82" s="253"/>
      <c r="EL82" s="253"/>
      <c r="EM82" s="253"/>
      <c r="EN82" s="253"/>
      <c r="EO82" s="253"/>
      <c r="EP82" s="253"/>
      <c r="EQ82" s="253"/>
      <c r="ER82" s="253"/>
      <c r="ES82" s="253"/>
      <c r="ET82" s="253"/>
      <c r="EU82" s="253"/>
      <c r="EV82" s="253"/>
      <c r="EW82" s="253"/>
      <c r="EX82" s="253"/>
      <c r="EY82" s="253"/>
      <c r="EZ82" s="253"/>
      <c r="FA82" s="253"/>
      <c r="FB82" s="253"/>
      <c r="FC82" s="253"/>
      <c r="FD82" s="253"/>
      <c r="FE82" s="253"/>
      <c r="FF82" s="253"/>
      <c r="FG82" s="253"/>
      <c r="FH82" s="253"/>
      <c r="FI82" s="253"/>
      <c r="FJ82" s="253"/>
      <c r="FK82" s="253"/>
      <c r="FL82" s="253"/>
      <c r="FM82" s="253"/>
      <c r="FN82" s="256"/>
      <c r="FO82" s="257" t="s">
        <v>1270</v>
      </c>
      <c r="FP82" s="258" t="s">
        <v>389</v>
      </c>
      <c r="FQ82" s="258" t="s">
        <v>858</v>
      </c>
      <c r="FR82" s="258" t="s">
        <v>420</v>
      </c>
      <c r="FS82" s="259">
        <f t="shared" si="4"/>
        <v>0</v>
      </c>
      <c r="FT82" s="260" t="s">
        <v>433</v>
      </c>
    </row>
    <row r="83" spans="1:176" s="260" customFormat="1">
      <c r="A83" s="251" t="s">
        <v>393</v>
      </c>
      <c r="B83" s="251" t="s">
        <v>385</v>
      </c>
      <c r="C83" s="251" t="s">
        <v>411</v>
      </c>
      <c r="D83" s="251" t="s">
        <v>291</v>
      </c>
      <c r="E83" s="252" t="s">
        <v>859</v>
      </c>
      <c r="F83" s="251" t="s">
        <v>388</v>
      </c>
      <c r="G83" s="251"/>
      <c r="H83" s="253"/>
      <c r="I83" s="253"/>
      <c r="J83" s="253"/>
      <c r="K83" s="253"/>
      <c r="L83" s="253"/>
      <c r="M83" s="253"/>
      <c r="N83" s="253"/>
      <c r="O83" s="253"/>
      <c r="P83" s="253"/>
      <c r="Q83" s="253"/>
      <c r="R83" s="253"/>
      <c r="S83" s="253"/>
      <c r="T83" s="253"/>
      <c r="U83" s="253"/>
      <c r="V83" s="253"/>
      <c r="W83" s="253"/>
      <c r="X83" s="253"/>
      <c r="Y83" s="253"/>
      <c r="Z83" s="253"/>
      <c r="AA83" s="253"/>
      <c r="AB83" s="253"/>
      <c r="AC83" s="253"/>
      <c r="AD83" s="253"/>
      <c r="AE83" s="253"/>
      <c r="AF83" s="255">
        <f>100-100</f>
        <v>0</v>
      </c>
      <c r="AG83" s="255">
        <f>100-100</f>
        <v>0</v>
      </c>
      <c r="AH83" s="253"/>
      <c r="AI83" s="253"/>
      <c r="AJ83" s="253"/>
      <c r="AK83" s="253"/>
      <c r="AL83" s="253"/>
      <c r="AM83" s="253"/>
      <c r="AN83" s="253"/>
      <c r="AO83" s="255">
        <f>150-150</f>
        <v>0</v>
      </c>
      <c r="AP83" s="253"/>
      <c r="AQ83" s="253"/>
      <c r="AR83" s="253"/>
      <c r="AS83" s="253"/>
      <c r="AT83" s="253"/>
      <c r="AU83" s="253"/>
      <c r="AV83" s="253"/>
      <c r="AW83" s="253"/>
      <c r="AX83" s="253"/>
      <c r="AY83" s="253"/>
      <c r="AZ83" s="253"/>
      <c r="BA83" s="253"/>
      <c r="BB83" s="253"/>
      <c r="BC83" s="253"/>
      <c r="BD83" s="253"/>
      <c r="BE83" s="253"/>
      <c r="BF83" s="253"/>
      <c r="BG83" s="253"/>
      <c r="BH83" s="253"/>
      <c r="BI83" s="253"/>
      <c r="BJ83" s="253"/>
      <c r="BK83" s="253"/>
      <c r="BL83" s="253"/>
      <c r="BM83" s="253"/>
      <c r="BN83" s="253"/>
      <c r="BO83" s="253"/>
      <c r="BP83" s="253"/>
      <c r="BQ83" s="253"/>
      <c r="BR83" s="253"/>
      <c r="BS83" s="253"/>
      <c r="BT83" s="253"/>
      <c r="BU83" s="253"/>
      <c r="BV83" s="253"/>
      <c r="BW83" s="253"/>
      <c r="BX83" s="253"/>
      <c r="BY83" s="253"/>
      <c r="BZ83" s="253"/>
      <c r="CA83" s="253"/>
      <c r="CB83" s="253"/>
      <c r="CC83" s="253"/>
      <c r="CD83" s="253"/>
      <c r="CE83" s="253"/>
      <c r="CF83" s="253"/>
      <c r="CG83" s="253"/>
      <c r="CH83" s="253"/>
      <c r="CI83" s="253"/>
      <c r="CJ83" s="253"/>
      <c r="CK83" s="253"/>
      <c r="CL83" s="253"/>
      <c r="CM83" s="253"/>
      <c r="CN83" s="253"/>
      <c r="CO83" s="253"/>
      <c r="CP83" s="253"/>
      <c r="CQ83" s="253"/>
      <c r="CR83" s="253"/>
      <c r="CS83" s="253"/>
      <c r="CT83" s="253"/>
      <c r="CU83" s="253"/>
      <c r="CV83" s="253"/>
      <c r="CW83" s="253"/>
      <c r="CX83" s="253"/>
      <c r="CY83" s="253"/>
      <c r="CZ83" s="253"/>
      <c r="DA83" s="253"/>
      <c r="DB83" s="253"/>
      <c r="DC83" s="253"/>
      <c r="DD83" s="253"/>
      <c r="DE83" s="253"/>
      <c r="DF83" s="253"/>
      <c r="DG83" s="253"/>
      <c r="DH83" s="253"/>
      <c r="DI83" s="253"/>
      <c r="DJ83" s="253"/>
      <c r="DK83" s="253"/>
      <c r="DL83" s="253"/>
      <c r="DM83" s="253"/>
      <c r="DN83" s="253"/>
      <c r="DO83" s="253"/>
      <c r="DP83" s="253"/>
      <c r="DQ83" s="253"/>
      <c r="DR83" s="253"/>
      <c r="DS83" s="253"/>
      <c r="DT83" s="253"/>
      <c r="DU83" s="253"/>
      <c r="DV83" s="253"/>
      <c r="DW83" s="253"/>
      <c r="DX83" s="253"/>
      <c r="DY83" s="253"/>
      <c r="DZ83" s="253"/>
      <c r="EA83" s="253"/>
      <c r="EB83" s="253"/>
      <c r="EC83" s="253"/>
      <c r="ED83" s="253"/>
      <c r="EE83" s="253"/>
      <c r="EF83" s="253"/>
      <c r="EG83" s="253"/>
      <c r="EH83" s="253"/>
      <c r="EI83" s="253"/>
      <c r="EJ83" s="253"/>
      <c r="EK83" s="253"/>
      <c r="EL83" s="253"/>
      <c r="EM83" s="253"/>
      <c r="EN83" s="253"/>
      <c r="EO83" s="253"/>
      <c r="EP83" s="253"/>
      <c r="EQ83" s="253"/>
      <c r="ER83" s="253"/>
      <c r="ES83" s="253"/>
      <c r="ET83" s="253"/>
      <c r="EU83" s="253"/>
      <c r="EV83" s="253"/>
      <c r="EW83" s="253"/>
      <c r="EX83" s="253"/>
      <c r="EY83" s="253"/>
      <c r="EZ83" s="253"/>
      <c r="FA83" s="253"/>
      <c r="FB83" s="253"/>
      <c r="FC83" s="253"/>
      <c r="FD83" s="253"/>
      <c r="FE83" s="253"/>
      <c r="FF83" s="253"/>
      <c r="FG83" s="253"/>
      <c r="FH83" s="253"/>
      <c r="FI83" s="253"/>
      <c r="FJ83" s="253"/>
      <c r="FK83" s="253"/>
      <c r="FL83" s="253"/>
      <c r="FM83" s="253"/>
      <c r="FN83" s="256"/>
      <c r="FO83" s="257" t="s">
        <v>1270</v>
      </c>
      <c r="FP83" s="258" t="s">
        <v>389</v>
      </c>
      <c r="FQ83" s="258"/>
      <c r="FR83" s="258" t="s">
        <v>416</v>
      </c>
      <c r="FS83" s="259">
        <f t="shared" si="4"/>
        <v>0</v>
      </c>
      <c r="FT83" s="260" t="s">
        <v>414</v>
      </c>
    </row>
    <row r="84" spans="1:176" s="260" customFormat="1">
      <c r="A84" s="251" t="s">
        <v>393</v>
      </c>
      <c r="B84" s="251" t="s">
        <v>385</v>
      </c>
      <c r="C84" s="251" t="s">
        <v>411</v>
      </c>
      <c r="D84" s="251" t="s">
        <v>1</v>
      </c>
      <c r="E84" s="252" t="s">
        <v>859</v>
      </c>
      <c r="F84" s="251" t="s">
        <v>388</v>
      </c>
      <c r="G84" s="251"/>
      <c r="H84" s="253"/>
      <c r="I84" s="253"/>
      <c r="J84" s="253"/>
      <c r="K84" s="253"/>
      <c r="L84" s="253"/>
      <c r="M84" s="253"/>
      <c r="N84" s="253"/>
      <c r="O84" s="253"/>
      <c r="P84" s="253"/>
      <c r="Q84" s="253"/>
      <c r="R84" s="253"/>
      <c r="S84" s="253"/>
      <c r="T84" s="253"/>
      <c r="U84" s="253"/>
      <c r="V84" s="253"/>
      <c r="W84" s="253"/>
      <c r="X84" s="253"/>
      <c r="Y84" s="253"/>
      <c r="Z84" s="253"/>
      <c r="AA84" s="255">
        <f>100-100</f>
        <v>0</v>
      </c>
      <c r="AB84" s="253"/>
      <c r="AC84" s="253"/>
      <c r="AD84" s="253"/>
      <c r="AE84" s="253"/>
      <c r="AF84" s="253"/>
      <c r="AG84" s="253"/>
      <c r="AH84" s="253"/>
      <c r="AI84" s="253"/>
      <c r="AJ84" s="253"/>
      <c r="AK84" s="253"/>
      <c r="AL84" s="253"/>
      <c r="AM84" s="253"/>
      <c r="AN84" s="253"/>
      <c r="AO84" s="253"/>
      <c r="AP84" s="253"/>
      <c r="AQ84" s="253"/>
      <c r="AR84" s="253"/>
      <c r="AS84" s="255">
        <f>100-100</f>
        <v>0</v>
      </c>
      <c r="AT84" s="253"/>
      <c r="AU84" s="253"/>
      <c r="AV84" s="253"/>
      <c r="AW84" s="253"/>
      <c r="AX84" s="253"/>
      <c r="AY84" s="253"/>
      <c r="AZ84" s="253"/>
      <c r="BA84" s="253"/>
      <c r="BB84" s="253"/>
      <c r="BC84" s="253"/>
      <c r="BD84" s="253"/>
      <c r="BE84" s="253"/>
      <c r="BF84" s="253"/>
      <c r="BG84" s="253"/>
      <c r="BH84" s="253"/>
      <c r="BI84" s="253"/>
      <c r="BJ84" s="253"/>
      <c r="BK84" s="253"/>
      <c r="BL84" s="253"/>
      <c r="BM84" s="253"/>
      <c r="BN84" s="253"/>
      <c r="BO84" s="253"/>
      <c r="BP84" s="253"/>
      <c r="BQ84" s="253"/>
      <c r="BR84" s="253"/>
      <c r="BS84" s="253"/>
      <c r="BT84" s="253"/>
      <c r="BU84" s="253"/>
      <c r="BV84" s="253"/>
      <c r="BW84" s="253"/>
      <c r="BX84" s="253"/>
      <c r="BY84" s="253"/>
      <c r="BZ84" s="253"/>
      <c r="CA84" s="253"/>
      <c r="CB84" s="253"/>
      <c r="CC84" s="253"/>
      <c r="CD84" s="253"/>
      <c r="CE84" s="253"/>
      <c r="CF84" s="253"/>
      <c r="CG84" s="253"/>
      <c r="CH84" s="253"/>
      <c r="CI84" s="253"/>
      <c r="CJ84" s="253"/>
      <c r="CK84" s="253"/>
      <c r="CL84" s="253"/>
      <c r="CM84" s="253"/>
      <c r="CN84" s="253"/>
      <c r="CO84" s="253"/>
      <c r="CP84" s="253"/>
      <c r="CQ84" s="253"/>
      <c r="CR84" s="253"/>
      <c r="CS84" s="253"/>
      <c r="CT84" s="253"/>
      <c r="CU84" s="253"/>
      <c r="CV84" s="253"/>
      <c r="CW84" s="253"/>
      <c r="CX84" s="253"/>
      <c r="CY84" s="253"/>
      <c r="CZ84" s="253"/>
      <c r="DA84" s="253"/>
      <c r="DB84" s="253"/>
      <c r="DC84" s="253"/>
      <c r="DD84" s="253"/>
      <c r="DE84" s="253"/>
      <c r="DF84" s="253"/>
      <c r="DG84" s="253"/>
      <c r="DH84" s="253"/>
      <c r="DI84" s="253"/>
      <c r="DJ84" s="253"/>
      <c r="DK84" s="253"/>
      <c r="DL84" s="253"/>
      <c r="DM84" s="253"/>
      <c r="DN84" s="253"/>
      <c r="DO84" s="253"/>
      <c r="DP84" s="253"/>
      <c r="DQ84" s="253"/>
      <c r="DR84" s="253"/>
      <c r="DS84" s="253"/>
      <c r="DT84" s="253"/>
      <c r="DU84" s="253"/>
      <c r="DV84" s="253"/>
      <c r="DW84" s="253"/>
      <c r="DX84" s="253"/>
      <c r="DY84" s="253"/>
      <c r="DZ84" s="253"/>
      <c r="EA84" s="253"/>
      <c r="EB84" s="253"/>
      <c r="EC84" s="253"/>
      <c r="ED84" s="253"/>
      <c r="EE84" s="253"/>
      <c r="EF84" s="253"/>
      <c r="EG84" s="253"/>
      <c r="EH84" s="253"/>
      <c r="EI84" s="253"/>
      <c r="EJ84" s="253"/>
      <c r="EK84" s="253"/>
      <c r="EL84" s="253"/>
      <c r="EM84" s="253"/>
      <c r="EN84" s="253"/>
      <c r="EO84" s="253"/>
      <c r="EP84" s="253"/>
      <c r="EQ84" s="253"/>
      <c r="ER84" s="253"/>
      <c r="ES84" s="253"/>
      <c r="ET84" s="253"/>
      <c r="EU84" s="253"/>
      <c r="EV84" s="253"/>
      <c r="EW84" s="253"/>
      <c r="EX84" s="253"/>
      <c r="EY84" s="253"/>
      <c r="EZ84" s="253"/>
      <c r="FA84" s="253"/>
      <c r="FB84" s="253"/>
      <c r="FC84" s="253"/>
      <c r="FD84" s="253"/>
      <c r="FE84" s="253"/>
      <c r="FF84" s="253"/>
      <c r="FG84" s="253"/>
      <c r="FH84" s="253"/>
      <c r="FI84" s="253"/>
      <c r="FJ84" s="253"/>
      <c r="FK84" s="253"/>
      <c r="FL84" s="253"/>
      <c r="FM84" s="253"/>
      <c r="FN84" s="256"/>
      <c r="FO84" s="257" t="s">
        <v>1270</v>
      </c>
      <c r="FP84" s="258" t="s">
        <v>389</v>
      </c>
      <c r="FQ84" s="258"/>
      <c r="FR84" s="258" t="s">
        <v>416</v>
      </c>
      <c r="FS84" s="259">
        <f t="shared" si="4"/>
        <v>0</v>
      </c>
      <c r="FT84" s="260" t="s">
        <v>414</v>
      </c>
    </row>
    <row r="85" spans="1:176" s="260" customFormat="1">
      <c r="A85" s="251" t="s">
        <v>393</v>
      </c>
      <c r="B85" s="251" t="s">
        <v>385</v>
      </c>
      <c r="C85" s="251" t="s">
        <v>411</v>
      </c>
      <c r="D85" s="251" t="s">
        <v>291</v>
      </c>
      <c r="E85" s="252" t="s">
        <v>918</v>
      </c>
      <c r="F85" s="251" t="s">
        <v>388</v>
      </c>
      <c r="G85" s="251"/>
      <c r="H85" s="253"/>
      <c r="I85" s="253"/>
      <c r="J85" s="253"/>
      <c r="K85" s="253"/>
      <c r="L85" s="253"/>
      <c r="M85" s="253"/>
      <c r="N85" s="253"/>
      <c r="O85" s="253"/>
      <c r="P85" s="253"/>
      <c r="Q85" s="253"/>
      <c r="R85" s="253"/>
      <c r="S85" s="253"/>
      <c r="T85" s="253"/>
      <c r="U85" s="253"/>
      <c r="V85" s="253"/>
      <c r="W85" s="253"/>
      <c r="X85" s="253"/>
      <c r="Y85" s="253"/>
      <c r="Z85" s="253"/>
      <c r="AA85" s="253"/>
      <c r="AB85" s="253"/>
      <c r="AC85" s="253"/>
      <c r="AD85" s="255">
        <f>300-300</f>
        <v>0</v>
      </c>
      <c r="AE85" s="253"/>
      <c r="AF85" s="253"/>
      <c r="AG85" s="253"/>
      <c r="AH85" s="253"/>
      <c r="AI85" s="253"/>
      <c r="AJ85" s="253"/>
      <c r="AK85" s="253"/>
      <c r="AL85" s="253"/>
      <c r="AM85" s="253"/>
      <c r="AN85" s="254">
        <f>300-300+10</f>
        <v>10</v>
      </c>
      <c r="AO85" s="253"/>
      <c r="AP85" s="253"/>
      <c r="AQ85" s="253"/>
      <c r="AR85" s="253"/>
      <c r="AS85" s="253"/>
      <c r="AT85" s="253"/>
      <c r="AU85" s="253"/>
      <c r="AV85" s="253"/>
      <c r="AW85" s="253"/>
      <c r="AX85" s="253"/>
      <c r="AY85" s="253"/>
      <c r="AZ85" s="253"/>
      <c r="BA85" s="253"/>
      <c r="BB85" s="255">
        <f>500-500</f>
        <v>0</v>
      </c>
      <c r="BC85" s="253"/>
      <c r="BD85" s="253"/>
      <c r="BE85" s="253"/>
      <c r="BF85" s="253"/>
      <c r="BG85" s="253"/>
      <c r="BH85" s="253"/>
      <c r="BI85" s="253"/>
      <c r="BJ85" s="253"/>
      <c r="BK85" s="253"/>
      <c r="BL85" s="253"/>
      <c r="BM85" s="253"/>
      <c r="BN85" s="253"/>
      <c r="BO85" s="253"/>
      <c r="BP85" s="253"/>
      <c r="BQ85" s="253"/>
      <c r="BR85" s="253"/>
      <c r="BS85" s="253"/>
      <c r="BT85" s="253"/>
      <c r="BU85" s="253"/>
      <c r="BV85" s="253"/>
      <c r="BW85" s="253"/>
      <c r="BX85" s="253"/>
      <c r="BY85" s="253"/>
      <c r="BZ85" s="253"/>
      <c r="CA85" s="253"/>
      <c r="CB85" s="253"/>
      <c r="CC85" s="253"/>
      <c r="CD85" s="253"/>
      <c r="CE85" s="253"/>
      <c r="CF85" s="253"/>
      <c r="CG85" s="253"/>
      <c r="CH85" s="253"/>
      <c r="CI85" s="253"/>
      <c r="CJ85" s="253"/>
      <c r="CK85" s="253"/>
      <c r="CL85" s="253"/>
      <c r="CM85" s="253"/>
      <c r="CN85" s="253"/>
      <c r="CO85" s="253"/>
      <c r="CP85" s="253"/>
      <c r="CQ85" s="253"/>
      <c r="CR85" s="253"/>
      <c r="CS85" s="253"/>
      <c r="CT85" s="253"/>
      <c r="CU85" s="253"/>
      <c r="CV85" s="253"/>
      <c r="CW85" s="253"/>
      <c r="CX85" s="253"/>
      <c r="CY85" s="253"/>
      <c r="CZ85" s="253"/>
      <c r="DA85" s="253"/>
      <c r="DB85" s="253"/>
      <c r="DC85" s="253"/>
      <c r="DD85" s="253"/>
      <c r="DE85" s="253"/>
      <c r="DF85" s="253"/>
      <c r="DG85" s="253"/>
      <c r="DH85" s="253"/>
      <c r="DI85" s="253"/>
      <c r="DJ85" s="253"/>
      <c r="DK85" s="253"/>
      <c r="DL85" s="253"/>
      <c r="DM85" s="253"/>
      <c r="DN85" s="253"/>
      <c r="DO85" s="253"/>
      <c r="DP85" s="253"/>
      <c r="DQ85" s="253"/>
      <c r="DR85" s="253"/>
      <c r="DS85" s="253"/>
      <c r="DT85" s="253"/>
      <c r="DU85" s="253"/>
      <c r="DV85" s="253"/>
      <c r="DW85" s="253"/>
      <c r="DX85" s="253"/>
      <c r="DY85" s="253"/>
      <c r="DZ85" s="253"/>
      <c r="EA85" s="253"/>
      <c r="EB85" s="253"/>
      <c r="EC85" s="253"/>
      <c r="ED85" s="253"/>
      <c r="EE85" s="253"/>
      <c r="EF85" s="253"/>
      <c r="EG85" s="253"/>
      <c r="EH85" s="253"/>
      <c r="EI85" s="253"/>
      <c r="EJ85" s="253"/>
      <c r="EK85" s="253"/>
      <c r="EL85" s="253"/>
      <c r="EM85" s="253"/>
      <c r="EN85" s="253"/>
      <c r="EO85" s="253"/>
      <c r="EP85" s="253"/>
      <c r="EQ85" s="253"/>
      <c r="ER85" s="253"/>
      <c r="ES85" s="253"/>
      <c r="ET85" s="253"/>
      <c r="EU85" s="253"/>
      <c r="EV85" s="253"/>
      <c r="EW85" s="253"/>
      <c r="EX85" s="253"/>
      <c r="EY85" s="253"/>
      <c r="EZ85" s="253"/>
      <c r="FA85" s="253"/>
      <c r="FB85" s="253"/>
      <c r="FC85" s="253"/>
      <c r="FD85" s="253"/>
      <c r="FE85" s="253"/>
      <c r="FF85" s="253"/>
      <c r="FG85" s="253"/>
      <c r="FH85" s="253"/>
      <c r="FI85" s="253"/>
      <c r="FJ85" s="253"/>
      <c r="FK85" s="253"/>
      <c r="FL85" s="253"/>
      <c r="FM85" s="253"/>
      <c r="FN85" s="256"/>
      <c r="FO85" s="257" t="s">
        <v>1270</v>
      </c>
      <c r="FP85" s="258" t="s">
        <v>389</v>
      </c>
      <c r="FQ85" s="258" t="s">
        <v>1087</v>
      </c>
      <c r="FR85" s="258" t="s">
        <v>445</v>
      </c>
      <c r="FS85" s="259">
        <f t="shared" si="4"/>
        <v>10</v>
      </c>
      <c r="FT85" s="260" t="s">
        <v>433</v>
      </c>
    </row>
    <row r="86" spans="1:176" s="260" customFormat="1">
      <c r="A86" s="251" t="s">
        <v>393</v>
      </c>
      <c r="B86" s="251" t="s">
        <v>385</v>
      </c>
      <c r="C86" s="251" t="s">
        <v>411</v>
      </c>
      <c r="D86" s="251" t="s">
        <v>1</v>
      </c>
      <c r="E86" s="252" t="s">
        <v>918</v>
      </c>
      <c r="F86" s="251" t="s">
        <v>388</v>
      </c>
      <c r="G86" s="251"/>
      <c r="H86" s="253"/>
      <c r="I86" s="253"/>
      <c r="J86" s="253"/>
      <c r="K86" s="253"/>
      <c r="L86" s="253"/>
      <c r="M86" s="253"/>
      <c r="N86" s="253"/>
      <c r="O86" s="253"/>
      <c r="P86" s="253"/>
      <c r="Q86" s="253"/>
      <c r="R86" s="253"/>
      <c r="S86" s="253"/>
      <c r="T86" s="253"/>
      <c r="U86" s="253"/>
      <c r="V86" s="253"/>
      <c r="W86" s="253"/>
      <c r="X86" s="253"/>
      <c r="Y86" s="253"/>
      <c r="Z86" s="253"/>
      <c r="AA86" s="253"/>
      <c r="AB86" s="255">
        <f>200-200</f>
        <v>0</v>
      </c>
      <c r="AC86" s="253"/>
      <c r="AD86" s="253"/>
      <c r="AE86" s="253"/>
      <c r="AF86" s="253"/>
      <c r="AG86" s="253"/>
      <c r="AH86" s="253"/>
      <c r="AI86" s="253"/>
      <c r="AJ86" s="253"/>
      <c r="AK86" s="253"/>
      <c r="AL86" s="253"/>
      <c r="AM86" s="253"/>
      <c r="AN86" s="253"/>
      <c r="AO86" s="253"/>
      <c r="AP86" s="253"/>
      <c r="AQ86" s="253"/>
      <c r="AR86" s="253"/>
      <c r="AS86" s="255">
        <f>300-300</f>
        <v>0</v>
      </c>
      <c r="AT86" s="253"/>
      <c r="AU86" s="253"/>
      <c r="AV86" s="253"/>
      <c r="AW86" s="253"/>
      <c r="AX86" s="254">
        <f>500-500+20</f>
        <v>20</v>
      </c>
      <c r="AY86" s="253"/>
      <c r="AZ86" s="253"/>
      <c r="BA86" s="253"/>
      <c r="BB86" s="253"/>
      <c r="BC86" s="253"/>
      <c r="BD86" s="253"/>
      <c r="BE86" s="253"/>
      <c r="BF86" s="253"/>
      <c r="BG86" s="253"/>
      <c r="BH86" s="253"/>
      <c r="BI86" s="253"/>
      <c r="BJ86" s="253"/>
      <c r="BK86" s="253"/>
      <c r="BL86" s="253"/>
      <c r="BM86" s="253"/>
      <c r="BN86" s="253"/>
      <c r="BO86" s="253"/>
      <c r="BP86" s="253"/>
      <c r="BQ86" s="253"/>
      <c r="BR86" s="253"/>
      <c r="BS86" s="253"/>
      <c r="BT86" s="253"/>
      <c r="BU86" s="253"/>
      <c r="BV86" s="253"/>
      <c r="BW86" s="253"/>
      <c r="BX86" s="253"/>
      <c r="BY86" s="253"/>
      <c r="BZ86" s="253"/>
      <c r="CA86" s="253"/>
      <c r="CB86" s="253"/>
      <c r="CC86" s="253"/>
      <c r="CD86" s="253"/>
      <c r="CE86" s="253"/>
      <c r="CF86" s="253"/>
      <c r="CG86" s="253"/>
      <c r="CH86" s="253"/>
      <c r="CI86" s="253"/>
      <c r="CJ86" s="253"/>
      <c r="CK86" s="253"/>
      <c r="CL86" s="253"/>
      <c r="CM86" s="253"/>
      <c r="CN86" s="253"/>
      <c r="CO86" s="253"/>
      <c r="CP86" s="253"/>
      <c r="CQ86" s="253"/>
      <c r="CR86" s="253"/>
      <c r="CS86" s="253"/>
      <c r="CT86" s="253"/>
      <c r="CU86" s="253"/>
      <c r="CV86" s="253"/>
      <c r="CW86" s="253"/>
      <c r="CX86" s="253"/>
      <c r="CY86" s="253"/>
      <c r="CZ86" s="253"/>
      <c r="DA86" s="253"/>
      <c r="DB86" s="253"/>
      <c r="DC86" s="253"/>
      <c r="DD86" s="253"/>
      <c r="DE86" s="253"/>
      <c r="DF86" s="253"/>
      <c r="DG86" s="253"/>
      <c r="DH86" s="253"/>
      <c r="DI86" s="253"/>
      <c r="DJ86" s="253"/>
      <c r="DK86" s="253"/>
      <c r="DL86" s="253"/>
      <c r="DM86" s="253"/>
      <c r="DN86" s="253"/>
      <c r="DO86" s="253"/>
      <c r="DP86" s="253"/>
      <c r="DQ86" s="253"/>
      <c r="DR86" s="253"/>
      <c r="DS86" s="253"/>
      <c r="DT86" s="253"/>
      <c r="DU86" s="253"/>
      <c r="DV86" s="253"/>
      <c r="DW86" s="253"/>
      <c r="DX86" s="253"/>
      <c r="DY86" s="253"/>
      <c r="DZ86" s="253"/>
      <c r="EA86" s="253"/>
      <c r="EB86" s="253"/>
      <c r="EC86" s="253"/>
      <c r="ED86" s="253"/>
      <c r="EE86" s="253"/>
      <c r="EF86" s="253"/>
      <c r="EG86" s="253"/>
      <c r="EH86" s="253"/>
      <c r="EI86" s="253"/>
      <c r="EJ86" s="253"/>
      <c r="EK86" s="253"/>
      <c r="EL86" s="253"/>
      <c r="EM86" s="253"/>
      <c r="EN86" s="253"/>
      <c r="EO86" s="253"/>
      <c r="EP86" s="253"/>
      <c r="EQ86" s="253"/>
      <c r="ER86" s="253"/>
      <c r="ES86" s="253"/>
      <c r="ET86" s="253"/>
      <c r="EU86" s="253"/>
      <c r="EV86" s="253"/>
      <c r="EW86" s="253"/>
      <c r="EX86" s="253"/>
      <c r="EY86" s="253"/>
      <c r="EZ86" s="253"/>
      <c r="FA86" s="253"/>
      <c r="FB86" s="253"/>
      <c r="FC86" s="253"/>
      <c r="FD86" s="253"/>
      <c r="FE86" s="253"/>
      <c r="FF86" s="253"/>
      <c r="FG86" s="253"/>
      <c r="FH86" s="253"/>
      <c r="FI86" s="253"/>
      <c r="FJ86" s="253"/>
      <c r="FK86" s="253"/>
      <c r="FL86" s="253"/>
      <c r="FM86" s="253"/>
      <c r="FN86" s="256"/>
      <c r="FO86" s="257" t="s">
        <v>1270</v>
      </c>
      <c r="FP86" s="258" t="s">
        <v>389</v>
      </c>
      <c r="FQ86" s="258" t="s">
        <v>1087</v>
      </c>
      <c r="FR86" s="258" t="s">
        <v>445</v>
      </c>
      <c r="FS86" s="259">
        <f t="shared" si="4"/>
        <v>20</v>
      </c>
      <c r="FT86" s="260" t="s">
        <v>433</v>
      </c>
    </row>
    <row r="87" spans="1:176" s="260" customFormat="1">
      <c r="A87" s="251" t="s">
        <v>393</v>
      </c>
      <c r="B87" s="251" t="s">
        <v>385</v>
      </c>
      <c r="C87" s="251" t="s">
        <v>411</v>
      </c>
      <c r="D87" s="251" t="s">
        <v>291</v>
      </c>
      <c r="E87" s="252" t="s">
        <v>860</v>
      </c>
      <c r="F87" s="251" t="s">
        <v>388</v>
      </c>
      <c r="G87" s="251"/>
      <c r="H87" s="253"/>
      <c r="I87" s="253"/>
      <c r="J87" s="253"/>
      <c r="K87" s="253"/>
      <c r="L87" s="253"/>
      <c r="M87" s="253"/>
      <c r="N87" s="253"/>
      <c r="O87" s="253"/>
      <c r="P87" s="253"/>
      <c r="Q87" s="253"/>
      <c r="R87" s="253"/>
      <c r="S87" s="253"/>
      <c r="T87" s="253"/>
      <c r="U87" s="253"/>
      <c r="V87" s="253"/>
      <c r="W87" s="253"/>
      <c r="X87" s="253"/>
      <c r="Y87" s="253"/>
      <c r="Z87" s="253"/>
      <c r="AA87" s="253"/>
      <c r="AB87" s="253"/>
      <c r="AC87" s="253"/>
      <c r="AD87" s="253"/>
      <c r="AE87" s="253"/>
      <c r="AF87" s="253"/>
      <c r="AG87" s="253"/>
      <c r="AH87" s="253"/>
      <c r="AI87" s="253"/>
      <c r="AJ87" s="253"/>
      <c r="AK87" s="253"/>
      <c r="AL87" s="253"/>
      <c r="AM87" s="253"/>
      <c r="AN87" s="253"/>
      <c r="AO87" s="255">
        <f>500-500</f>
        <v>0</v>
      </c>
      <c r="AP87" s="255">
        <f>500-500</f>
        <v>0</v>
      </c>
      <c r="AQ87" s="253"/>
      <c r="AR87" s="253"/>
      <c r="AS87" s="253"/>
      <c r="AT87" s="253"/>
      <c r="AU87" s="253"/>
      <c r="AV87" s="253"/>
      <c r="AW87" s="253"/>
      <c r="AX87" s="253"/>
      <c r="AY87" s="253"/>
      <c r="AZ87" s="253"/>
      <c r="BA87" s="253"/>
      <c r="BB87" s="254">
        <f>200-200+20</f>
        <v>20</v>
      </c>
      <c r="BC87" s="253"/>
      <c r="BD87" s="253"/>
      <c r="BE87" s="253"/>
      <c r="BF87" s="253"/>
      <c r="BG87" s="253"/>
      <c r="BH87" s="253"/>
      <c r="BI87" s="253"/>
      <c r="BJ87" s="253"/>
      <c r="BK87" s="253"/>
      <c r="BL87" s="253"/>
      <c r="BM87" s="253"/>
      <c r="BN87" s="253"/>
      <c r="BO87" s="253"/>
      <c r="BP87" s="253"/>
      <c r="BQ87" s="253"/>
      <c r="BR87" s="253"/>
      <c r="BS87" s="253"/>
      <c r="BT87" s="253"/>
      <c r="BU87" s="253"/>
      <c r="BV87" s="253"/>
      <c r="BW87" s="253"/>
      <c r="BX87" s="253"/>
      <c r="BY87" s="253"/>
      <c r="BZ87" s="253"/>
      <c r="CA87" s="253"/>
      <c r="CB87" s="253"/>
      <c r="CC87" s="253"/>
      <c r="CD87" s="253"/>
      <c r="CE87" s="253"/>
      <c r="CF87" s="253"/>
      <c r="CG87" s="253"/>
      <c r="CH87" s="253"/>
      <c r="CI87" s="253"/>
      <c r="CJ87" s="253"/>
      <c r="CK87" s="253"/>
      <c r="CL87" s="253"/>
      <c r="CM87" s="253"/>
      <c r="CN87" s="253"/>
      <c r="CO87" s="253"/>
      <c r="CP87" s="253"/>
      <c r="CQ87" s="253"/>
      <c r="CR87" s="253"/>
      <c r="CS87" s="253"/>
      <c r="CT87" s="253"/>
      <c r="CU87" s="253"/>
      <c r="CV87" s="253"/>
      <c r="CW87" s="253"/>
      <c r="CX87" s="253"/>
      <c r="CY87" s="253"/>
      <c r="CZ87" s="253"/>
      <c r="DA87" s="253"/>
      <c r="DB87" s="253"/>
      <c r="DC87" s="253"/>
      <c r="DD87" s="253"/>
      <c r="DE87" s="253"/>
      <c r="DF87" s="253"/>
      <c r="DG87" s="253"/>
      <c r="DH87" s="253"/>
      <c r="DI87" s="253"/>
      <c r="DJ87" s="253"/>
      <c r="DK87" s="253"/>
      <c r="DL87" s="253"/>
      <c r="DM87" s="253"/>
      <c r="DN87" s="253"/>
      <c r="DO87" s="253"/>
      <c r="DP87" s="253"/>
      <c r="DQ87" s="253"/>
      <c r="DR87" s="253"/>
      <c r="DS87" s="253"/>
      <c r="DT87" s="253"/>
      <c r="DU87" s="253"/>
      <c r="DV87" s="253"/>
      <c r="DW87" s="253"/>
      <c r="DX87" s="253"/>
      <c r="DY87" s="253"/>
      <c r="DZ87" s="253"/>
      <c r="EA87" s="253"/>
      <c r="EB87" s="253"/>
      <c r="EC87" s="253"/>
      <c r="ED87" s="253"/>
      <c r="EE87" s="253"/>
      <c r="EF87" s="253"/>
      <c r="EG87" s="253"/>
      <c r="EH87" s="253"/>
      <c r="EI87" s="253"/>
      <c r="EJ87" s="253"/>
      <c r="EK87" s="253"/>
      <c r="EL87" s="253"/>
      <c r="EM87" s="253"/>
      <c r="EN87" s="253"/>
      <c r="EO87" s="253"/>
      <c r="EP87" s="253"/>
      <c r="EQ87" s="253"/>
      <c r="ER87" s="253"/>
      <c r="ES87" s="253"/>
      <c r="ET87" s="253"/>
      <c r="EU87" s="253"/>
      <c r="EV87" s="253"/>
      <c r="EW87" s="253"/>
      <c r="EX87" s="253"/>
      <c r="EY87" s="253"/>
      <c r="EZ87" s="253"/>
      <c r="FA87" s="253"/>
      <c r="FB87" s="253"/>
      <c r="FC87" s="253"/>
      <c r="FD87" s="253"/>
      <c r="FE87" s="253"/>
      <c r="FF87" s="253"/>
      <c r="FG87" s="253"/>
      <c r="FH87" s="253"/>
      <c r="FI87" s="253"/>
      <c r="FJ87" s="253"/>
      <c r="FK87" s="253"/>
      <c r="FL87" s="253"/>
      <c r="FM87" s="253"/>
      <c r="FN87" s="256"/>
      <c r="FO87" s="257" t="s">
        <v>1270</v>
      </c>
      <c r="FP87" s="258" t="s">
        <v>389</v>
      </c>
      <c r="FQ87" s="258"/>
      <c r="FR87" s="258" t="s">
        <v>429</v>
      </c>
      <c r="FS87" s="259">
        <f t="shared" si="4"/>
        <v>20</v>
      </c>
      <c r="FT87" s="260" t="s">
        <v>414</v>
      </c>
    </row>
    <row r="88" spans="1:176" s="260" customFormat="1">
      <c r="A88" s="251" t="s">
        <v>393</v>
      </c>
      <c r="B88" s="251" t="s">
        <v>385</v>
      </c>
      <c r="C88" s="251" t="s">
        <v>411</v>
      </c>
      <c r="D88" s="251" t="s">
        <v>1</v>
      </c>
      <c r="E88" s="252" t="s">
        <v>860</v>
      </c>
      <c r="F88" s="251" t="s">
        <v>388</v>
      </c>
      <c r="G88" s="251"/>
      <c r="H88" s="253"/>
      <c r="I88" s="253"/>
      <c r="J88" s="253"/>
      <c r="K88" s="253"/>
      <c r="L88" s="253"/>
      <c r="M88" s="253"/>
      <c r="N88" s="253"/>
      <c r="O88" s="253"/>
      <c r="P88" s="253"/>
      <c r="Q88" s="253"/>
      <c r="R88" s="253"/>
      <c r="S88" s="253"/>
      <c r="T88" s="253"/>
      <c r="U88" s="253"/>
      <c r="V88" s="253"/>
      <c r="W88" s="253"/>
      <c r="X88" s="253"/>
      <c r="Y88" s="253"/>
      <c r="Z88" s="253"/>
      <c r="AA88" s="253"/>
      <c r="AB88" s="253"/>
      <c r="AC88" s="253"/>
      <c r="AD88" s="253"/>
      <c r="AE88" s="253"/>
      <c r="AF88" s="253"/>
      <c r="AG88" s="253"/>
      <c r="AH88" s="253"/>
      <c r="AI88" s="253"/>
      <c r="AJ88" s="253"/>
      <c r="AK88" s="253"/>
      <c r="AL88" s="253"/>
      <c r="AM88" s="255">
        <f>500-500</f>
        <v>0</v>
      </c>
      <c r="AN88" s="253"/>
      <c r="AO88" s="253"/>
      <c r="AP88" s="253"/>
      <c r="AQ88" s="253"/>
      <c r="AR88" s="253"/>
      <c r="AS88" s="254">
        <f>500-500+10</f>
        <v>10</v>
      </c>
      <c r="AT88" s="253"/>
      <c r="AU88" s="253"/>
      <c r="AV88" s="253"/>
      <c r="AW88" s="253"/>
      <c r="AX88" s="253"/>
      <c r="AY88" s="253"/>
      <c r="AZ88" s="253"/>
      <c r="BA88" s="253"/>
      <c r="BB88" s="253"/>
      <c r="BC88" s="253"/>
      <c r="BD88" s="253"/>
      <c r="BE88" s="253"/>
      <c r="BF88" s="253"/>
      <c r="BG88" s="253"/>
      <c r="BH88" s="253"/>
      <c r="BI88" s="253"/>
      <c r="BJ88" s="253"/>
      <c r="BK88" s="253"/>
      <c r="BL88" s="253"/>
      <c r="BM88" s="253"/>
      <c r="BN88" s="253"/>
      <c r="BO88" s="253"/>
      <c r="BP88" s="253"/>
      <c r="BQ88" s="253"/>
      <c r="BR88" s="253"/>
      <c r="BS88" s="253"/>
      <c r="BT88" s="253"/>
      <c r="BU88" s="253"/>
      <c r="BV88" s="253"/>
      <c r="BW88" s="253"/>
      <c r="BX88" s="253"/>
      <c r="BY88" s="253"/>
      <c r="BZ88" s="253"/>
      <c r="CA88" s="253"/>
      <c r="CB88" s="253"/>
      <c r="CC88" s="253"/>
      <c r="CD88" s="253"/>
      <c r="CE88" s="253"/>
      <c r="CF88" s="253"/>
      <c r="CG88" s="253"/>
      <c r="CH88" s="253"/>
      <c r="CI88" s="253"/>
      <c r="CJ88" s="253"/>
      <c r="CK88" s="253"/>
      <c r="CL88" s="253"/>
      <c r="CM88" s="253"/>
      <c r="CN88" s="253"/>
      <c r="CO88" s="253"/>
      <c r="CP88" s="253"/>
      <c r="CQ88" s="253"/>
      <c r="CR88" s="253"/>
      <c r="CS88" s="253"/>
      <c r="CT88" s="253"/>
      <c r="CU88" s="253"/>
      <c r="CV88" s="253"/>
      <c r="CW88" s="253"/>
      <c r="CX88" s="253"/>
      <c r="CY88" s="253"/>
      <c r="CZ88" s="253"/>
      <c r="DA88" s="253"/>
      <c r="DB88" s="253"/>
      <c r="DC88" s="253"/>
      <c r="DD88" s="253"/>
      <c r="DE88" s="253"/>
      <c r="DF88" s="253"/>
      <c r="DG88" s="253"/>
      <c r="DH88" s="253"/>
      <c r="DI88" s="253"/>
      <c r="DJ88" s="253"/>
      <c r="DK88" s="253"/>
      <c r="DL88" s="253"/>
      <c r="DM88" s="253"/>
      <c r="DN88" s="253"/>
      <c r="DO88" s="253"/>
      <c r="DP88" s="253"/>
      <c r="DQ88" s="253"/>
      <c r="DR88" s="253"/>
      <c r="DS88" s="253"/>
      <c r="DT88" s="253"/>
      <c r="DU88" s="253"/>
      <c r="DV88" s="253"/>
      <c r="DW88" s="253"/>
      <c r="DX88" s="253"/>
      <c r="DY88" s="255">
        <f>200-200</f>
        <v>0</v>
      </c>
      <c r="DZ88" s="253"/>
      <c r="EA88" s="253"/>
      <c r="EB88" s="253"/>
      <c r="EC88" s="255">
        <f>200-200</f>
        <v>0</v>
      </c>
      <c r="ED88" s="255">
        <f>200-200</f>
        <v>0</v>
      </c>
      <c r="EE88" s="253"/>
      <c r="EF88" s="253"/>
      <c r="EG88" s="255">
        <f t="shared" ref="EG88:EL88" si="6">200-200</f>
        <v>0</v>
      </c>
      <c r="EH88" s="255">
        <f t="shared" si="6"/>
        <v>0</v>
      </c>
      <c r="EI88" s="255">
        <f t="shared" si="6"/>
        <v>0</v>
      </c>
      <c r="EJ88" s="255">
        <f t="shared" si="6"/>
        <v>0</v>
      </c>
      <c r="EK88" s="255">
        <f t="shared" si="6"/>
        <v>0</v>
      </c>
      <c r="EL88" s="255">
        <f t="shared" si="6"/>
        <v>0</v>
      </c>
      <c r="EM88" s="253"/>
      <c r="EN88" s="253"/>
      <c r="EO88" s="253"/>
      <c r="EP88" s="253"/>
      <c r="EQ88" s="253"/>
      <c r="ER88" s="253"/>
      <c r="ES88" s="253"/>
      <c r="ET88" s="253"/>
      <c r="EU88" s="253"/>
      <c r="EV88" s="253"/>
      <c r="EW88" s="253"/>
      <c r="EX88" s="253"/>
      <c r="EY88" s="253"/>
      <c r="EZ88" s="253"/>
      <c r="FA88" s="253"/>
      <c r="FB88" s="253"/>
      <c r="FC88" s="253"/>
      <c r="FD88" s="253"/>
      <c r="FE88" s="253"/>
      <c r="FF88" s="253"/>
      <c r="FG88" s="255">
        <f>200-200</f>
        <v>0</v>
      </c>
      <c r="FH88" s="255">
        <f>200-200</f>
        <v>0</v>
      </c>
      <c r="FI88" s="253"/>
      <c r="FJ88" s="253"/>
      <c r="FK88" s="253"/>
      <c r="FL88" s="253"/>
      <c r="FM88" s="253"/>
      <c r="FN88" s="256"/>
      <c r="FO88" s="257" t="s">
        <v>1270</v>
      </c>
      <c r="FP88" s="258" t="s">
        <v>389</v>
      </c>
      <c r="FQ88" s="258"/>
      <c r="FR88" s="258" t="s">
        <v>429</v>
      </c>
      <c r="FS88" s="259">
        <f t="shared" si="4"/>
        <v>10</v>
      </c>
      <c r="FT88" s="260" t="s">
        <v>414</v>
      </c>
    </row>
    <row r="89" spans="1:176" s="260" customFormat="1">
      <c r="A89" s="251" t="s">
        <v>393</v>
      </c>
      <c r="B89" s="251" t="s">
        <v>385</v>
      </c>
      <c r="C89" s="251" t="s">
        <v>411</v>
      </c>
      <c r="D89" s="251" t="s">
        <v>291</v>
      </c>
      <c r="E89" s="252" t="s">
        <v>446</v>
      </c>
      <c r="F89" s="251" t="s">
        <v>388</v>
      </c>
      <c r="G89" s="251"/>
      <c r="H89" s="253"/>
      <c r="I89" s="253"/>
      <c r="J89" s="253"/>
      <c r="K89" s="253"/>
      <c r="L89" s="253"/>
      <c r="M89" s="253"/>
      <c r="N89" s="253"/>
      <c r="O89" s="253"/>
      <c r="P89" s="253"/>
      <c r="Q89" s="253"/>
      <c r="R89" s="253"/>
      <c r="S89" s="253"/>
      <c r="T89" s="253"/>
      <c r="U89" s="253"/>
      <c r="V89" s="253"/>
      <c r="W89" s="253"/>
      <c r="X89" s="253"/>
      <c r="Y89" s="253"/>
      <c r="Z89" s="253"/>
      <c r="AA89" s="253"/>
      <c r="AB89" s="253"/>
      <c r="AC89" s="253"/>
      <c r="AD89" s="255">
        <f>1000-1000</f>
        <v>0</v>
      </c>
      <c r="AE89" s="253"/>
      <c r="AF89" s="255">
        <f>1000-1000</f>
        <v>0</v>
      </c>
      <c r="AG89" s="255">
        <f>1000-1000</f>
        <v>0</v>
      </c>
      <c r="AH89" s="253"/>
      <c r="AI89" s="253"/>
      <c r="AJ89" s="253"/>
      <c r="AK89" s="253"/>
      <c r="AL89" s="253"/>
      <c r="AM89" s="253"/>
      <c r="AN89" s="255">
        <f>500-500</f>
        <v>0</v>
      </c>
      <c r="AO89" s="253"/>
      <c r="AP89" s="253"/>
      <c r="AQ89" s="253"/>
      <c r="AR89" s="253"/>
      <c r="AS89" s="253"/>
      <c r="AT89" s="253"/>
      <c r="AU89" s="253"/>
      <c r="AV89" s="253"/>
      <c r="AW89" s="253"/>
      <c r="AX89" s="253"/>
      <c r="AY89" s="253"/>
      <c r="AZ89" s="253"/>
      <c r="BA89" s="253"/>
      <c r="BB89" s="254">
        <f>1000-1000+90</f>
        <v>90</v>
      </c>
      <c r="BC89" s="253"/>
      <c r="BD89" s="253"/>
      <c r="BE89" s="253"/>
      <c r="BF89" s="253"/>
      <c r="BG89" s="253"/>
      <c r="BH89" s="253"/>
      <c r="BI89" s="253"/>
      <c r="BJ89" s="253"/>
      <c r="BK89" s="253"/>
      <c r="BL89" s="253"/>
      <c r="BM89" s="253"/>
      <c r="BN89" s="253"/>
      <c r="BO89" s="253"/>
      <c r="BP89" s="253"/>
      <c r="BQ89" s="253"/>
      <c r="BR89" s="253"/>
      <c r="BS89" s="253"/>
      <c r="BT89" s="253"/>
      <c r="BU89" s="253"/>
      <c r="BV89" s="253"/>
      <c r="BW89" s="253"/>
      <c r="BX89" s="253"/>
      <c r="BY89" s="253"/>
      <c r="BZ89" s="253"/>
      <c r="CA89" s="253"/>
      <c r="CB89" s="253"/>
      <c r="CC89" s="253"/>
      <c r="CD89" s="253"/>
      <c r="CE89" s="253"/>
      <c r="CF89" s="253"/>
      <c r="CG89" s="253"/>
      <c r="CH89" s="253"/>
      <c r="CI89" s="253"/>
      <c r="CJ89" s="253"/>
      <c r="CK89" s="253"/>
      <c r="CL89" s="253"/>
      <c r="CM89" s="253"/>
      <c r="CN89" s="253"/>
      <c r="CO89" s="253"/>
      <c r="CP89" s="253"/>
      <c r="CQ89" s="253"/>
      <c r="CR89" s="253"/>
      <c r="CS89" s="253"/>
      <c r="CT89" s="253"/>
      <c r="CU89" s="253"/>
      <c r="CV89" s="253"/>
      <c r="CW89" s="253"/>
      <c r="CX89" s="253"/>
      <c r="CY89" s="253"/>
      <c r="CZ89" s="253"/>
      <c r="DA89" s="253"/>
      <c r="DB89" s="253"/>
      <c r="DC89" s="253"/>
      <c r="DD89" s="253"/>
      <c r="DE89" s="253"/>
      <c r="DF89" s="253"/>
      <c r="DG89" s="253"/>
      <c r="DH89" s="253"/>
      <c r="DI89" s="253"/>
      <c r="DJ89" s="253"/>
      <c r="DK89" s="253"/>
      <c r="DL89" s="253"/>
      <c r="DM89" s="253"/>
      <c r="DN89" s="253"/>
      <c r="DO89" s="253"/>
      <c r="DP89" s="253"/>
      <c r="DQ89" s="253"/>
      <c r="DR89" s="253"/>
      <c r="DS89" s="253"/>
      <c r="DT89" s="253"/>
      <c r="DU89" s="253"/>
      <c r="DV89" s="253"/>
      <c r="DW89" s="253"/>
      <c r="DX89" s="253"/>
      <c r="DY89" s="253"/>
      <c r="DZ89" s="253"/>
      <c r="EA89" s="253"/>
      <c r="EB89" s="253"/>
      <c r="EC89" s="253"/>
      <c r="ED89" s="253"/>
      <c r="EE89" s="253"/>
      <c r="EF89" s="253"/>
      <c r="EG89" s="253"/>
      <c r="EH89" s="253"/>
      <c r="EI89" s="253"/>
      <c r="EJ89" s="253"/>
      <c r="EK89" s="253"/>
      <c r="EL89" s="253"/>
      <c r="EM89" s="253"/>
      <c r="EN89" s="253"/>
      <c r="EO89" s="253"/>
      <c r="EP89" s="253"/>
      <c r="EQ89" s="253"/>
      <c r="ER89" s="253"/>
      <c r="ES89" s="253"/>
      <c r="ET89" s="253"/>
      <c r="EU89" s="253"/>
      <c r="EV89" s="253"/>
      <c r="EW89" s="253"/>
      <c r="EX89" s="253"/>
      <c r="EY89" s="253"/>
      <c r="EZ89" s="253"/>
      <c r="FA89" s="253"/>
      <c r="FB89" s="253"/>
      <c r="FC89" s="253"/>
      <c r="FD89" s="253"/>
      <c r="FE89" s="255">
        <f>500-500</f>
        <v>0</v>
      </c>
      <c r="FF89" s="253"/>
      <c r="FG89" s="253"/>
      <c r="FH89" s="253"/>
      <c r="FI89" s="253"/>
      <c r="FJ89" s="253"/>
      <c r="FK89" s="253"/>
      <c r="FL89" s="253"/>
      <c r="FM89" s="253"/>
      <c r="FN89" s="256"/>
      <c r="FO89" s="257" t="s">
        <v>1270</v>
      </c>
      <c r="FP89" s="258" t="s">
        <v>389</v>
      </c>
      <c r="FQ89" s="258"/>
      <c r="FR89" s="258" t="s">
        <v>423</v>
      </c>
      <c r="FS89" s="259">
        <f t="shared" si="4"/>
        <v>90</v>
      </c>
      <c r="FT89" s="260" t="s">
        <v>835</v>
      </c>
    </row>
    <row r="90" spans="1:176" s="260" customFormat="1">
      <c r="A90" s="251" t="s">
        <v>393</v>
      </c>
      <c r="B90" s="251" t="s">
        <v>385</v>
      </c>
      <c r="C90" s="251" t="s">
        <v>411</v>
      </c>
      <c r="D90" s="251" t="s">
        <v>1</v>
      </c>
      <c r="E90" s="252" t="s">
        <v>446</v>
      </c>
      <c r="F90" s="251" t="s">
        <v>388</v>
      </c>
      <c r="G90" s="251"/>
      <c r="H90" s="253"/>
      <c r="I90" s="253"/>
      <c r="J90" s="253"/>
      <c r="K90" s="253"/>
      <c r="L90" s="253"/>
      <c r="M90" s="253"/>
      <c r="N90" s="255">
        <f>500-500</f>
        <v>0</v>
      </c>
      <c r="O90" s="255">
        <f>500-500</f>
        <v>0</v>
      </c>
      <c r="P90" s="253"/>
      <c r="Q90" s="253"/>
      <c r="R90" s="253"/>
      <c r="S90" s="253"/>
      <c r="T90" s="253"/>
      <c r="U90" s="253"/>
      <c r="V90" s="253"/>
      <c r="W90" s="253"/>
      <c r="X90" s="253"/>
      <c r="Y90" s="253"/>
      <c r="Z90" s="253"/>
      <c r="AA90" s="255">
        <f>1000-1000</f>
        <v>0</v>
      </c>
      <c r="AB90" s="255">
        <f>1000-1000</f>
        <v>0</v>
      </c>
      <c r="AC90" s="253"/>
      <c r="AD90" s="253"/>
      <c r="AE90" s="253"/>
      <c r="AF90" s="253"/>
      <c r="AG90" s="253"/>
      <c r="AH90" s="253"/>
      <c r="AI90" s="253"/>
      <c r="AJ90" s="253"/>
      <c r="AK90" s="253"/>
      <c r="AL90" s="253"/>
      <c r="AM90" s="253"/>
      <c r="AN90" s="253"/>
      <c r="AO90" s="253"/>
      <c r="AP90" s="253"/>
      <c r="AQ90" s="255">
        <f>500-500</f>
        <v>0</v>
      </c>
      <c r="AR90" s="254">
        <f>200-200+45</f>
        <v>45</v>
      </c>
      <c r="AS90" s="255">
        <f>800-800</f>
        <v>0</v>
      </c>
      <c r="AT90" s="253"/>
      <c r="AU90" s="253"/>
      <c r="AV90" s="253"/>
      <c r="AW90" s="253"/>
      <c r="AX90" s="253"/>
      <c r="AY90" s="253"/>
      <c r="AZ90" s="253"/>
      <c r="BA90" s="253"/>
      <c r="BB90" s="253"/>
      <c r="BC90" s="253"/>
      <c r="BD90" s="255">
        <f>1000-1000</f>
        <v>0</v>
      </c>
      <c r="BE90" s="253"/>
      <c r="BF90" s="253"/>
      <c r="BG90" s="253"/>
      <c r="BH90" s="253"/>
      <c r="BI90" s="253"/>
      <c r="BJ90" s="253"/>
      <c r="BK90" s="253"/>
      <c r="BL90" s="253"/>
      <c r="BM90" s="253"/>
      <c r="BN90" s="253"/>
      <c r="BO90" s="253"/>
      <c r="BP90" s="253"/>
      <c r="BQ90" s="253"/>
      <c r="BR90" s="253"/>
      <c r="BS90" s="253"/>
      <c r="BT90" s="253"/>
      <c r="BU90" s="253"/>
      <c r="BV90" s="253"/>
      <c r="BW90" s="253"/>
      <c r="BX90" s="253"/>
      <c r="BY90" s="253"/>
      <c r="BZ90" s="253"/>
      <c r="CA90" s="253"/>
      <c r="CB90" s="253"/>
      <c r="CC90" s="253"/>
      <c r="CD90" s="253"/>
      <c r="CE90" s="253"/>
      <c r="CF90" s="253"/>
      <c r="CG90" s="253"/>
      <c r="CH90" s="253"/>
      <c r="CI90" s="253"/>
      <c r="CJ90" s="253"/>
      <c r="CK90" s="253"/>
      <c r="CL90" s="253"/>
      <c r="CM90" s="253"/>
      <c r="CN90" s="253"/>
      <c r="CO90" s="253"/>
      <c r="CP90" s="253"/>
      <c r="CQ90" s="253"/>
      <c r="CR90" s="253"/>
      <c r="CS90" s="253"/>
      <c r="CT90" s="253"/>
      <c r="CU90" s="253"/>
      <c r="CV90" s="253"/>
      <c r="CW90" s="253"/>
      <c r="CX90" s="253"/>
      <c r="CY90" s="253"/>
      <c r="CZ90" s="253"/>
      <c r="DA90" s="253"/>
      <c r="DB90" s="253"/>
      <c r="DC90" s="253"/>
      <c r="DD90" s="253"/>
      <c r="DE90" s="253"/>
      <c r="DF90" s="253"/>
      <c r="DG90" s="253"/>
      <c r="DH90" s="253"/>
      <c r="DI90" s="253"/>
      <c r="DJ90" s="253"/>
      <c r="DK90" s="253"/>
      <c r="DL90" s="253"/>
      <c r="DM90" s="253"/>
      <c r="DN90" s="253"/>
      <c r="DO90" s="253"/>
      <c r="DP90" s="253"/>
      <c r="DQ90" s="253"/>
      <c r="DR90" s="253"/>
      <c r="DS90" s="253"/>
      <c r="DT90" s="253"/>
      <c r="DU90" s="253"/>
      <c r="DV90" s="253"/>
      <c r="DW90" s="253"/>
      <c r="DX90" s="253"/>
      <c r="DY90" s="253"/>
      <c r="DZ90" s="253"/>
      <c r="EA90" s="253"/>
      <c r="EB90" s="255">
        <f>500-500</f>
        <v>0</v>
      </c>
      <c r="EC90" s="255">
        <f>2000-2000</f>
        <v>0</v>
      </c>
      <c r="ED90" s="255">
        <f>500-500</f>
        <v>0</v>
      </c>
      <c r="EE90" s="255">
        <f>2000-2000</f>
        <v>0</v>
      </c>
      <c r="EF90" s="253"/>
      <c r="EG90" s="255">
        <f>2000-2000</f>
        <v>0</v>
      </c>
      <c r="EH90" s="255">
        <f>2000-2000</f>
        <v>0</v>
      </c>
      <c r="EI90" s="255">
        <f>2000-2000</f>
        <v>0</v>
      </c>
      <c r="EJ90" s="255">
        <f>980-980</f>
        <v>0</v>
      </c>
      <c r="EK90" s="253"/>
      <c r="EL90" s="255">
        <f>1000-1000</f>
        <v>0</v>
      </c>
      <c r="EM90" s="253"/>
      <c r="EN90" s="253"/>
      <c r="EO90" s="253"/>
      <c r="EP90" s="253"/>
      <c r="EQ90" s="253"/>
      <c r="ER90" s="253"/>
      <c r="ES90" s="253"/>
      <c r="ET90" s="253"/>
      <c r="EU90" s="253"/>
      <c r="EV90" s="253"/>
      <c r="EW90" s="253"/>
      <c r="EX90" s="253"/>
      <c r="EY90" s="253"/>
      <c r="EZ90" s="253"/>
      <c r="FA90" s="253"/>
      <c r="FB90" s="253"/>
      <c r="FC90" s="253"/>
      <c r="FD90" s="253"/>
      <c r="FE90" s="253"/>
      <c r="FF90" s="253"/>
      <c r="FG90" s="255">
        <f>2000-2000</f>
        <v>0</v>
      </c>
      <c r="FH90" s="255">
        <f>2000-2000</f>
        <v>0</v>
      </c>
      <c r="FI90" s="253"/>
      <c r="FJ90" s="253"/>
      <c r="FK90" s="253"/>
      <c r="FL90" s="253"/>
      <c r="FM90" s="253"/>
      <c r="FN90" s="256"/>
      <c r="FO90" s="257" t="s">
        <v>1270</v>
      </c>
      <c r="FP90" s="258" t="s">
        <v>389</v>
      </c>
      <c r="FQ90" s="258"/>
      <c r="FR90" s="258" t="s">
        <v>423</v>
      </c>
      <c r="FS90" s="259">
        <f t="shared" si="4"/>
        <v>45</v>
      </c>
      <c r="FT90" s="260" t="s">
        <v>835</v>
      </c>
    </row>
    <row r="91" spans="1:176" s="260" customFormat="1">
      <c r="A91" s="251" t="s">
        <v>385</v>
      </c>
      <c r="B91" s="251" t="s">
        <v>385</v>
      </c>
      <c r="C91" s="251" t="s">
        <v>411</v>
      </c>
      <c r="D91" s="251" t="s">
        <v>291</v>
      </c>
      <c r="E91" s="252" t="s">
        <v>862</v>
      </c>
      <c r="F91" s="251" t="s">
        <v>388</v>
      </c>
      <c r="G91" s="251"/>
      <c r="H91" s="253"/>
      <c r="I91" s="255">
        <f>100-100</f>
        <v>0</v>
      </c>
      <c r="J91" s="253"/>
      <c r="K91" s="255">
        <f>100-100</f>
        <v>0</v>
      </c>
      <c r="L91" s="254">
        <f>100-100+100</f>
        <v>100</v>
      </c>
      <c r="M91" s="253"/>
      <c r="N91" s="253"/>
      <c r="O91" s="253"/>
      <c r="P91" s="253"/>
      <c r="Q91" s="253"/>
      <c r="R91" s="253"/>
      <c r="S91" s="253"/>
      <c r="T91" s="253"/>
      <c r="U91" s="253"/>
      <c r="V91" s="253"/>
      <c r="W91" s="253"/>
      <c r="X91" s="253"/>
      <c r="Y91" s="253"/>
      <c r="Z91" s="253"/>
      <c r="AA91" s="253"/>
      <c r="AB91" s="253"/>
      <c r="AC91" s="253"/>
      <c r="AD91" s="255">
        <f>100-100</f>
        <v>0</v>
      </c>
      <c r="AE91" s="253"/>
      <c r="AF91" s="255">
        <f>100-100</f>
        <v>0</v>
      </c>
      <c r="AG91" s="253"/>
      <c r="AH91" s="253"/>
      <c r="AI91" s="253"/>
      <c r="AJ91" s="253"/>
      <c r="AK91" s="253"/>
      <c r="AL91" s="254">
        <f>0+10</f>
        <v>10</v>
      </c>
      <c r="AM91" s="253"/>
      <c r="AN91" s="253"/>
      <c r="AO91" s="253"/>
      <c r="AP91" s="253"/>
      <c r="AQ91" s="253"/>
      <c r="AR91" s="253"/>
      <c r="AS91" s="253"/>
      <c r="AT91" s="253"/>
      <c r="AU91" s="253"/>
      <c r="AV91" s="253"/>
      <c r="AW91" s="253"/>
      <c r="AX91" s="253"/>
      <c r="AY91" s="253"/>
      <c r="AZ91" s="253"/>
      <c r="BA91" s="253"/>
      <c r="BB91" s="254">
        <f>50-50+20</f>
        <v>20</v>
      </c>
      <c r="BC91" s="253"/>
      <c r="BD91" s="253"/>
      <c r="BE91" s="253"/>
      <c r="BF91" s="253"/>
      <c r="BG91" s="253"/>
      <c r="BH91" s="253"/>
      <c r="BI91" s="253"/>
      <c r="BJ91" s="253"/>
      <c r="BK91" s="253"/>
      <c r="BL91" s="253"/>
      <c r="BM91" s="253"/>
      <c r="BN91" s="253"/>
      <c r="BO91" s="253"/>
      <c r="BP91" s="253"/>
      <c r="BQ91" s="253"/>
      <c r="BR91" s="253"/>
      <c r="BS91" s="253"/>
      <c r="BT91" s="253"/>
      <c r="BU91" s="253"/>
      <c r="BV91" s="253"/>
      <c r="BW91" s="253"/>
      <c r="BX91" s="253"/>
      <c r="BY91" s="253"/>
      <c r="BZ91" s="253"/>
      <c r="CA91" s="253"/>
      <c r="CB91" s="253"/>
      <c r="CC91" s="253"/>
      <c r="CD91" s="253"/>
      <c r="CE91" s="253"/>
      <c r="CF91" s="253"/>
      <c r="CG91" s="253"/>
      <c r="CH91" s="253"/>
      <c r="CI91" s="253"/>
      <c r="CJ91" s="253"/>
      <c r="CK91" s="253"/>
      <c r="CL91" s="253"/>
      <c r="CM91" s="253"/>
      <c r="CN91" s="253"/>
      <c r="CO91" s="253"/>
      <c r="CP91" s="253"/>
      <c r="CQ91" s="253"/>
      <c r="CR91" s="253"/>
      <c r="CS91" s="253"/>
      <c r="CT91" s="253"/>
      <c r="CU91" s="253"/>
      <c r="CV91" s="253"/>
      <c r="CW91" s="253"/>
      <c r="CX91" s="253"/>
      <c r="CY91" s="253"/>
      <c r="CZ91" s="253"/>
      <c r="DA91" s="253"/>
      <c r="DB91" s="253"/>
      <c r="DC91" s="253"/>
      <c r="DD91" s="253"/>
      <c r="DE91" s="253"/>
      <c r="DF91" s="253"/>
      <c r="DG91" s="253"/>
      <c r="DH91" s="253"/>
      <c r="DI91" s="253"/>
      <c r="DJ91" s="253"/>
      <c r="DK91" s="253"/>
      <c r="DL91" s="253"/>
      <c r="DM91" s="253"/>
      <c r="DN91" s="253"/>
      <c r="DO91" s="253"/>
      <c r="DP91" s="253"/>
      <c r="DQ91" s="253"/>
      <c r="DR91" s="253"/>
      <c r="DS91" s="254">
        <f>200-200+200</f>
        <v>200</v>
      </c>
      <c r="DT91" s="253"/>
      <c r="DU91" s="253"/>
      <c r="DV91" s="253"/>
      <c r="DW91" s="253"/>
      <c r="DX91" s="253"/>
      <c r="DY91" s="253"/>
      <c r="DZ91" s="253"/>
      <c r="EA91" s="253"/>
      <c r="EB91" s="253"/>
      <c r="EC91" s="253"/>
      <c r="ED91" s="253"/>
      <c r="EE91" s="253"/>
      <c r="EF91" s="253"/>
      <c r="EG91" s="253"/>
      <c r="EH91" s="253"/>
      <c r="EI91" s="253"/>
      <c r="EJ91" s="253"/>
      <c r="EK91" s="253"/>
      <c r="EL91" s="253"/>
      <c r="EM91" s="253"/>
      <c r="EN91" s="253"/>
      <c r="EO91" s="253"/>
      <c r="EP91" s="253"/>
      <c r="EQ91" s="253"/>
      <c r="ER91" s="253"/>
      <c r="ES91" s="253"/>
      <c r="ET91" s="253"/>
      <c r="EU91" s="253"/>
      <c r="EV91" s="253"/>
      <c r="EW91" s="253"/>
      <c r="EX91" s="253"/>
      <c r="EY91" s="253"/>
      <c r="EZ91" s="253"/>
      <c r="FA91" s="253"/>
      <c r="FB91" s="253"/>
      <c r="FC91" s="253"/>
      <c r="FD91" s="253"/>
      <c r="FE91" s="253"/>
      <c r="FF91" s="253"/>
      <c r="FG91" s="253"/>
      <c r="FH91" s="253"/>
      <c r="FI91" s="253"/>
      <c r="FJ91" s="253"/>
      <c r="FK91" s="253"/>
      <c r="FL91" s="253"/>
      <c r="FM91" s="253"/>
      <c r="FN91" s="256"/>
      <c r="FO91" s="257" t="s">
        <v>1270</v>
      </c>
      <c r="FP91" s="258" t="s">
        <v>389</v>
      </c>
      <c r="FQ91" s="258" t="s">
        <v>864</v>
      </c>
      <c r="FR91" s="258" t="s">
        <v>432</v>
      </c>
      <c r="FS91" s="259">
        <f t="shared" si="4"/>
        <v>330</v>
      </c>
      <c r="FT91" s="260" t="s">
        <v>433</v>
      </c>
    </row>
    <row r="92" spans="1:176" s="260" customFormat="1">
      <c r="A92" s="251" t="s">
        <v>385</v>
      </c>
      <c r="B92" s="251" t="s">
        <v>385</v>
      </c>
      <c r="C92" s="251" t="s">
        <v>411</v>
      </c>
      <c r="D92" s="251" t="s">
        <v>1</v>
      </c>
      <c r="E92" s="252" t="s">
        <v>862</v>
      </c>
      <c r="F92" s="251" t="s">
        <v>388</v>
      </c>
      <c r="G92" s="251"/>
      <c r="H92" s="253"/>
      <c r="I92" s="253"/>
      <c r="J92" s="253"/>
      <c r="K92" s="253"/>
      <c r="L92" s="253"/>
      <c r="M92" s="253"/>
      <c r="N92" s="255">
        <f>100-100</f>
        <v>0</v>
      </c>
      <c r="O92" s="253"/>
      <c r="P92" s="253"/>
      <c r="Q92" s="253"/>
      <c r="R92" s="253"/>
      <c r="S92" s="253"/>
      <c r="T92" s="255">
        <f>100-100</f>
        <v>0</v>
      </c>
      <c r="U92" s="255">
        <f>150-150</f>
        <v>0</v>
      </c>
      <c r="V92" s="253"/>
      <c r="W92" s="253"/>
      <c r="X92" s="253"/>
      <c r="Y92" s="253"/>
      <c r="Z92" s="253"/>
      <c r="AA92" s="255">
        <f>100-100</f>
        <v>0</v>
      </c>
      <c r="AB92" s="255">
        <f>100-100</f>
        <v>0</v>
      </c>
      <c r="AC92" s="253"/>
      <c r="AD92" s="253"/>
      <c r="AE92" s="254">
        <f>100-100+10</f>
        <v>10</v>
      </c>
      <c r="AF92" s="253"/>
      <c r="AG92" s="253"/>
      <c r="AH92" s="253"/>
      <c r="AI92" s="253"/>
      <c r="AJ92" s="253"/>
      <c r="AK92" s="253"/>
      <c r="AL92" s="255">
        <f>150-150</f>
        <v>0</v>
      </c>
      <c r="AM92" s="253"/>
      <c r="AN92" s="253"/>
      <c r="AO92" s="253"/>
      <c r="AP92" s="253"/>
      <c r="AQ92" s="253"/>
      <c r="AR92" s="253"/>
      <c r="AS92" s="255">
        <f>150-150</f>
        <v>0</v>
      </c>
      <c r="AT92" s="253"/>
      <c r="AU92" s="253"/>
      <c r="AV92" s="253"/>
      <c r="AW92" s="253"/>
      <c r="AX92" s="253"/>
      <c r="AY92" s="253"/>
      <c r="AZ92" s="253"/>
      <c r="BA92" s="253"/>
      <c r="BB92" s="253"/>
      <c r="BC92" s="253"/>
      <c r="BD92" s="253"/>
      <c r="BE92" s="253"/>
      <c r="BF92" s="253"/>
      <c r="BG92" s="253"/>
      <c r="BH92" s="253"/>
      <c r="BI92" s="253"/>
      <c r="BJ92" s="253"/>
      <c r="BK92" s="253"/>
      <c r="BL92" s="253"/>
      <c r="BM92" s="253"/>
      <c r="BN92" s="253"/>
      <c r="BO92" s="253"/>
      <c r="BP92" s="253"/>
      <c r="BQ92" s="253"/>
      <c r="BR92" s="253"/>
      <c r="BS92" s="253"/>
      <c r="BT92" s="253"/>
      <c r="BU92" s="253"/>
      <c r="BV92" s="253"/>
      <c r="BW92" s="253"/>
      <c r="BX92" s="253"/>
      <c r="BY92" s="253"/>
      <c r="BZ92" s="253"/>
      <c r="CA92" s="253"/>
      <c r="CB92" s="253"/>
      <c r="CC92" s="253"/>
      <c r="CD92" s="253"/>
      <c r="CE92" s="253"/>
      <c r="CF92" s="253"/>
      <c r="CG92" s="253"/>
      <c r="CH92" s="253"/>
      <c r="CI92" s="253"/>
      <c r="CJ92" s="253"/>
      <c r="CK92" s="253"/>
      <c r="CL92" s="253"/>
      <c r="CM92" s="253"/>
      <c r="CN92" s="253"/>
      <c r="CO92" s="253"/>
      <c r="CP92" s="253"/>
      <c r="CQ92" s="253"/>
      <c r="CR92" s="253"/>
      <c r="CS92" s="253"/>
      <c r="CT92" s="253"/>
      <c r="CU92" s="253"/>
      <c r="CV92" s="253"/>
      <c r="CW92" s="253"/>
      <c r="CX92" s="253"/>
      <c r="CY92" s="253"/>
      <c r="CZ92" s="253"/>
      <c r="DA92" s="253"/>
      <c r="DB92" s="253"/>
      <c r="DC92" s="253"/>
      <c r="DD92" s="253"/>
      <c r="DE92" s="253"/>
      <c r="DF92" s="253"/>
      <c r="DG92" s="253"/>
      <c r="DH92" s="253"/>
      <c r="DI92" s="253"/>
      <c r="DJ92" s="253"/>
      <c r="DK92" s="253"/>
      <c r="DL92" s="253"/>
      <c r="DM92" s="253"/>
      <c r="DN92" s="253"/>
      <c r="DO92" s="253"/>
      <c r="DP92" s="253"/>
      <c r="DQ92" s="253"/>
      <c r="DR92" s="253"/>
      <c r="DS92" s="253"/>
      <c r="DT92" s="253"/>
      <c r="DU92" s="253"/>
      <c r="DV92" s="253"/>
      <c r="DW92" s="253"/>
      <c r="DX92" s="253"/>
      <c r="DY92" s="253"/>
      <c r="DZ92" s="253"/>
      <c r="EA92" s="253"/>
      <c r="EB92" s="253"/>
      <c r="EC92" s="253"/>
      <c r="ED92" s="253"/>
      <c r="EE92" s="253"/>
      <c r="EF92" s="253"/>
      <c r="EG92" s="253"/>
      <c r="EH92" s="253"/>
      <c r="EI92" s="253"/>
      <c r="EJ92" s="253"/>
      <c r="EK92" s="253"/>
      <c r="EL92" s="253"/>
      <c r="EM92" s="253"/>
      <c r="EN92" s="253"/>
      <c r="EO92" s="253"/>
      <c r="EP92" s="253"/>
      <c r="EQ92" s="253"/>
      <c r="ER92" s="253"/>
      <c r="ES92" s="253"/>
      <c r="ET92" s="253"/>
      <c r="EU92" s="253"/>
      <c r="EV92" s="253"/>
      <c r="EW92" s="253"/>
      <c r="EX92" s="253"/>
      <c r="EY92" s="253"/>
      <c r="EZ92" s="253"/>
      <c r="FA92" s="253"/>
      <c r="FB92" s="253"/>
      <c r="FC92" s="253"/>
      <c r="FD92" s="253"/>
      <c r="FE92" s="253"/>
      <c r="FF92" s="253"/>
      <c r="FG92" s="253"/>
      <c r="FH92" s="253"/>
      <c r="FI92" s="253"/>
      <c r="FJ92" s="253"/>
      <c r="FK92" s="253"/>
      <c r="FL92" s="253"/>
      <c r="FM92" s="253"/>
      <c r="FN92" s="256"/>
      <c r="FO92" s="257" t="s">
        <v>1270</v>
      </c>
      <c r="FP92" s="258" t="s">
        <v>389</v>
      </c>
      <c r="FQ92" s="258" t="s">
        <v>864</v>
      </c>
      <c r="FR92" s="258" t="s">
        <v>432</v>
      </c>
      <c r="FS92" s="259">
        <f t="shared" si="4"/>
        <v>10</v>
      </c>
      <c r="FT92" s="260" t="s">
        <v>433</v>
      </c>
    </row>
    <row r="93" spans="1:176" s="260" customFormat="1">
      <c r="A93" s="251" t="s">
        <v>385</v>
      </c>
      <c r="B93" s="251" t="s">
        <v>392</v>
      </c>
      <c r="C93" s="251" t="s">
        <v>411</v>
      </c>
      <c r="D93" s="251" t="s">
        <v>1</v>
      </c>
      <c r="E93" s="252" t="s">
        <v>862</v>
      </c>
      <c r="F93" s="251" t="s">
        <v>388</v>
      </c>
      <c r="G93" s="251"/>
      <c r="H93" s="253"/>
      <c r="I93" s="253"/>
      <c r="J93" s="253"/>
      <c r="K93" s="253"/>
      <c r="L93" s="253"/>
      <c r="M93" s="253"/>
      <c r="N93" s="253"/>
      <c r="O93" s="253"/>
      <c r="P93" s="253"/>
      <c r="Q93" s="253"/>
      <c r="R93" s="253"/>
      <c r="S93" s="253"/>
      <c r="T93" s="253"/>
      <c r="U93" s="253"/>
      <c r="V93" s="253"/>
      <c r="W93" s="253"/>
      <c r="X93" s="253"/>
      <c r="Y93" s="253"/>
      <c r="Z93" s="253"/>
      <c r="AA93" s="253"/>
      <c r="AB93" s="253"/>
      <c r="AC93" s="253"/>
      <c r="AD93" s="253"/>
      <c r="AE93" s="253"/>
      <c r="AF93" s="253"/>
      <c r="AG93" s="253"/>
      <c r="AH93" s="253"/>
      <c r="AI93" s="253"/>
      <c r="AJ93" s="253"/>
      <c r="AK93" s="253"/>
      <c r="AL93" s="253"/>
      <c r="AM93" s="253"/>
      <c r="AN93" s="253"/>
      <c r="AO93" s="253"/>
      <c r="AP93" s="253"/>
      <c r="AQ93" s="253"/>
      <c r="AR93" s="253"/>
      <c r="AS93" s="253"/>
      <c r="AT93" s="253"/>
      <c r="AU93" s="253"/>
      <c r="AV93" s="253"/>
      <c r="AW93" s="253"/>
      <c r="AX93" s="253"/>
      <c r="AY93" s="253"/>
      <c r="AZ93" s="253"/>
      <c r="BA93" s="253"/>
      <c r="BB93" s="253"/>
      <c r="BC93" s="253"/>
      <c r="BD93" s="253"/>
      <c r="BE93" s="253"/>
      <c r="BF93" s="253"/>
      <c r="BG93" s="253"/>
      <c r="BH93" s="253"/>
      <c r="BI93" s="253"/>
      <c r="BJ93" s="253"/>
      <c r="BK93" s="253"/>
      <c r="BL93" s="253"/>
      <c r="BM93" s="253"/>
      <c r="BN93" s="253"/>
      <c r="BO93" s="253"/>
      <c r="BP93" s="253"/>
      <c r="BQ93" s="253"/>
      <c r="BR93" s="253"/>
      <c r="BS93" s="253"/>
      <c r="BT93" s="253"/>
      <c r="BU93" s="253"/>
      <c r="BV93" s="253"/>
      <c r="BW93" s="253"/>
      <c r="BX93" s="253"/>
      <c r="BY93" s="253"/>
      <c r="BZ93" s="253"/>
      <c r="CA93" s="253"/>
      <c r="CB93" s="253"/>
      <c r="CC93" s="253"/>
      <c r="CD93" s="253"/>
      <c r="CE93" s="253"/>
      <c r="CF93" s="253"/>
      <c r="CG93" s="253"/>
      <c r="CH93" s="253"/>
      <c r="CI93" s="253"/>
      <c r="CJ93" s="253"/>
      <c r="CK93" s="253"/>
      <c r="CL93" s="253"/>
      <c r="CM93" s="253"/>
      <c r="CN93" s="253"/>
      <c r="CO93" s="253"/>
      <c r="CP93" s="253"/>
      <c r="CQ93" s="253"/>
      <c r="CR93" s="253"/>
      <c r="CS93" s="253"/>
      <c r="CT93" s="253"/>
      <c r="CU93" s="253"/>
      <c r="CV93" s="253"/>
      <c r="CW93" s="253"/>
      <c r="CX93" s="253"/>
      <c r="CY93" s="253"/>
      <c r="CZ93" s="253"/>
      <c r="DA93" s="253"/>
      <c r="DB93" s="253"/>
      <c r="DC93" s="253"/>
      <c r="DD93" s="253"/>
      <c r="DE93" s="253"/>
      <c r="DF93" s="253"/>
      <c r="DG93" s="253"/>
      <c r="DH93" s="253"/>
      <c r="DI93" s="253"/>
      <c r="DJ93" s="253"/>
      <c r="DK93" s="253"/>
      <c r="DL93" s="253"/>
      <c r="DM93" s="253"/>
      <c r="DN93" s="253"/>
      <c r="DO93" s="253"/>
      <c r="DP93" s="253"/>
      <c r="DQ93" s="253"/>
      <c r="DR93" s="253"/>
      <c r="DS93" s="253"/>
      <c r="DT93" s="255">
        <f>480-480</f>
        <v>0</v>
      </c>
      <c r="DU93" s="253"/>
      <c r="DV93" s="253"/>
      <c r="DW93" s="253"/>
      <c r="DX93" s="253"/>
      <c r="DY93" s="253"/>
      <c r="DZ93" s="253"/>
      <c r="EA93" s="253"/>
      <c r="EB93" s="253"/>
      <c r="EC93" s="253"/>
      <c r="ED93" s="253"/>
      <c r="EE93" s="253"/>
      <c r="EF93" s="253"/>
      <c r="EG93" s="253"/>
      <c r="EH93" s="253"/>
      <c r="EI93" s="253"/>
      <c r="EJ93" s="253"/>
      <c r="EK93" s="253"/>
      <c r="EL93" s="253"/>
      <c r="EM93" s="253"/>
      <c r="EN93" s="253"/>
      <c r="EO93" s="253"/>
      <c r="EP93" s="253"/>
      <c r="EQ93" s="253"/>
      <c r="ER93" s="253"/>
      <c r="ES93" s="253"/>
      <c r="ET93" s="253"/>
      <c r="EU93" s="253"/>
      <c r="EV93" s="253"/>
      <c r="EW93" s="253"/>
      <c r="EX93" s="253"/>
      <c r="EY93" s="253"/>
      <c r="EZ93" s="253"/>
      <c r="FA93" s="253"/>
      <c r="FB93" s="253"/>
      <c r="FC93" s="253"/>
      <c r="FD93" s="253"/>
      <c r="FE93" s="253"/>
      <c r="FF93" s="253"/>
      <c r="FG93" s="253"/>
      <c r="FH93" s="253"/>
      <c r="FI93" s="253"/>
      <c r="FJ93" s="253"/>
      <c r="FK93" s="253"/>
      <c r="FL93" s="253"/>
      <c r="FM93" s="253"/>
      <c r="FN93" s="256"/>
      <c r="FO93" s="257" t="s">
        <v>1270</v>
      </c>
      <c r="FP93" s="258" t="s">
        <v>389</v>
      </c>
      <c r="FQ93" s="258" t="s">
        <v>864</v>
      </c>
      <c r="FR93" s="258" t="s">
        <v>432</v>
      </c>
      <c r="FS93" s="259">
        <f t="shared" si="4"/>
        <v>0</v>
      </c>
      <c r="FT93" s="260" t="s">
        <v>433</v>
      </c>
    </row>
    <row r="94" spans="1:176" s="260" customFormat="1">
      <c r="A94" s="251" t="s">
        <v>393</v>
      </c>
      <c r="B94" s="251" t="s">
        <v>385</v>
      </c>
      <c r="C94" s="251" t="s">
        <v>411</v>
      </c>
      <c r="D94" s="251" t="s">
        <v>291</v>
      </c>
      <c r="E94" s="252" t="s">
        <v>865</v>
      </c>
      <c r="F94" s="251" t="s">
        <v>388</v>
      </c>
      <c r="G94" s="251"/>
      <c r="H94" s="253"/>
      <c r="I94" s="253"/>
      <c r="J94" s="253"/>
      <c r="K94" s="253"/>
      <c r="L94" s="253"/>
      <c r="M94" s="253"/>
      <c r="N94" s="253"/>
      <c r="O94" s="253"/>
      <c r="P94" s="253"/>
      <c r="Q94" s="253"/>
      <c r="R94" s="253"/>
      <c r="S94" s="253"/>
      <c r="T94" s="253"/>
      <c r="U94" s="253"/>
      <c r="V94" s="253"/>
      <c r="W94" s="253"/>
      <c r="X94" s="253"/>
      <c r="Y94" s="253"/>
      <c r="Z94" s="253"/>
      <c r="AA94" s="253"/>
      <c r="AB94" s="253"/>
      <c r="AC94" s="253"/>
      <c r="AD94" s="255">
        <f>300-300</f>
        <v>0</v>
      </c>
      <c r="AE94" s="253"/>
      <c r="AF94" s="253"/>
      <c r="AG94" s="253"/>
      <c r="AH94" s="253"/>
      <c r="AI94" s="253"/>
      <c r="AJ94" s="253"/>
      <c r="AK94" s="253"/>
      <c r="AL94" s="253"/>
      <c r="AM94" s="253"/>
      <c r="AN94" s="254">
        <f>300-300+10</f>
        <v>10</v>
      </c>
      <c r="AO94" s="253"/>
      <c r="AP94" s="253"/>
      <c r="AQ94" s="253"/>
      <c r="AR94" s="253"/>
      <c r="AS94" s="253"/>
      <c r="AT94" s="253"/>
      <c r="AU94" s="253"/>
      <c r="AV94" s="253"/>
      <c r="AW94" s="253"/>
      <c r="AX94" s="253"/>
      <c r="AY94" s="253"/>
      <c r="AZ94" s="253"/>
      <c r="BA94" s="253"/>
      <c r="BB94" s="255">
        <f>500-500</f>
        <v>0</v>
      </c>
      <c r="BC94" s="253"/>
      <c r="BD94" s="253"/>
      <c r="BE94" s="253"/>
      <c r="BF94" s="253"/>
      <c r="BG94" s="253"/>
      <c r="BH94" s="253"/>
      <c r="BI94" s="253"/>
      <c r="BJ94" s="253"/>
      <c r="BK94" s="253"/>
      <c r="BL94" s="253"/>
      <c r="BM94" s="253"/>
      <c r="BN94" s="253"/>
      <c r="BO94" s="253"/>
      <c r="BP94" s="253"/>
      <c r="BQ94" s="253"/>
      <c r="BR94" s="253"/>
      <c r="BS94" s="253"/>
      <c r="BT94" s="253"/>
      <c r="BU94" s="253"/>
      <c r="BV94" s="253"/>
      <c r="BW94" s="253"/>
      <c r="BX94" s="253"/>
      <c r="BY94" s="253"/>
      <c r="BZ94" s="253"/>
      <c r="CA94" s="253"/>
      <c r="CB94" s="253"/>
      <c r="CC94" s="253"/>
      <c r="CD94" s="253"/>
      <c r="CE94" s="253"/>
      <c r="CF94" s="253"/>
      <c r="CG94" s="253"/>
      <c r="CH94" s="253"/>
      <c r="CI94" s="253"/>
      <c r="CJ94" s="253"/>
      <c r="CK94" s="253"/>
      <c r="CL94" s="253"/>
      <c r="CM94" s="253"/>
      <c r="CN94" s="253"/>
      <c r="CO94" s="253"/>
      <c r="CP94" s="253"/>
      <c r="CQ94" s="253"/>
      <c r="CR94" s="253"/>
      <c r="CS94" s="253"/>
      <c r="CT94" s="253"/>
      <c r="CU94" s="253"/>
      <c r="CV94" s="253"/>
      <c r="CW94" s="253"/>
      <c r="CX94" s="253"/>
      <c r="CY94" s="253"/>
      <c r="CZ94" s="253"/>
      <c r="DA94" s="253"/>
      <c r="DB94" s="253"/>
      <c r="DC94" s="253"/>
      <c r="DD94" s="253"/>
      <c r="DE94" s="253"/>
      <c r="DF94" s="253"/>
      <c r="DG94" s="253"/>
      <c r="DH94" s="253"/>
      <c r="DI94" s="253"/>
      <c r="DJ94" s="253"/>
      <c r="DK94" s="253"/>
      <c r="DL94" s="253"/>
      <c r="DM94" s="253"/>
      <c r="DN94" s="253"/>
      <c r="DO94" s="253"/>
      <c r="DP94" s="253"/>
      <c r="DQ94" s="253"/>
      <c r="DR94" s="253"/>
      <c r="DS94" s="253"/>
      <c r="DT94" s="253"/>
      <c r="DU94" s="253"/>
      <c r="DV94" s="253"/>
      <c r="DW94" s="253"/>
      <c r="DX94" s="253"/>
      <c r="DY94" s="253"/>
      <c r="DZ94" s="253"/>
      <c r="EA94" s="253"/>
      <c r="EB94" s="253"/>
      <c r="EC94" s="253"/>
      <c r="ED94" s="253"/>
      <c r="EE94" s="253"/>
      <c r="EF94" s="253"/>
      <c r="EG94" s="253"/>
      <c r="EH94" s="253"/>
      <c r="EI94" s="253"/>
      <c r="EJ94" s="253"/>
      <c r="EK94" s="253"/>
      <c r="EL94" s="253"/>
      <c r="EM94" s="253"/>
      <c r="EN94" s="253"/>
      <c r="EO94" s="253"/>
      <c r="EP94" s="253"/>
      <c r="EQ94" s="253"/>
      <c r="ER94" s="253"/>
      <c r="ES94" s="253"/>
      <c r="ET94" s="253"/>
      <c r="EU94" s="253"/>
      <c r="EV94" s="253"/>
      <c r="EW94" s="253"/>
      <c r="EX94" s="253"/>
      <c r="EY94" s="253"/>
      <c r="EZ94" s="253"/>
      <c r="FA94" s="253"/>
      <c r="FB94" s="253"/>
      <c r="FC94" s="253"/>
      <c r="FD94" s="253"/>
      <c r="FE94" s="253"/>
      <c r="FF94" s="253"/>
      <c r="FG94" s="253"/>
      <c r="FH94" s="253"/>
      <c r="FI94" s="253"/>
      <c r="FJ94" s="253"/>
      <c r="FK94" s="253"/>
      <c r="FL94" s="253"/>
      <c r="FM94" s="253"/>
      <c r="FN94" s="256"/>
      <c r="FO94" s="257" t="s">
        <v>1270</v>
      </c>
      <c r="FP94" s="258" t="s">
        <v>389</v>
      </c>
      <c r="FQ94" s="258" t="s">
        <v>867</v>
      </c>
      <c r="FR94" s="258" t="s">
        <v>420</v>
      </c>
      <c r="FS94" s="259">
        <f t="shared" si="4"/>
        <v>10</v>
      </c>
      <c r="FT94" s="260" t="s">
        <v>421</v>
      </c>
    </row>
    <row r="95" spans="1:176" s="260" customFormat="1">
      <c r="A95" s="251" t="s">
        <v>393</v>
      </c>
      <c r="B95" s="251" t="s">
        <v>385</v>
      </c>
      <c r="C95" s="251" t="s">
        <v>411</v>
      </c>
      <c r="D95" s="251" t="s">
        <v>1</v>
      </c>
      <c r="E95" s="252" t="s">
        <v>865</v>
      </c>
      <c r="F95" s="251" t="s">
        <v>388</v>
      </c>
      <c r="G95" s="251"/>
      <c r="H95" s="253"/>
      <c r="I95" s="253"/>
      <c r="J95" s="253"/>
      <c r="K95" s="253"/>
      <c r="L95" s="253"/>
      <c r="M95" s="253"/>
      <c r="N95" s="253"/>
      <c r="O95" s="253"/>
      <c r="P95" s="253"/>
      <c r="Q95" s="253"/>
      <c r="R95" s="253"/>
      <c r="S95" s="253"/>
      <c r="T95" s="253"/>
      <c r="U95" s="253"/>
      <c r="V95" s="253"/>
      <c r="W95" s="253"/>
      <c r="X95" s="253"/>
      <c r="Y95" s="253"/>
      <c r="Z95" s="253"/>
      <c r="AA95" s="253"/>
      <c r="AB95" s="255">
        <f>200-200</f>
        <v>0</v>
      </c>
      <c r="AC95" s="253"/>
      <c r="AD95" s="253"/>
      <c r="AE95" s="253"/>
      <c r="AF95" s="253"/>
      <c r="AG95" s="253"/>
      <c r="AH95" s="253"/>
      <c r="AI95" s="253"/>
      <c r="AJ95" s="253"/>
      <c r="AK95" s="253"/>
      <c r="AL95" s="253"/>
      <c r="AM95" s="253"/>
      <c r="AN95" s="253"/>
      <c r="AO95" s="253"/>
      <c r="AP95" s="253"/>
      <c r="AQ95" s="253"/>
      <c r="AR95" s="253"/>
      <c r="AS95" s="255">
        <f>300-300</f>
        <v>0</v>
      </c>
      <c r="AT95" s="253"/>
      <c r="AU95" s="253"/>
      <c r="AV95" s="253"/>
      <c r="AW95" s="253"/>
      <c r="AX95" s="254">
        <f>500-500+20</f>
        <v>20</v>
      </c>
      <c r="AY95" s="253"/>
      <c r="AZ95" s="253"/>
      <c r="BA95" s="253"/>
      <c r="BB95" s="253"/>
      <c r="BC95" s="253"/>
      <c r="BD95" s="253"/>
      <c r="BE95" s="253"/>
      <c r="BF95" s="253"/>
      <c r="BG95" s="253"/>
      <c r="BH95" s="253"/>
      <c r="BI95" s="253"/>
      <c r="BJ95" s="253"/>
      <c r="BK95" s="253"/>
      <c r="BL95" s="253"/>
      <c r="BM95" s="253"/>
      <c r="BN95" s="253"/>
      <c r="BO95" s="253"/>
      <c r="BP95" s="253"/>
      <c r="BQ95" s="253"/>
      <c r="BR95" s="253"/>
      <c r="BS95" s="253"/>
      <c r="BT95" s="253"/>
      <c r="BU95" s="253"/>
      <c r="BV95" s="253"/>
      <c r="BW95" s="253"/>
      <c r="BX95" s="253"/>
      <c r="BY95" s="253"/>
      <c r="BZ95" s="253"/>
      <c r="CA95" s="253"/>
      <c r="CB95" s="253"/>
      <c r="CC95" s="253"/>
      <c r="CD95" s="253"/>
      <c r="CE95" s="253"/>
      <c r="CF95" s="253"/>
      <c r="CG95" s="253"/>
      <c r="CH95" s="253"/>
      <c r="CI95" s="253"/>
      <c r="CJ95" s="253"/>
      <c r="CK95" s="253"/>
      <c r="CL95" s="253"/>
      <c r="CM95" s="253"/>
      <c r="CN95" s="253"/>
      <c r="CO95" s="253"/>
      <c r="CP95" s="253"/>
      <c r="CQ95" s="253"/>
      <c r="CR95" s="253"/>
      <c r="CS95" s="253"/>
      <c r="CT95" s="253"/>
      <c r="CU95" s="253"/>
      <c r="CV95" s="253"/>
      <c r="CW95" s="253"/>
      <c r="CX95" s="253"/>
      <c r="CY95" s="253"/>
      <c r="CZ95" s="253"/>
      <c r="DA95" s="253"/>
      <c r="DB95" s="253"/>
      <c r="DC95" s="253"/>
      <c r="DD95" s="253"/>
      <c r="DE95" s="253"/>
      <c r="DF95" s="253"/>
      <c r="DG95" s="253"/>
      <c r="DH95" s="253"/>
      <c r="DI95" s="253"/>
      <c r="DJ95" s="253"/>
      <c r="DK95" s="253"/>
      <c r="DL95" s="253"/>
      <c r="DM95" s="253"/>
      <c r="DN95" s="253"/>
      <c r="DO95" s="253"/>
      <c r="DP95" s="253"/>
      <c r="DQ95" s="253"/>
      <c r="DR95" s="253"/>
      <c r="DS95" s="253"/>
      <c r="DT95" s="253"/>
      <c r="DU95" s="253"/>
      <c r="DV95" s="253"/>
      <c r="DW95" s="253"/>
      <c r="DX95" s="253"/>
      <c r="DY95" s="253"/>
      <c r="DZ95" s="253"/>
      <c r="EA95" s="253"/>
      <c r="EB95" s="253"/>
      <c r="EC95" s="253"/>
      <c r="ED95" s="253"/>
      <c r="EE95" s="253"/>
      <c r="EF95" s="253"/>
      <c r="EG95" s="253"/>
      <c r="EH95" s="253"/>
      <c r="EI95" s="253"/>
      <c r="EJ95" s="253"/>
      <c r="EK95" s="253"/>
      <c r="EL95" s="253"/>
      <c r="EM95" s="253"/>
      <c r="EN95" s="253"/>
      <c r="EO95" s="253"/>
      <c r="EP95" s="253"/>
      <c r="EQ95" s="253"/>
      <c r="ER95" s="253"/>
      <c r="ES95" s="253"/>
      <c r="ET95" s="253"/>
      <c r="EU95" s="253"/>
      <c r="EV95" s="253"/>
      <c r="EW95" s="253"/>
      <c r="EX95" s="253"/>
      <c r="EY95" s="253"/>
      <c r="EZ95" s="253"/>
      <c r="FA95" s="253"/>
      <c r="FB95" s="253"/>
      <c r="FC95" s="253"/>
      <c r="FD95" s="253"/>
      <c r="FE95" s="253"/>
      <c r="FF95" s="253"/>
      <c r="FG95" s="253"/>
      <c r="FH95" s="253"/>
      <c r="FI95" s="253"/>
      <c r="FJ95" s="253"/>
      <c r="FK95" s="253"/>
      <c r="FL95" s="253"/>
      <c r="FM95" s="253"/>
      <c r="FN95" s="256"/>
      <c r="FO95" s="257" t="s">
        <v>1270</v>
      </c>
      <c r="FP95" s="258" t="s">
        <v>389</v>
      </c>
      <c r="FQ95" s="258" t="s">
        <v>867</v>
      </c>
      <c r="FR95" s="258" t="s">
        <v>420</v>
      </c>
      <c r="FS95" s="259">
        <f t="shared" si="4"/>
        <v>20</v>
      </c>
      <c r="FT95" s="260" t="s">
        <v>421</v>
      </c>
    </row>
    <row r="96" spans="1:176" s="260" customFormat="1">
      <c r="A96" s="251" t="s">
        <v>393</v>
      </c>
      <c r="B96" s="251" t="s">
        <v>385</v>
      </c>
      <c r="C96" s="251" t="s">
        <v>411</v>
      </c>
      <c r="D96" s="251" t="s">
        <v>291</v>
      </c>
      <c r="E96" s="252" t="s">
        <v>447</v>
      </c>
      <c r="F96" s="251" t="s">
        <v>388</v>
      </c>
      <c r="G96" s="251"/>
      <c r="H96" s="253"/>
      <c r="I96" s="253"/>
      <c r="J96" s="253"/>
      <c r="K96" s="253"/>
      <c r="L96" s="253"/>
      <c r="M96" s="253"/>
      <c r="N96" s="253"/>
      <c r="O96" s="253"/>
      <c r="P96" s="253"/>
      <c r="Q96" s="253"/>
      <c r="R96" s="253"/>
      <c r="S96" s="253"/>
      <c r="T96" s="253"/>
      <c r="U96" s="253"/>
      <c r="V96" s="253"/>
      <c r="W96" s="253"/>
      <c r="X96" s="253"/>
      <c r="Y96" s="253"/>
      <c r="Z96" s="253"/>
      <c r="AA96" s="253"/>
      <c r="AB96" s="253"/>
      <c r="AC96" s="253"/>
      <c r="AD96" s="253"/>
      <c r="AE96" s="253"/>
      <c r="AF96" s="253"/>
      <c r="AG96" s="255">
        <f>100-100</f>
        <v>0</v>
      </c>
      <c r="AH96" s="253"/>
      <c r="AI96" s="253"/>
      <c r="AJ96" s="253"/>
      <c r="AK96" s="253"/>
      <c r="AL96" s="253"/>
      <c r="AM96" s="253"/>
      <c r="AN96" s="253"/>
      <c r="AO96" s="253"/>
      <c r="AP96" s="253"/>
      <c r="AQ96" s="253"/>
      <c r="AR96" s="253"/>
      <c r="AS96" s="253"/>
      <c r="AT96" s="253"/>
      <c r="AU96" s="253"/>
      <c r="AV96" s="253"/>
      <c r="AW96" s="253"/>
      <c r="AX96" s="253"/>
      <c r="AY96" s="253"/>
      <c r="AZ96" s="253"/>
      <c r="BA96" s="253"/>
      <c r="BB96" s="253"/>
      <c r="BC96" s="253"/>
      <c r="BD96" s="253"/>
      <c r="BE96" s="253"/>
      <c r="BF96" s="253"/>
      <c r="BG96" s="253"/>
      <c r="BH96" s="253"/>
      <c r="BI96" s="253"/>
      <c r="BJ96" s="253"/>
      <c r="BK96" s="253"/>
      <c r="BL96" s="253"/>
      <c r="BM96" s="253"/>
      <c r="BN96" s="253"/>
      <c r="BO96" s="253"/>
      <c r="BP96" s="253"/>
      <c r="BQ96" s="253"/>
      <c r="BR96" s="253"/>
      <c r="BS96" s="253"/>
      <c r="BT96" s="253"/>
      <c r="BU96" s="253"/>
      <c r="BV96" s="253"/>
      <c r="BW96" s="253"/>
      <c r="BX96" s="253"/>
      <c r="BY96" s="253"/>
      <c r="BZ96" s="253"/>
      <c r="CA96" s="253"/>
      <c r="CB96" s="253"/>
      <c r="CC96" s="253"/>
      <c r="CD96" s="253"/>
      <c r="CE96" s="253"/>
      <c r="CF96" s="253"/>
      <c r="CG96" s="253"/>
      <c r="CH96" s="253"/>
      <c r="CI96" s="253"/>
      <c r="CJ96" s="253"/>
      <c r="CK96" s="253"/>
      <c r="CL96" s="253"/>
      <c r="CM96" s="253"/>
      <c r="CN96" s="253"/>
      <c r="CO96" s="253"/>
      <c r="CP96" s="253"/>
      <c r="CQ96" s="253"/>
      <c r="CR96" s="253"/>
      <c r="CS96" s="253"/>
      <c r="CT96" s="253"/>
      <c r="CU96" s="253"/>
      <c r="CV96" s="253"/>
      <c r="CW96" s="253"/>
      <c r="CX96" s="253"/>
      <c r="CY96" s="253"/>
      <c r="CZ96" s="253"/>
      <c r="DA96" s="253"/>
      <c r="DB96" s="253"/>
      <c r="DC96" s="253"/>
      <c r="DD96" s="253"/>
      <c r="DE96" s="253"/>
      <c r="DF96" s="253"/>
      <c r="DG96" s="253"/>
      <c r="DH96" s="253"/>
      <c r="DI96" s="253"/>
      <c r="DJ96" s="253"/>
      <c r="DK96" s="253"/>
      <c r="DL96" s="253"/>
      <c r="DM96" s="253"/>
      <c r="DN96" s="253"/>
      <c r="DO96" s="253"/>
      <c r="DP96" s="253"/>
      <c r="DQ96" s="253"/>
      <c r="DR96" s="253"/>
      <c r="DS96" s="253"/>
      <c r="DT96" s="253"/>
      <c r="DU96" s="253"/>
      <c r="DV96" s="253"/>
      <c r="DW96" s="253"/>
      <c r="DX96" s="253"/>
      <c r="DY96" s="253"/>
      <c r="DZ96" s="253"/>
      <c r="EA96" s="253"/>
      <c r="EB96" s="253"/>
      <c r="EC96" s="253"/>
      <c r="ED96" s="253"/>
      <c r="EE96" s="253"/>
      <c r="EF96" s="253"/>
      <c r="EG96" s="253"/>
      <c r="EH96" s="253"/>
      <c r="EI96" s="253"/>
      <c r="EJ96" s="253"/>
      <c r="EK96" s="253"/>
      <c r="EL96" s="253"/>
      <c r="EM96" s="253"/>
      <c r="EN96" s="253"/>
      <c r="EO96" s="253"/>
      <c r="EP96" s="253"/>
      <c r="EQ96" s="253"/>
      <c r="ER96" s="253"/>
      <c r="ES96" s="253"/>
      <c r="ET96" s="253"/>
      <c r="EU96" s="253"/>
      <c r="EV96" s="253"/>
      <c r="EW96" s="253"/>
      <c r="EX96" s="253"/>
      <c r="EY96" s="253"/>
      <c r="EZ96" s="253"/>
      <c r="FA96" s="253"/>
      <c r="FB96" s="253"/>
      <c r="FC96" s="253"/>
      <c r="FD96" s="253"/>
      <c r="FE96" s="253"/>
      <c r="FF96" s="253"/>
      <c r="FG96" s="253"/>
      <c r="FH96" s="253"/>
      <c r="FI96" s="253"/>
      <c r="FJ96" s="253"/>
      <c r="FK96" s="253"/>
      <c r="FL96" s="253"/>
      <c r="FM96" s="253"/>
      <c r="FN96" s="256"/>
      <c r="FO96" s="257" t="s">
        <v>1270</v>
      </c>
      <c r="FP96" s="258" t="s">
        <v>389</v>
      </c>
      <c r="FQ96" s="258" t="s">
        <v>448</v>
      </c>
      <c r="FR96" s="258" t="s">
        <v>449</v>
      </c>
      <c r="FS96" s="259">
        <f t="shared" si="4"/>
        <v>0</v>
      </c>
      <c r="FT96" s="260" t="s">
        <v>433</v>
      </c>
    </row>
    <row r="97" spans="1:179" s="260" customFormat="1">
      <c r="A97" s="251" t="s">
        <v>393</v>
      </c>
      <c r="B97" s="251" t="s">
        <v>385</v>
      </c>
      <c r="C97" s="251" t="s">
        <v>411</v>
      </c>
      <c r="D97" s="251" t="s">
        <v>1</v>
      </c>
      <c r="E97" s="252" t="s">
        <v>447</v>
      </c>
      <c r="F97" s="251" t="s">
        <v>388</v>
      </c>
      <c r="G97" s="251"/>
      <c r="H97" s="253"/>
      <c r="I97" s="253"/>
      <c r="J97" s="253"/>
      <c r="K97" s="253"/>
      <c r="L97" s="253"/>
      <c r="M97" s="253"/>
      <c r="N97" s="253"/>
      <c r="O97" s="253"/>
      <c r="P97" s="253"/>
      <c r="Q97" s="253"/>
      <c r="R97" s="253"/>
      <c r="S97" s="253"/>
      <c r="T97" s="253"/>
      <c r="U97" s="253"/>
      <c r="V97" s="253"/>
      <c r="W97" s="253"/>
      <c r="X97" s="253"/>
      <c r="Y97" s="253"/>
      <c r="Z97" s="253"/>
      <c r="AA97" s="253"/>
      <c r="AB97" s="253"/>
      <c r="AC97" s="254">
        <f>100-100+10</f>
        <v>10</v>
      </c>
      <c r="AD97" s="253"/>
      <c r="AE97" s="253"/>
      <c r="AF97" s="253"/>
      <c r="AG97" s="255">
        <f>0</f>
        <v>0</v>
      </c>
      <c r="AH97" s="253"/>
      <c r="AI97" s="253"/>
      <c r="AJ97" s="253"/>
      <c r="AK97" s="253"/>
      <c r="AL97" s="253"/>
      <c r="AM97" s="253"/>
      <c r="AN97" s="253"/>
      <c r="AO97" s="253"/>
      <c r="AP97" s="253"/>
      <c r="AQ97" s="253"/>
      <c r="AR97" s="253"/>
      <c r="AS97" s="254">
        <f>100-100+10</f>
        <v>10</v>
      </c>
      <c r="AT97" s="253"/>
      <c r="AU97" s="253"/>
      <c r="AV97" s="253"/>
      <c r="AW97" s="253"/>
      <c r="AX97" s="253"/>
      <c r="AY97" s="253"/>
      <c r="AZ97" s="253"/>
      <c r="BA97" s="253"/>
      <c r="BB97" s="253"/>
      <c r="BC97" s="253"/>
      <c r="BD97" s="253"/>
      <c r="BE97" s="253"/>
      <c r="BF97" s="253"/>
      <c r="BG97" s="253"/>
      <c r="BH97" s="253"/>
      <c r="BI97" s="253"/>
      <c r="BJ97" s="253"/>
      <c r="BK97" s="253"/>
      <c r="BL97" s="253"/>
      <c r="BM97" s="253"/>
      <c r="BN97" s="253"/>
      <c r="BO97" s="253"/>
      <c r="BP97" s="253"/>
      <c r="BQ97" s="253"/>
      <c r="BR97" s="253"/>
      <c r="BS97" s="253"/>
      <c r="BT97" s="253"/>
      <c r="BU97" s="253"/>
      <c r="BV97" s="253"/>
      <c r="BW97" s="253"/>
      <c r="BX97" s="253"/>
      <c r="BY97" s="253"/>
      <c r="BZ97" s="253"/>
      <c r="CA97" s="253"/>
      <c r="CB97" s="253"/>
      <c r="CC97" s="253"/>
      <c r="CD97" s="253"/>
      <c r="CE97" s="253"/>
      <c r="CF97" s="253"/>
      <c r="CG97" s="253"/>
      <c r="CH97" s="253"/>
      <c r="CI97" s="253"/>
      <c r="CJ97" s="253"/>
      <c r="CK97" s="253"/>
      <c r="CL97" s="253"/>
      <c r="CM97" s="253"/>
      <c r="CN97" s="253"/>
      <c r="CO97" s="253"/>
      <c r="CP97" s="253"/>
      <c r="CQ97" s="253"/>
      <c r="CR97" s="253"/>
      <c r="CS97" s="253"/>
      <c r="CT97" s="253"/>
      <c r="CU97" s="253"/>
      <c r="CV97" s="253"/>
      <c r="CW97" s="253"/>
      <c r="CX97" s="253"/>
      <c r="CY97" s="253"/>
      <c r="CZ97" s="253"/>
      <c r="DA97" s="253"/>
      <c r="DB97" s="253"/>
      <c r="DC97" s="253"/>
      <c r="DD97" s="253"/>
      <c r="DE97" s="253"/>
      <c r="DF97" s="253"/>
      <c r="DG97" s="253"/>
      <c r="DH97" s="253"/>
      <c r="DI97" s="253"/>
      <c r="DJ97" s="253"/>
      <c r="DK97" s="253"/>
      <c r="DL97" s="253"/>
      <c r="DM97" s="253"/>
      <c r="DN97" s="253"/>
      <c r="DO97" s="253"/>
      <c r="DP97" s="253"/>
      <c r="DQ97" s="253"/>
      <c r="DR97" s="253"/>
      <c r="DS97" s="253"/>
      <c r="DT97" s="253"/>
      <c r="DU97" s="253"/>
      <c r="DV97" s="253"/>
      <c r="DW97" s="253"/>
      <c r="DX97" s="253"/>
      <c r="DY97" s="253"/>
      <c r="DZ97" s="253"/>
      <c r="EA97" s="253"/>
      <c r="EB97" s="253"/>
      <c r="EC97" s="253"/>
      <c r="ED97" s="253"/>
      <c r="EE97" s="253"/>
      <c r="EF97" s="253"/>
      <c r="EG97" s="253"/>
      <c r="EH97" s="253"/>
      <c r="EI97" s="253"/>
      <c r="EJ97" s="253"/>
      <c r="EK97" s="253"/>
      <c r="EL97" s="253"/>
      <c r="EM97" s="253"/>
      <c r="EN97" s="253"/>
      <c r="EO97" s="253"/>
      <c r="EP97" s="253"/>
      <c r="EQ97" s="253"/>
      <c r="ER97" s="253"/>
      <c r="ES97" s="253"/>
      <c r="ET97" s="253"/>
      <c r="EU97" s="253"/>
      <c r="EV97" s="253"/>
      <c r="EW97" s="253"/>
      <c r="EX97" s="253"/>
      <c r="EY97" s="253"/>
      <c r="EZ97" s="253"/>
      <c r="FA97" s="253"/>
      <c r="FB97" s="253"/>
      <c r="FC97" s="253"/>
      <c r="FD97" s="253"/>
      <c r="FE97" s="253"/>
      <c r="FF97" s="253"/>
      <c r="FG97" s="253"/>
      <c r="FH97" s="253"/>
      <c r="FI97" s="253"/>
      <c r="FJ97" s="253"/>
      <c r="FK97" s="253"/>
      <c r="FL97" s="253"/>
      <c r="FM97" s="253"/>
      <c r="FN97" s="256"/>
      <c r="FO97" s="257" t="s">
        <v>1270</v>
      </c>
      <c r="FP97" s="258" t="s">
        <v>389</v>
      </c>
      <c r="FQ97" s="258" t="s">
        <v>448</v>
      </c>
      <c r="FR97" s="258" t="s">
        <v>449</v>
      </c>
      <c r="FS97" s="259">
        <f t="shared" si="4"/>
        <v>20</v>
      </c>
      <c r="FT97" s="260" t="s">
        <v>433</v>
      </c>
    </row>
    <row r="98" spans="1:179" s="260" customFormat="1">
      <c r="A98" s="251" t="s">
        <v>393</v>
      </c>
      <c r="B98" s="251" t="s">
        <v>385</v>
      </c>
      <c r="C98" s="251" t="s">
        <v>411</v>
      </c>
      <c r="D98" s="251" t="s">
        <v>1</v>
      </c>
      <c r="E98" s="252" t="s">
        <v>447</v>
      </c>
      <c r="F98" s="251" t="s">
        <v>388</v>
      </c>
      <c r="G98" s="251"/>
      <c r="H98" s="253"/>
      <c r="I98" s="253"/>
      <c r="J98" s="253"/>
      <c r="K98" s="253"/>
      <c r="L98" s="253"/>
      <c r="M98" s="253"/>
      <c r="N98" s="253"/>
      <c r="O98" s="253"/>
      <c r="P98" s="253"/>
      <c r="Q98" s="253"/>
      <c r="R98" s="253"/>
      <c r="S98" s="253"/>
      <c r="T98" s="253"/>
      <c r="U98" s="253"/>
      <c r="V98" s="253"/>
      <c r="W98" s="253"/>
      <c r="X98" s="253"/>
      <c r="Y98" s="253"/>
      <c r="Z98" s="253"/>
      <c r="AA98" s="253"/>
      <c r="AB98" s="253"/>
      <c r="AC98" s="253"/>
      <c r="AD98" s="253"/>
      <c r="AE98" s="253"/>
      <c r="AF98" s="253"/>
      <c r="AG98" s="253"/>
      <c r="AH98" s="253"/>
      <c r="AI98" s="253"/>
      <c r="AJ98" s="253"/>
      <c r="AK98" s="253"/>
      <c r="AL98" s="253"/>
      <c r="AM98" s="253"/>
      <c r="AN98" s="253"/>
      <c r="AO98" s="253"/>
      <c r="AP98" s="253"/>
      <c r="AQ98" s="253"/>
      <c r="AR98" s="253"/>
      <c r="AS98" s="253"/>
      <c r="AT98" s="253"/>
      <c r="AU98" s="253"/>
      <c r="AV98" s="253"/>
      <c r="AW98" s="253"/>
      <c r="AX98" s="253"/>
      <c r="AY98" s="253"/>
      <c r="AZ98" s="253"/>
      <c r="BA98" s="253"/>
      <c r="BB98" s="253"/>
      <c r="BC98" s="253"/>
      <c r="BD98" s="253"/>
      <c r="BE98" s="253"/>
      <c r="BF98" s="253"/>
      <c r="BG98" s="253"/>
      <c r="BH98" s="253"/>
      <c r="BI98" s="253"/>
      <c r="BJ98" s="253"/>
      <c r="BK98" s="253"/>
      <c r="BL98" s="253"/>
      <c r="BM98" s="253"/>
      <c r="BN98" s="253"/>
      <c r="BO98" s="253"/>
      <c r="BP98" s="253"/>
      <c r="BQ98" s="253"/>
      <c r="BR98" s="253"/>
      <c r="BS98" s="253"/>
      <c r="BT98" s="253"/>
      <c r="BU98" s="253"/>
      <c r="BV98" s="253"/>
      <c r="BW98" s="253"/>
      <c r="BX98" s="253"/>
      <c r="BY98" s="253"/>
      <c r="BZ98" s="253"/>
      <c r="CA98" s="253"/>
      <c r="CB98" s="253"/>
      <c r="CC98" s="253"/>
      <c r="CD98" s="253"/>
      <c r="CE98" s="253"/>
      <c r="CF98" s="253"/>
      <c r="CG98" s="253"/>
      <c r="CH98" s="253"/>
      <c r="CI98" s="253"/>
      <c r="CJ98" s="253"/>
      <c r="CK98" s="253"/>
      <c r="CL98" s="253"/>
      <c r="CM98" s="253"/>
      <c r="CN98" s="253"/>
      <c r="CO98" s="253"/>
      <c r="CP98" s="253"/>
      <c r="CQ98" s="253"/>
      <c r="CR98" s="253"/>
      <c r="CS98" s="253"/>
      <c r="CT98" s="253"/>
      <c r="CU98" s="253"/>
      <c r="CV98" s="253"/>
      <c r="CW98" s="253"/>
      <c r="CX98" s="253"/>
      <c r="CY98" s="253"/>
      <c r="CZ98" s="253"/>
      <c r="DA98" s="253"/>
      <c r="DB98" s="253"/>
      <c r="DC98" s="253"/>
      <c r="DD98" s="253"/>
      <c r="DE98" s="253"/>
      <c r="DF98" s="253"/>
      <c r="DG98" s="255">
        <f>100-100</f>
        <v>0</v>
      </c>
      <c r="DH98" s="253"/>
      <c r="DI98" s="253"/>
      <c r="DJ98" s="253"/>
      <c r="DK98" s="253"/>
      <c r="DL98" s="253"/>
      <c r="DM98" s="253"/>
      <c r="DN98" s="253"/>
      <c r="DO98" s="253"/>
      <c r="DP98" s="253"/>
      <c r="DQ98" s="253"/>
      <c r="DR98" s="253"/>
      <c r="DS98" s="253"/>
      <c r="DT98" s="253"/>
      <c r="DU98" s="253"/>
      <c r="DV98" s="253"/>
      <c r="DW98" s="253"/>
      <c r="DX98" s="253"/>
      <c r="DY98" s="253"/>
      <c r="DZ98" s="253"/>
      <c r="EA98" s="253"/>
      <c r="EB98" s="253"/>
      <c r="EC98" s="253"/>
      <c r="ED98" s="253"/>
      <c r="EE98" s="253"/>
      <c r="EF98" s="253"/>
      <c r="EG98" s="253"/>
      <c r="EH98" s="253"/>
      <c r="EI98" s="253"/>
      <c r="EJ98" s="253"/>
      <c r="EK98" s="253"/>
      <c r="EL98" s="253"/>
      <c r="EM98" s="253"/>
      <c r="EN98" s="253"/>
      <c r="EO98" s="253"/>
      <c r="EP98" s="253"/>
      <c r="EQ98" s="253"/>
      <c r="ER98" s="253"/>
      <c r="ES98" s="253"/>
      <c r="ET98" s="253"/>
      <c r="EU98" s="253"/>
      <c r="EV98" s="253"/>
      <c r="EW98" s="253"/>
      <c r="EX98" s="253"/>
      <c r="EY98" s="253"/>
      <c r="EZ98" s="253"/>
      <c r="FA98" s="253"/>
      <c r="FB98" s="253"/>
      <c r="FC98" s="253"/>
      <c r="FD98" s="253"/>
      <c r="FE98" s="253"/>
      <c r="FF98" s="253"/>
      <c r="FG98" s="253"/>
      <c r="FH98" s="253"/>
      <c r="FI98" s="253"/>
      <c r="FJ98" s="253"/>
      <c r="FK98" s="253"/>
      <c r="FL98" s="253"/>
      <c r="FM98" s="253"/>
      <c r="FN98" s="256"/>
      <c r="FO98" s="257" t="s">
        <v>1270</v>
      </c>
      <c r="FP98" s="258" t="s">
        <v>1271</v>
      </c>
      <c r="FQ98" s="258" t="s">
        <v>448</v>
      </c>
      <c r="FR98" s="258" t="s">
        <v>449</v>
      </c>
      <c r="FS98" s="259">
        <f t="shared" si="4"/>
        <v>0</v>
      </c>
      <c r="FT98" s="260" t="s">
        <v>433</v>
      </c>
    </row>
    <row r="99" spans="1:179" s="260" customFormat="1">
      <c r="A99" s="251" t="s">
        <v>417</v>
      </c>
      <c r="B99" s="251" t="s">
        <v>385</v>
      </c>
      <c r="C99" s="251" t="s">
        <v>411</v>
      </c>
      <c r="D99" s="251" t="s">
        <v>1</v>
      </c>
      <c r="E99" s="252" t="s">
        <v>450</v>
      </c>
      <c r="F99" s="251" t="s">
        <v>388</v>
      </c>
      <c r="G99" s="251"/>
      <c r="H99" s="253"/>
      <c r="I99" s="253"/>
      <c r="J99" s="253"/>
      <c r="K99" s="253"/>
      <c r="L99" s="253"/>
      <c r="M99" s="253"/>
      <c r="N99" s="253"/>
      <c r="O99" s="253"/>
      <c r="P99" s="253"/>
      <c r="Q99" s="253"/>
      <c r="R99" s="253"/>
      <c r="S99" s="253"/>
      <c r="T99" s="253"/>
      <c r="U99" s="253"/>
      <c r="V99" s="253"/>
      <c r="W99" s="253"/>
      <c r="X99" s="253"/>
      <c r="Y99" s="253"/>
      <c r="Z99" s="253"/>
      <c r="AA99" s="253"/>
      <c r="AB99" s="253"/>
      <c r="AC99" s="253"/>
      <c r="AD99" s="253"/>
      <c r="AE99" s="253"/>
      <c r="AF99" s="253"/>
      <c r="AG99" s="253"/>
      <c r="AH99" s="253"/>
      <c r="AI99" s="253"/>
      <c r="AJ99" s="253"/>
      <c r="AK99" s="253"/>
      <c r="AL99" s="253"/>
      <c r="AM99" s="253"/>
      <c r="AN99" s="253"/>
      <c r="AO99" s="253"/>
      <c r="AP99" s="253"/>
      <c r="AQ99" s="253"/>
      <c r="AR99" s="253"/>
      <c r="AS99" s="254">
        <f>150-150+20</f>
        <v>20</v>
      </c>
      <c r="AT99" s="253"/>
      <c r="AU99" s="253"/>
      <c r="AV99" s="253"/>
      <c r="AW99" s="253"/>
      <c r="AX99" s="253"/>
      <c r="AY99" s="253"/>
      <c r="AZ99" s="253"/>
      <c r="BA99" s="253"/>
      <c r="BB99" s="253"/>
      <c r="BC99" s="253"/>
      <c r="BD99" s="253"/>
      <c r="BE99" s="253"/>
      <c r="BF99" s="253"/>
      <c r="BG99" s="253"/>
      <c r="BH99" s="253"/>
      <c r="BI99" s="253"/>
      <c r="BJ99" s="253"/>
      <c r="BK99" s="253"/>
      <c r="BL99" s="253"/>
      <c r="BM99" s="253"/>
      <c r="BN99" s="253"/>
      <c r="BO99" s="253"/>
      <c r="BP99" s="253"/>
      <c r="BQ99" s="253"/>
      <c r="BR99" s="253"/>
      <c r="BS99" s="253"/>
      <c r="BT99" s="253"/>
      <c r="BU99" s="253"/>
      <c r="BV99" s="253"/>
      <c r="BW99" s="253"/>
      <c r="BX99" s="253"/>
      <c r="BY99" s="253"/>
      <c r="BZ99" s="253"/>
      <c r="CA99" s="253"/>
      <c r="CB99" s="253"/>
      <c r="CC99" s="253"/>
      <c r="CD99" s="253"/>
      <c r="CE99" s="253"/>
      <c r="CF99" s="253"/>
      <c r="CG99" s="253"/>
      <c r="CH99" s="253"/>
      <c r="CI99" s="253"/>
      <c r="CJ99" s="253"/>
      <c r="CK99" s="253"/>
      <c r="CL99" s="253"/>
      <c r="CM99" s="253"/>
      <c r="CN99" s="253"/>
      <c r="CO99" s="253"/>
      <c r="CP99" s="253"/>
      <c r="CQ99" s="253"/>
      <c r="CR99" s="253"/>
      <c r="CS99" s="253"/>
      <c r="CT99" s="253"/>
      <c r="CU99" s="253"/>
      <c r="CV99" s="253"/>
      <c r="CW99" s="253"/>
      <c r="CX99" s="253"/>
      <c r="CY99" s="253"/>
      <c r="CZ99" s="253"/>
      <c r="DA99" s="253"/>
      <c r="DB99" s="253"/>
      <c r="DC99" s="253"/>
      <c r="DD99" s="253"/>
      <c r="DE99" s="253"/>
      <c r="DF99" s="253"/>
      <c r="DG99" s="253"/>
      <c r="DH99" s="253"/>
      <c r="DI99" s="253"/>
      <c r="DJ99" s="253"/>
      <c r="DK99" s="253"/>
      <c r="DL99" s="253"/>
      <c r="DM99" s="253"/>
      <c r="DN99" s="253"/>
      <c r="DO99" s="253"/>
      <c r="DP99" s="253"/>
      <c r="DQ99" s="253"/>
      <c r="DR99" s="253"/>
      <c r="DS99" s="253"/>
      <c r="DT99" s="253"/>
      <c r="DU99" s="253"/>
      <c r="DV99" s="253"/>
      <c r="DW99" s="253"/>
      <c r="DX99" s="253"/>
      <c r="DY99" s="253"/>
      <c r="DZ99" s="253"/>
      <c r="EA99" s="253"/>
      <c r="EB99" s="253"/>
      <c r="EC99" s="253"/>
      <c r="ED99" s="253"/>
      <c r="EE99" s="253"/>
      <c r="EF99" s="253"/>
      <c r="EG99" s="253"/>
      <c r="EH99" s="253"/>
      <c r="EI99" s="253"/>
      <c r="EJ99" s="253"/>
      <c r="EK99" s="253"/>
      <c r="EL99" s="253"/>
      <c r="EM99" s="253"/>
      <c r="EN99" s="253"/>
      <c r="EO99" s="253"/>
      <c r="EP99" s="253"/>
      <c r="EQ99" s="253"/>
      <c r="ER99" s="253"/>
      <c r="ES99" s="253"/>
      <c r="ET99" s="253"/>
      <c r="EU99" s="253"/>
      <c r="EV99" s="253"/>
      <c r="EW99" s="253"/>
      <c r="EX99" s="253"/>
      <c r="EY99" s="253"/>
      <c r="EZ99" s="253"/>
      <c r="FA99" s="253"/>
      <c r="FB99" s="253"/>
      <c r="FC99" s="253"/>
      <c r="FD99" s="253"/>
      <c r="FE99" s="253"/>
      <c r="FF99" s="253"/>
      <c r="FG99" s="253"/>
      <c r="FH99" s="253"/>
      <c r="FI99" s="253"/>
      <c r="FJ99" s="253"/>
      <c r="FK99" s="253"/>
      <c r="FL99" s="253"/>
      <c r="FM99" s="253"/>
      <c r="FN99" s="256"/>
      <c r="FO99" s="257" t="s">
        <v>1270</v>
      </c>
      <c r="FP99" s="258" t="s">
        <v>389</v>
      </c>
      <c r="FQ99" s="258" t="s">
        <v>451</v>
      </c>
      <c r="FR99" s="258" t="s">
        <v>432</v>
      </c>
      <c r="FS99" s="259">
        <f t="shared" si="4"/>
        <v>20</v>
      </c>
      <c r="FT99" s="260" t="s">
        <v>433</v>
      </c>
    </row>
    <row r="100" spans="1:179" s="393" customFormat="1">
      <c r="A100" s="386"/>
      <c r="B100" s="386"/>
      <c r="C100" s="386" t="s">
        <v>411</v>
      </c>
      <c r="D100" s="386" t="s">
        <v>291</v>
      </c>
      <c r="E100" s="387" t="s">
        <v>933</v>
      </c>
      <c r="F100" s="386"/>
      <c r="G100" s="386"/>
      <c r="H100" s="388"/>
      <c r="I100" s="388"/>
      <c r="J100" s="388"/>
      <c r="K100" s="388"/>
      <c r="L100" s="388"/>
      <c r="M100" s="388"/>
      <c r="N100" s="388"/>
      <c r="O100" s="388"/>
      <c r="P100" s="388"/>
      <c r="Q100" s="388"/>
      <c r="R100" s="388"/>
      <c r="S100" s="388"/>
      <c r="T100" s="388"/>
      <c r="U100" s="388"/>
      <c r="V100" s="388"/>
      <c r="W100" s="388"/>
      <c r="X100" s="388"/>
      <c r="Y100" s="388"/>
      <c r="Z100" s="388"/>
      <c r="AA100" s="388"/>
      <c r="AB100" s="388"/>
      <c r="AC100" s="388"/>
      <c r="AD100" s="388"/>
      <c r="AE100" s="388"/>
      <c r="AF100" s="388"/>
      <c r="AG100" s="388"/>
      <c r="AH100" s="388"/>
      <c r="AI100" s="388"/>
      <c r="AJ100" s="388"/>
      <c r="AK100" s="388"/>
      <c r="AL100" s="388"/>
      <c r="AM100" s="388"/>
      <c r="AN100" s="388"/>
      <c r="AO100" s="388"/>
      <c r="AP100" s="388"/>
      <c r="AQ100" s="388"/>
      <c r="AR100" s="388"/>
      <c r="AS100" s="388"/>
      <c r="AT100" s="388"/>
      <c r="AU100" s="388"/>
      <c r="AV100" s="388"/>
      <c r="AW100" s="388"/>
      <c r="AX100" s="388"/>
      <c r="AY100" s="388"/>
      <c r="AZ100" s="388"/>
      <c r="BA100" s="388"/>
      <c r="BB100" s="388"/>
      <c r="BC100" s="388"/>
      <c r="BD100" s="388"/>
      <c r="BE100" s="388"/>
      <c r="BF100" s="388"/>
      <c r="BG100" s="388"/>
      <c r="BH100" s="388"/>
      <c r="BI100" s="388"/>
      <c r="BJ100" s="388"/>
      <c r="BK100" s="388"/>
      <c r="BL100" s="388"/>
      <c r="BM100" s="388"/>
      <c r="BN100" s="388"/>
      <c r="BO100" s="388"/>
      <c r="BP100" s="388"/>
      <c r="BQ100" s="388"/>
      <c r="BR100" s="388"/>
      <c r="BS100" s="388"/>
      <c r="BT100" s="388"/>
      <c r="BU100" s="388"/>
      <c r="BV100" s="388"/>
      <c r="BW100" s="388"/>
      <c r="BX100" s="388"/>
      <c r="BY100" s="388"/>
      <c r="BZ100" s="388"/>
      <c r="CA100" s="388"/>
      <c r="CB100" s="388"/>
      <c r="CC100" s="388"/>
      <c r="CD100" s="388"/>
      <c r="CE100" s="388"/>
      <c r="CF100" s="388"/>
      <c r="CG100" s="388"/>
      <c r="CH100" s="388"/>
      <c r="CI100" s="388"/>
      <c r="CJ100" s="388"/>
      <c r="CK100" s="388"/>
      <c r="CL100" s="388"/>
      <c r="CM100" s="388"/>
      <c r="CN100" s="388"/>
      <c r="CO100" s="388"/>
      <c r="CP100" s="388"/>
      <c r="CQ100" s="388"/>
      <c r="CR100" s="388"/>
      <c r="CS100" s="388"/>
      <c r="CT100" s="388"/>
      <c r="CU100" s="388"/>
      <c r="CV100" s="388"/>
      <c r="CW100" s="388"/>
      <c r="CX100" s="388"/>
      <c r="CY100" s="388"/>
      <c r="CZ100" s="388"/>
      <c r="DA100" s="388"/>
      <c r="DB100" s="388"/>
      <c r="DC100" s="388"/>
      <c r="DD100" s="388"/>
      <c r="DE100" s="388"/>
      <c r="DF100" s="388"/>
      <c r="DG100" s="388"/>
      <c r="DH100" s="388"/>
      <c r="DI100" s="388"/>
      <c r="DJ100" s="388"/>
      <c r="DK100" s="388"/>
      <c r="DL100" s="388"/>
      <c r="DM100" s="388"/>
      <c r="DN100" s="388"/>
      <c r="DO100" s="388"/>
      <c r="DP100" s="388"/>
      <c r="DQ100" s="388"/>
      <c r="DR100" s="388"/>
      <c r="DS100" s="388"/>
      <c r="DT100" s="388"/>
      <c r="DU100" s="388"/>
      <c r="DV100" s="388"/>
      <c r="DW100" s="388"/>
      <c r="DX100" s="388"/>
      <c r="DY100" s="388"/>
      <c r="DZ100" s="388"/>
      <c r="EA100" s="388"/>
      <c r="EB100" s="388"/>
      <c r="EC100" s="388"/>
      <c r="ED100" s="388"/>
      <c r="EE100" s="388"/>
      <c r="EF100" s="388"/>
      <c r="EG100" s="388"/>
      <c r="EH100" s="388"/>
      <c r="EI100" s="388"/>
      <c r="EJ100" s="388"/>
      <c r="EK100" s="388"/>
      <c r="EL100" s="388"/>
      <c r="EM100" s="388"/>
      <c r="EN100" s="388"/>
      <c r="EO100" s="388"/>
      <c r="EP100" s="388"/>
      <c r="EQ100" s="388"/>
      <c r="ER100" s="388"/>
      <c r="ES100" s="388"/>
      <c r="ET100" s="388"/>
      <c r="EU100" s="388"/>
      <c r="EV100" s="388"/>
      <c r="EW100" s="388"/>
      <c r="EX100" s="388"/>
      <c r="EY100" s="388"/>
      <c r="EZ100" s="388"/>
      <c r="FA100" s="388"/>
      <c r="FB100" s="388"/>
      <c r="FC100" s="388"/>
      <c r="FD100" s="388"/>
      <c r="FE100" s="388"/>
      <c r="FF100" s="388"/>
      <c r="FG100" s="388"/>
      <c r="FH100" s="388"/>
      <c r="FI100" s="388"/>
      <c r="FJ100" s="388"/>
      <c r="FK100" s="388"/>
      <c r="FL100" s="388"/>
      <c r="FM100" s="388"/>
      <c r="FN100" s="389"/>
      <c r="FO100" s="390"/>
      <c r="FP100" s="391"/>
      <c r="FQ100" s="391"/>
      <c r="FR100" s="391"/>
      <c r="FS100" s="392">
        <f t="shared" si="4"/>
        <v>0</v>
      </c>
    </row>
    <row r="101" spans="1:179" s="334" customFormat="1">
      <c r="A101" s="326"/>
      <c r="B101" s="326"/>
      <c r="C101" s="326" t="s">
        <v>411</v>
      </c>
      <c r="D101" s="326" t="s">
        <v>1</v>
      </c>
      <c r="E101" s="327" t="s">
        <v>933</v>
      </c>
      <c r="F101" s="326"/>
      <c r="G101" s="326"/>
      <c r="H101" s="328"/>
      <c r="I101" s="328"/>
      <c r="J101" s="328"/>
      <c r="K101" s="328"/>
      <c r="L101" s="328"/>
      <c r="M101" s="328"/>
      <c r="N101" s="328"/>
      <c r="O101" s="328"/>
      <c r="P101" s="328"/>
      <c r="Q101" s="328"/>
      <c r="R101" s="328"/>
      <c r="S101" s="328"/>
      <c r="T101" s="328"/>
      <c r="U101" s="328"/>
      <c r="V101" s="328"/>
      <c r="W101" s="328"/>
      <c r="X101" s="328"/>
      <c r="Y101" s="328"/>
      <c r="Z101" s="328"/>
      <c r="AA101" s="328"/>
      <c r="AB101" s="328"/>
      <c r="AC101" s="328"/>
      <c r="AD101" s="328"/>
      <c r="AE101" s="328"/>
      <c r="AF101" s="328"/>
      <c r="AG101" s="328"/>
      <c r="AH101" s="328"/>
      <c r="AI101" s="328"/>
      <c r="AJ101" s="328"/>
      <c r="AK101" s="328"/>
      <c r="AL101" s="328"/>
      <c r="AM101" s="328"/>
      <c r="AN101" s="328"/>
      <c r="AO101" s="328"/>
      <c r="AP101" s="328"/>
      <c r="AQ101" s="328"/>
      <c r="AR101" s="328"/>
      <c r="AS101" s="328"/>
      <c r="AT101" s="328"/>
      <c r="AU101" s="328"/>
      <c r="AV101" s="328"/>
      <c r="AW101" s="328"/>
      <c r="AX101" s="328"/>
      <c r="AY101" s="328"/>
      <c r="AZ101" s="328"/>
      <c r="BA101" s="328"/>
      <c r="BB101" s="328"/>
      <c r="BC101" s="328"/>
      <c r="BD101" s="328"/>
      <c r="BE101" s="328"/>
      <c r="BF101" s="328"/>
      <c r="BG101" s="328"/>
      <c r="BH101" s="328">
        <v>90</v>
      </c>
      <c r="BI101" s="328">
        <v>10</v>
      </c>
      <c r="BJ101" s="328">
        <v>60</v>
      </c>
      <c r="BK101" s="328">
        <v>400</v>
      </c>
      <c r="BL101" s="328">
        <v>22</v>
      </c>
      <c r="BM101" s="328"/>
      <c r="BN101" s="328">
        <v>5</v>
      </c>
      <c r="BO101" s="328"/>
      <c r="BP101" s="328">
        <v>5</v>
      </c>
      <c r="BQ101" s="328"/>
      <c r="BR101" s="328">
        <v>10</v>
      </c>
      <c r="BS101" s="328">
        <v>3</v>
      </c>
      <c r="BT101" s="328">
        <v>20</v>
      </c>
      <c r="BU101" s="328">
        <v>2</v>
      </c>
      <c r="BV101" s="328">
        <v>30</v>
      </c>
      <c r="BW101" s="328">
        <v>70</v>
      </c>
      <c r="BX101" s="328">
        <v>40</v>
      </c>
      <c r="BY101" s="328">
        <v>200</v>
      </c>
      <c r="BZ101" s="328">
        <v>50</v>
      </c>
      <c r="CA101" s="328">
        <v>15</v>
      </c>
      <c r="CB101" s="328"/>
      <c r="CC101" s="328"/>
      <c r="CD101" s="328">
        <v>15</v>
      </c>
      <c r="CE101" s="328">
        <v>70</v>
      </c>
      <c r="CF101" s="328"/>
      <c r="CG101" s="328">
        <v>30</v>
      </c>
      <c r="CH101" s="328"/>
      <c r="CI101" s="328">
        <v>30</v>
      </c>
      <c r="CJ101" s="328"/>
      <c r="CK101" s="328"/>
      <c r="CL101" s="328"/>
      <c r="CM101" s="328"/>
      <c r="CN101" s="328"/>
      <c r="CO101" s="328"/>
      <c r="CP101" s="328"/>
      <c r="CQ101" s="328"/>
      <c r="CR101" s="328"/>
      <c r="CS101" s="328"/>
      <c r="CT101" s="328">
        <v>2</v>
      </c>
      <c r="CU101" s="328">
        <v>8</v>
      </c>
      <c r="CV101" s="328"/>
      <c r="CW101" s="328"/>
      <c r="CX101" s="328"/>
      <c r="CY101" s="328">
        <v>45</v>
      </c>
      <c r="CZ101" s="328"/>
      <c r="DA101" s="328"/>
      <c r="DB101" s="328"/>
      <c r="DC101" s="328"/>
      <c r="DD101" s="328"/>
      <c r="DE101" s="328"/>
      <c r="DF101" s="328">
        <v>5</v>
      </c>
      <c r="DG101" s="328"/>
      <c r="DH101" s="328"/>
      <c r="DI101" s="328"/>
      <c r="DJ101" s="328"/>
      <c r="DK101" s="328"/>
      <c r="DL101" s="328">
        <v>30</v>
      </c>
      <c r="DM101" s="328"/>
      <c r="DN101" s="328">
        <v>100</v>
      </c>
      <c r="DO101" s="328"/>
      <c r="DP101" s="328"/>
      <c r="DQ101" s="328"/>
      <c r="DR101" s="328"/>
      <c r="DS101" s="328"/>
      <c r="DT101" s="328"/>
      <c r="DU101" s="328"/>
      <c r="DV101" s="328"/>
      <c r="DW101" s="328"/>
      <c r="DX101" s="328"/>
      <c r="DY101" s="328"/>
      <c r="DZ101" s="328"/>
      <c r="EA101" s="328"/>
      <c r="EB101" s="328"/>
      <c r="EC101" s="328"/>
      <c r="ED101" s="328"/>
      <c r="EE101" s="328"/>
      <c r="EF101" s="328"/>
      <c r="EG101" s="328"/>
      <c r="EH101" s="328"/>
      <c r="EI101" s="328"/>
      <c r="EJ101" s="328"/>
      <c r="EK101" s="328">
        <v>25</v>
      </c>
      <c r="EL101" s="328"/>
      <c r="EM101" s="328"/>
      <c r="EN101" s="328"/>
      <c r="EO101" s="328"/>
      <c r="EP101" s="328"/>
      <c r="EQ101" s="328"/>
      <c r="ER101" s="328">
        <v>15</v>
      </c>
      <c r="ES101" s="328"/>
      <c r="ET101" s="328">
        <v>4</v>
      </c>
      <c r="EU101" s="328"/>
      <c r="EV101" s="328"/>
      <c r="EW101" s="328"/>
      <c r="EX101" s="328"/>
      <c r="EY101" s="328"/>
      <c r="EZ101" s="328"/>
      <c r="FA101" s="328"/>
      <c r="FB101" s="328"/>
      <c r="FC101" s="328"/>
      <c r="FD101" s="328"/>
      <c r="FE101" s="328"/>
      <c r="FF101" s="328"/>
      <c r="FG101" s="328"/>
      <c r="FH101" s="328"/>
      <c r="FI101" s="328"/>
      <c r="FJ101" s="328"/>
      <c r="FK101" s="328"/>
      <c r="FL101" s="328"/>
      <c r="FM101" s="328"/>
      <c r="FN101" s="330"/>
      <c r="FO101" s="331"/>
      <c r="FP101" s="332"/>
      <c r="FQ101" s="332"/>
      <c r="FR101" s="332"/>
      <c r="FS101" s="333">
        <f t="shared" si="4"/>
        <v>1411</v>
      </c>
    </row>
    <row r="102" spans="1:179" s="371" customFormat="1">
      <c r="A102" s="365"/>
      <c r="B102" s="365"/>
      <c r="C102" s="365" t="s">
        <v>411</v>
      </c>
      <c r="D102" s="365" t="s">
        <v>293</v>
      </c>
      <c r="E102" s="366" t="s">
        <v>933</v>
      </c>
      <c r="F102" s="365"/>
      <c r="G102" s="365"/>
      <c r="H102" s="351"/>
      <c r="I102" s="351"/>
      <c r="J102" s="351"/>
      <c r="K102" s="351"/>
      <c r="L102" s="351"/>
      <c r="M102" s="351"/>
      <c r="N102" s="351"/>
      <c r="O102" s="351"/>
      <c r="P102" s="351"/>
      <c r="Q102" s="351"/>
      <c r="R102" s="351"/>
      <c r="S102" s="351"/>
      <c r="T102" s="351"/>
      <c r="U102" s="351"/>
      <c r="V102" s="351"/>
      <c r="W102" s="351"/>
      <c r="X102" s="351"/>
      <c r="Y102" s="351"/>
      <c r="Z102" s="351"/>
      <c r="AA102" s="351"/>
      <c r="AB102" s="351"/>
      <c r="AC102" s="351"/>
      <c r="AD102" s="351"/>
      <c r="AE102" s="351"/>
      <c r="AF102" s="351"/>
      <c r="AG102" s="351"/>
      <c r="AH102" s="351"/>
      <c r="AI102" s="351"/>
      <c r="AJ102" s="351"/>
      <c r="AK102" s="351"/>
      <c r="AL102" s="351"/>
      <c r="AM102" s="351"/>
      <c r="AN102" s="351"/>
      <c r="AO102" s="351"/>
      <c r="AP102" s="351"/>
      <c r="AQ102" s="351"/>
      <c r="AR102" s="351"/>
      <c r="AS102" s="351"/>
      <c r="AT102" s="351"/>
      <c r="AU102" s="351"/>
      <c r="AV102" s="351"/>
      <c r="AW102" s="351"/>
      <c r="AX102" s="351"/>
      <c r="AY102" s="351"/>
      <c r="AZ102" s="351"/>
      <c r="BA102" s="351"/>
      <c r="BB102" s="351"/>
      <c r="BC102" s="351"/>
      <c r="BD102" s="351"/>
      <c r="BE102" s="351"/>
      <c r="BF102" s="351"/>
      <c r="BG102" s="351"/>
      <c r="BH102" s="351"/>
      <c r="BI102" s="351"/>
      <c r="BJ102" s="351"/>
      <c r="BK102" s="351"/>
      <c r="BL102" s="351"/>
      <c r="BM102" s="351"/>
      <c r="BN102" s="351"/>
      <c r="BO102" s="351"/>
      <c r="BP102" s="351"/>
      <c r="BQ102" s="351"/>
      <c r="BR102" s="351"/>
      <c r="BS102" s="351"/>
      <c r="BT102" s="351"/>
      <c r="BU102" s="351"/>
      <c r="BV102" s="351"/>
      <c r="BW102" s="351"/>
      <c r="BX102" s="351"/>
      <c r="BY102" s="351"/>
      <c r="BZ102" s="351"/>
      <c r="CA102" s="351"/>
      <c r="CB102" s="351"/>
      <c r="CC102" s="351"/>
      <c r="CD102" s="351"/>
      <c r="CE102" s="351"/>
      <c r="CF102" s="351"/>
      <c r="CG102" s="351"/>
      <c r="CH102" s="351"/>
      <c r="CI102" s="351"/>
      <c r="CJ102" s="351"/>
      <c r="CK102" s="351"/>
      <c r="CL102" s="351"/>
      <c r="CM102" s="351"/>
      <c r="CN102" s="351"/>
      <c r="CO102" s="351"/>
      <c r="CP102" s="351"/>
      <c r="CQ102" s="351"/>
      <c r="CR102" s="351"/>
      <c r="CS102" s="351"/>
      <c r="CT102" s="351"/>
      <c r="CU102" s="351"/>
      <c r="CV102" s="351"/>
      <c r="CW102" s="351"/>
      <c r="CX102" s="351"/>
      <c r="CY102" s="351"/>
      <c r="CZ102" s="351">
        <v>11</v>
      </c>
      <c r="DA102" s="351"/>
      <c r="DB102" s="351"/>
      <c r="DC102" s="351"/>
      <c r="DD102" s="351"/>
      <c r="DE102" s="351"/>
      <c r="DF102" s="351"/>
      <c r="DG102" s="351"/>
      <c r="DH102" s="351"/>
      <c r="DI102" s="351"/>
      <c r="DJ102" s="351"/>
      <c r="DK102" s="351"/>
      <c r="DL102" s="351"/>
      <c r="DM102" s="351"/>
      <c r="DN102" s="351"/>
      <c r="DO102" s="351"/>
      <c r="DP102" s="351"/>
      <c r="DQ102" s="351"/>
      <c r="DR102" s="351"/>
      <c r="DS102" s="351"/>
      <c r="DT102" s="351"/>
      <c r="DU102" s="351"/>
      <c r="DV102" s="351"/>
      <c r="DW102" s="351"/>
      <c r="DX102" s="351"/>
      <c r="DY102" s="351"/>
      <c r="DZ102" s="351"/>
      <c r="EA102" s="351"/>
      <c r="EB102" s="351"/>
      <c r="EC102" s="351"/>
      <c r="ED102" s="351"/>
      <c r="EE102" s="351"/>
      <c r="EF102" s="351"/>
      <c r="EG102" s="351"/>
      <c r="EH102" s="351"/>
      <c r="EI102" s="351"/>
      <c r="EJ102" s="351"/>
      <c r="EK102" s="351"/>
      <c r="EL102" s="351"/>
      <c r="EM102" s="351"/>
      <c r="EN102" s="351"/>
      <c r="EO102" s="351"/>
      <c r="EP102" s="351"/>
      <c r="EQ102" s="351"/>
      <c r="ER102" s="351"/>
      <c r="ES102" s="351"/>
      <c r="ET102" s="351"/>
      <c r="EU102" s="351"/>
      <c r="EV102" s="351"/>
      <c r="EW102" s="351"/>
      <c r="EX102" s="351"/>
      <c r="EY102" s="351"/>
      <c r="EZ102" s="351"/>
      <c r="FA102" s="351"/>
      <c r="FB102" s="351"/>
      <c r="FC102" s="351"/>
      <c r="FD102" s="351"/>
      <c r="FE102" s="351"/>
      <c r="FF102" s="351"/>
      <c r="FG102" s="351"/>
      <c r="FH102" s="351"/>
      <c r="FI102" s="351"/>
      <c r="FJ102" s="351"/>
      <c r="FK102" s="351"/>
      <c r="FL102" s="351"/>
      <c r="FM102" s="351"/>
      <c r="FN102" s="394"/>
      <c r="FO102" s="368"/>
      <c r="FP102" s="369"/>
      <c r="FQ102" s="369"/>
      <c r="FR102" s="369"/>
      <c r="FS102" s="370">
        <f t="shared" si="4"/>
        <v>11</v>
      </c>
    </row>
    <row r="103" spans="1:179" s="384" customFormat="1" hidden="1">
      <c r="A103" s="379"/>
      <c r="B103" s="380"/>
      <c r="C103" s="380"/>
      <c r="D103" s="380"/>
      <c r="E103" s="381" t="s">
        <v>994</v>
      </c>
      <c r="F103" s="381"/>
      <c r="G103" s="382"/>
      <c r="H103" s="382">
        <f t="shared" ref="H103:BS103" si="7">SUM(H7:H102)</f>
        <v>19</v>
      </c>
      <c r="I103" s="382">
        <f t="shared" si="7"/>
        <v>0</v>
      </c>
      <c r="J103" s="382">
        <f t="shared" si="7"/>
        <v>0</v>
      </c>
      <c r="K103" s="382">
        <f t="shared" si="7"/>
        <v>0</v>
      </c>
      <c r="L103" s="382">
        <f t="shared" si="7"/>
        <v>1960</v>
      </c>
      <c r="M103" s="382">
        <f t="shared" si="7"/>
        <v>0</v>
      </c>
      <c r="N103" s="382">
        <f t="shared" si="7"/>
        <v>0</v>
      </c>
      <c r="O103" s="382">
        <f t="shared" si="7"/>
        <v>0</v>
      </c>
      <c r="P103" s="382">
        <f t="shared" si="7"/>
        <v>0</v>
      </c>
      <c r="Q103" s="382">
        <f t="shared" si="7"/>
        <v>0</v>
      </c>
      <c r="R103" s="382">
        <f t="shared" si="7"/>
        <v>0</v>
      </c>
      <c r="S103" s="382">
        <f t="shared" si="7"/>
        <v>0</v>
      </c>
      <c r="T103" s="382">
        <f t="shared" si="7"/>
        <v>0</v>
      </c>
      <c r="U103" s="382">
        <f t="shared" si="7"/>
        <v>0</v>
      </c>
      <c r="V103" s="382">
        <f t="shared" si="7"/>
        <v>0</v>
      </c>
      <c r="W103" s="382">
        <f t="shared" si="7"/>
        <v>40</v>
      </c>
      <c r="X103" s="382">
        <f t="shared" si="7"/>
        <v>0</v>
      </c>
      <c r="Y103" s="382">
        <f t="shared" si="7"/>
        <v>0</v>
      </c>
      <c r="Z103" s="382">
        <f t="shared" si="7"/>
        <v>0</v>
      </c>
      <c r="AA103" s="382">
        <f t="shared" si="7"/>
        <v>0</v>
      </c>
      <c r="AB103" s="382">
        <f t="shared" si="7"/>
        <v>0</v>
      </c>
      <c r="AC103" s="382">
        <f t="shared" si="7"/>
        <v>160</v>
      </c>
      <c r="AD103" s="382">
        <f t="shared" si="7"/>
        <v>0</v>
      </c>
      <c r="AE103" s="382">
        <f t="shared" si="7"/>
        <v>60</v>
      </c>
      <c r="AF103" s="382">
        <f t="shared" si="7"/>
        <v>0</v>
      </c>
      <c r="AG103" s="382">
        <f t="shared" si="7"/>
        <v>10</v>
      </c>
      <c r="AH103" s="382">
        <f t="shared" si="7"/>
        <v>0</v>
      </c>
      <c r="AI103" s="382">
        <f t="shared" si="7"/>
        <v>0</v>
      </c>
      <c r="AJ103" s="382">
        <f t="shared" si="7"/>
        <v>0</v>
      </c>
      <c r="AK103" s="382">
        <f t="shared" si="7"/>
        <v>0</v>
      </c>
      <c r="AL103" s="382">
        <f t="shared" si="7"/>
        <v>20</v>
      </c>
      <c r="AM103" s="382">
        <f t="shared" si="7"/>
        <v>0</v>
      </c>
      <c r="AN103" s="382">
        <f t="shared" si="7"/>
        <v>120</v>
      </c>
      <c r="AO103" s="382">
        <f t="shared" si="7"/>
        <v>20</v>
      </c>
      <c r="AP103" s="382">
        <f t="shared" si="7"/>
        <v>0</v>
      </c>
      <c r="AQ103" s="382">
        <f t="shared" si="7"/>
        <v>159</v>
      </c>
      <c r="AR103" s="382">
        <f t="shared" si="7"/>
        <v>91</v>
      </c>
      <c r="AS103" s="382">
        <f t="shared" si="7"/>
        <v>720</v>
      </c>
      <c r="AT103" s="382">
        <f t="shared" si="7"/>
        <v>0</v>
      </c>
      <c r="AU103" s="382">
        <f t="shared" si="7"/>
        <v>0</v>
      </c>
      <c r="AV103" s="382">
        <f t="shared" si="7"/>
        <v>0</v>
      </c>
      <c r="AW103" s="382">
        <f t="shared" si="7"/>
        <v>0</v>
      </c>
      <c r="AX103" s="382">
        <f t="shared" si="7"/>
        <v>480</v>
      </c>
      <c r="AY103" s="382">
        <f t="shared" si="7"/>
        <v>0</v>
      </c>
      <c r="AZ103" s="382">
        <f t="shared" si="7"/>
        <v>0</v>
      </c>
      <c r="BA103" s="382">
        <f t="shared" si="7"/>
        <v>0</v>
      </c>
      <c r="BB103" s="382">
        <f t="shared" si="7"/>
        <v>5140</v>
      </c>
      <c r="BC103" s="382">
        <f t="shared" si="7"/>
        <v>78</v>
      </c>
      <c r="BD103" s="382">
        <f t="shared" si="7"/>
        <v>0</v>
      </c>
      <c r="BE103" s="382">
        <f t="shared" si="7"/>
        <v>0</v>
      </c>
      <c r="BF103" s="382">
        <f t="shared" si="7"/>
        <v>0</v>
      </c>
      <c r="BG103" s="382">
        <f t="shared" si="7"/>
        <v>0</v>
      </c>
      <c r="BH103" s="382">
        <f t="shared" si="7"/>
        <v>990</v>
      </c>
      <c r="BI103" s="382">
        <f t="shared" si="7"/>
        <v>10</v>
      </c>
      <c r="BJ103" s="382">
        <f t="shared" si="7"/>
        <v>60</v>
      </c>
      <c r="BK103" s="382">
        <f t="shared" si="7"/>
        <v>3640</v>
      </c>
      <c r="BL103" s="382">
        <f t="shared" si="7"/>
        <v>22</v>
      </c>
      <c r="BM103" s="382">
        <f t="shared" si="7"/>
        <v>0</v>
      </c>
      <c r="BN103" s="382">
        <f t="shared" si="7"/>
        <v>35</v>
      </c>
      <c r="BO103" s="382">
        <f t="shared" si="7"/>
        <v>0</v>
      </c>
      <c r="BP103" s="382">
        <f t="shared" si="7"/>
        <v>5</v>
      </c>
      <c r="BQ103" s="382">
        <f t="shared" si="7"/>
        <v>0</v>
      </c>
      <c r="BR103" s="382">
        <f t="shared" si="7"/>
        <v>40</v>
      </c>
      <c r="BS103" s="382">
        <f t="shared" si="7"/>
        <v>3</v>
      </c>
      <c r="BT103" s="382">
        <f t="shared" ref="BT103:EE103" si="8">SUM(BT7:BT102)</f>
        <v>90</v>
      </c>
      <c r="BU103" s="382">
        <f t="shared" si="8"/>
        <v>2</v>
      </c>
      <c r="BV103" s="382">
        <f t="shared" si="8"/>
        <v>1400</v>
      </c>
      <c r="BW103" s="382">
        <f t="shared" si="8"/>
        <v>70</v>
      </c>
      <c r="BX103" s="382">
        <f t="shared" si="8"/>
        <v>40</v>
      </c>
      <c r="BY103" s="382">
        <f t="shared" si="8"/>
        <v>2120</v>
      </c>
      <c r="BZ103" s="382">
        <f t="shared" si="8"/>
        <v>760</v>
      </c>
      <c r="CA103" s="382">
        <f t="shared" si="8"/>
        <v>15</v>
      </c>
      <c r="CB103" s="382">
        <f t="shared" si="8"/>
        <v>0</v>
      </c>
      <c r="CC103" s="382">
        <f t="shared" si="8"/>
        <v>0</v>
      </c>
      <c r="CD103" s="382">
        <f t="shared" si="8"/>
        <v>655</v>
      </c>
      <c r="CE103" s="382">
        <f t="shared" si="8"/>
        <v>70</v>
      </c>
      <c r="CF103" s="382">
        <f t="shared" si="8"/>
        <v>0</v>
      </c>
      <c r="CG103" s="382">
        <f t="shared" si="8"/>
        <v>800</v>
      </c>
      <c r="CH103" s="382">
        <f t="shared" si="8"/>
        <v>0</v>
      </c>
      <c r="CI103" s="382">
        <f t="shared" si="8"/>
        <v>155</v>
      </c>
      <c r="CJ103" s="382">
        <f t="shared" si="8"/>
        <v>0</v>
      </c>
      <c r="CK103" s="382">
        <f t="shared" si="8"/>
        <v>0</v>
      </c>
      <c r="CL103" s="382">
        <f t="shared" si="8"/>
        <v>0</v>
      </c>
      <c r="CM103" s="382">
        <f t="shared" si="8"/>
        <v>0</v>
      </c>
      <c r="CN103" s="382">
        <f t="shared" si="8"/>
        <v>0</v>
      </c>
      <c r="CO103" s="382">
        <f t="shared" si="8"/>
        <v>0</v>
      </c>
      <c r="CP103" s="382">
        <f t="shared" si="8"/>
        <v>40</v>
      </c>
      <c r="CQ103" s="382">
        <f t="shared" si="8"/>
        <v>0</v>
      </c>
      <c r="CR103" s="382">
        <f t="shared" si="8"/>
        <v>0</v>
      </c>
      <c r="CS103" s="382">
        <f t="shared" si="8"/>
        <v>0</v>
      </c>
      <c r="CT103" s="382">
        <f t="shared" si="8"/>
        <v>24</v>
      </c>
      <c r="CU103" s="382">
        <f t="shared" si="8"/>
        <v>90</v>
      </c>
      <c r="CV103" s="382">
        <f t="shared" si="8"/>
        <v>0</v>
      </c>
      <c r="CW103" s="382">
        <f t="shared" si="8"/>
        <v>0</v>
      </c>
      <c r="CX103" s="382">
        <f t="shared" si="8"/>
        <v>0</v>
      </c>
      <c r="CY103" s="382">
        <f t="shared" si="8"/>
        <v>470</v>
      </c>
      <c r="CZ103" s="382">
        <f t="shared" si="8"/>
        <v>30</v>
      </c>
      <c r="DA103" s="382">
        <f t="shared" si="8"/>
        <v>0</v>
      </c>
      <c r="DB103" s="382">
        <f t="shared" si="8"/>
        <v>0</v>
      </c>
      <c r="DC103" s="382">
        <f t="shared" si="8"/>
        <v>0</v>
      </c>
      <c r="DD103" s="382">
        <f t="shared" si="8"/>
        <v>3</v>
      </c>
      <c r="DE103" s="382">
        <f t="shared" si="8"/>
        <v>0</v>
      </c>
      <c r="DF103" s="382">
        <f t="shared" si="8"/>
        <v>5</v>
      </c>
      <c r="DG103" s="382">
        <f t="shared" si="8"/>
        <v>0</v>
      </c>
      <c r="DH103" s="382">
        <f t="shared" si="8"/>
        <v>0</v>
      </c>
      <c r="DI103" s="382">
        <f t="shared" si="8"/>
        <v>0</v>
      </c>
      <c r="DJ103" s="382">
        <f t="shared" si="8"/>
        <v>0</v>
      </c>
      <c r="DK103" s="382">
        <f t="shared" si="8"/>
        <v>0</v>
      </c>
      <c r="DL103" s="382">
        <f t="shared" si="8"/>
        <v>190</v>
      </c>
      <c r="DM103" s="382">
        <f t="shared" si="8"/>
        <v>0</v>
      </c>
      <c r="DN103" s="382">
        <f t="shared" si="8"/>
        <v>510</v>
      </c>
      <c r="DO103" s="382">
        <f t="shared" si="8"/>
        <v>0</v>
      </c>
      <c r="DP103" s="382">
        <f t="shared" si="8"/>
        <v>0</v>
      </c>
      <c r="DQ103" s="382">
        <f t="shared" si="8"/>
        <v>0</v>
      </c>
      <c r="DR103" s="382">
        <f t="shared" si="8"/>
        <v>8</v>
      </c>
      <c r="DS103" s="382">
        <f t="shared" si="8"/>
        <v>3150</v>
      </c>
      <c r="DT103" s="382">
        <f t="shared" si="8"/>
        <v>0</v>
      </c>
      <c r="DU103" s="382">
        <f t="shared" si="8"/>
        <v>0</v>
      </c>
      <c r="DV103" s="382">
        <f t="shared" si="8"/>
        <v>0</v>
      </c>
      <c r="DW103" s="382">
        <f t="shared" si="8"/>
        <v>0</v>
      </c>
      <c r="DX103" s="382">
        <f t="shared" si="8"/>
        <v>14</v>
      </c>
      <c r="DY103" s="382">
        <f t="shared" si="8"/>
        <v>0</v>
      </c>
      <c r="DZ103" s="382">
        <f t="shared" si="8"/>
        <v>0</v>
      </c>
      <c r="EA103" s="382">
        <f t="shared" si="8"/>
        <v>0</v>
      </c>
      <c r="EB103" s="382">
        <f t="shared" si="8"/>
        <v>0</v>
      </c>
      <c r="EC103" s="382">
        <f t="shared" si="8"/>
        <v>0</v>
      </c>
      <c r="ED103" s="382">
        <f t="shared" si="8"/>
        <v>0</v>
      </c>
      <c r="EE103" s="382">
        <f t="shared" si="8"/>
        <v>0</v>
      </c>
      <c r="EF103" s="382">
        <f t="shared" ref="EF103:FD103" si="9">SUM(EF7:EF102)</f>
        <v>0</v>
      </c>
      <c r="EG103" s="382">
        <f t="shared" si="9"/>
        <v>0</v>
      </c>
      <c r="EH103" s="382">
        <f t="shared" si="9"/>
        <v>0</v>
      </c>
      <c r="EI103" s="382">
        <f t="shared" si="9"/>
        <v>0</v>
      </c>
      <c r="EJ103" s="382">
        <f t="shared" si="9"/>
        <v>0</v>
      </c>
      <c r="EK103" s="382">
        <f t="shared" si="9"/>
        <v>25</v>
      </c>
      <c r="EL103" s="382">
        <f t="shared" si="9"/>
        <v>0</v>
      </c>
      <c r="EM103" s="382">
        <f t="shared" si="9"/>
        <v>0</v>
      </c>
      <c r="EN103" s="382">
        <f t="shared" si="9"/>
        <v>0</v>
      </c>
      <c r="EO103" s="382">
        <f t="shared" si="9"/>
        <v>0</v>
      </c>
      <c r="EP103" s="382">
        <f t="shared" si="9"/>
        <v>40</v>
      </c>
      <c r="EQ103" s="382">
        <f t="shared" si="9"/>
        <v>0</v>
      </c>
      <c r="ER103" s="382">
        <f t="shared" si="9"/>
        <v>35</v>
      </c>
      <c r="ES103" s="382">
        <f t="shared" si="9"/>
        <v>80</v>
      </c>
      <c r="ET103" s="382">
        <f t="shared" si="9"/>
        <v>4</v>
      </c>
      <c r="EU103" s="382">
        <f t="shared" si="9"/>
        <v>0</v>
      </c>
      <c r="EV103" s="382">
        <f t="shared" si="9"/>
        <v>0</v>
      </c>
      <c r="EW103" s="382">
        <f t="shared" si="9"/>
        <v>1</v>
      </c>
      <c r="EX103" s="382">
        <f t="shared" si="9"/>
        <v>0</v>
      </c>
      <c r="EY103" s="382">
        <f t="shared" si="9"/>
        <v>0</v>
      </c>
      <c r="EZ103" s="382">
        <f t="shared" si="9"/>
        <v>5</v>
      </c>
      <c r="FA103" s="382">
        <f t="shared" si="9"/>
        <v>20</v>
      </c>
      <c r="FB103" s="382">
        <f t="shared" si="9"/>
        <v>0</v>
      </c>
      <c r="FC103" s="382">
        <f t="shared" si="9"/>
        <v>0</v>
      </c>
      <c r="FD103" s="382">
        <f t="shared" si="9"/>
        <v>4</v>
      </c>
      <c r="FE103" s="382">
        <f>SUM(FE7:FE102)</f>
        <v>0</v>
      </c>
      <c r="FF103" s="382">
        <f t="shared" ref="FF103:FS103" si="10">SUM(FF7:FF102)</f>
        <v>0</v>
      </c>
      <c r="FG103" s="382">
        <f t="shared" si="10"/>
        <v>0</v>
      </c>
      <c r="FH103" s="382">
        <f t="shared" si="10"/>
        <v>0</v>
      </c>
      <c r="FI103" s="382">
        <f t="shared" si="10"/>
        <v>0</v>
      </c>
      <c r="FJ103" s="382">
        <f t="shared" si="10"/>
        <v>0</v>
      </c>
      <c r="FK103" s="382">
        <f t="shared" si="10"/>
        <v>0</v>
      </c>
      <c r="FL103" s="382">
        <f t="shared" si="10"/>
        <v>0</v>
      </c>
      <c r="FM103" s="382">
        <f t="shared" si="10"/>
        <v>0</v>
      </c>
      <c r="FN103" s="382">
        <f t="shared" si="10"/>
        <v>0</v>
      </c>
      <c r="FO103" s="382">
        <f t="shared" si="10"/>
        <v>0</v>
      </c>
      <c r="FP103" s="382">
        <f t="shared" si="10"/>
        <v>0</v>
      </c>
      <c r="FQ103" s="382">
        <f t="shared" si="10"/>
        <v>0</v>
      </c>
      <c r="FR103" s="382">
        <f t="shared" si="10"/>
        <v>0</v>
      </c>
      <c r="FS103" s="382">
        <f t="shared" si="10"/>
        <v>24807</v>
      </c>
      <c r="FT103" s="383"/>
      <c r="FU103" s="383"/>
      <c r="FV103" s="383"/>
      <c r="FW103" s="383"/>
    </row>
    <row r="106" spans="1:179">
      <c r="E106" s="194" t="s">
        <v>770</v>
      </c>
      <c r="BH106" s="273">
        <v>60</v>
      </c>
      <c r="BJ106" s="273">
        <v>50</v>
      </c>
      <c r="BK106" s="273">
        <v>280</v>
      </c>
      <c r="BL106" s="273">
        <v>15</v>
      </c>
      <c r="BN106" s="273">
        <v>3</v>
      </c>
      <c r="BP106" s="273">
        <v>3</v>
      </c>
      <c r="BR106" s="273">
        <v>5</v>
      </c>
      <c r="BS106" s="273">
        <v>3</v>
      </c>
      <c r="BT106" s="273">
        <v>10</v>
      </c>
      <c r="BU106" s="273">
        <v>2</v>
      </c>
      <c r="BV106" s="273">
        <v>20</v>
      </c>
      <c r="BW106" s="273">
        <v>50</v>
      </c>
      <c r="BX106" s="273">
        <v>30</v>
      </c>
      <c r="BY106" s="273">
        <v>100</v>
      </c>
      <c r="BZ106" s="273">
        <v>30</v>
      </c>
      <c r="CA106" s="273">
        <v>10</v>
      </c>
      <c r="CD106" s="273">
        <v>10</v>
      </c>
      <c r="CE106" s="273">
        <v>50</v>
      </c>
      <c r="CG106" s="273">
        <v>20</v>
      </c>
      <c r="CI106" s="273">
        <v>25</v>
      </c>
      <c r="CU106" s="273">
        <v>8</v>
      </c>
      <c r="CY106" s="273">
        <v>30</v>
      </c>
      <c r="CZ106" s="273">
        <v>6</v>
      </c>
      <c r="DF106" s="273">
        <v>3</v>
      </c>
      <c r="DL106" s="273">
        <v>20</v>
      </c>
      <c r="DN106" s="273">
        <v>70</v>
      </c>
      <c r="EK106" s="273">
        <v>15</v>
      </c>
      <c r="ER106" s="273">
        <v>10</v>
      </c>
      <c r="ET106" s="273">
        <v>4</v>
      </c>
      <c r="FS106" s="273">
        <f t="shared" ref="FS106:FS111" si="11">SUM(H106:FM106)</f>
        <v>942</v>
      </c>
    </row>
    <row r="107" spans="1:179">
      <c r="E107" s="194" t="s">
        <v>769</v>
      </c>
      <c r="BH107" s="273">
        <v>5</v>
      </c>
      <c r="BJ107" s="273">
        <v>5</v>
      </c>
      <c r="BK107" s="273">
        <v>30</v>
      </c>
      <c r="BL107" s="273">
        <v>2</v>
      </c>
      <c r="BR107" s="273">
        <v>2</v>
      </c>
      <c r="BT107" s="273">
        <v>2</v>
      </c>
      <c r="BV107" s="273">
        <v>2</v>
      </c>
      <c r="BW107" s="273">
        <v>5</v>
      </c>
      <c r="BY107" s="273">
        <v>50</v>
      </c>
      <c r="BZ107" s="273">
        <v>5</v>
      </c>
      <c r="CA107" s="273">
        <v>1</v>
      </c>
      <c r="CD107" s="273">
        <v>1</v>
      </c>
      <c r="CE107" s="273">
        <v>5</v>
      </c>
      <c r="CG107" s="273">
        <v>2</v>
      </c>
      <c r="CI107" s="273">
        <v>5</v>
      </c>
      <c r="CY107" s="273">
        <v>4</v>
      </c>
      <c r="CZ107" s="273">
        <v>5</v>
      </c>
      <c r="DL107" s="273">
        <v>2</v>
      </c>
      <c r="DN107" s="273">
        <v>6</v>
      </c>
      <c r="EK107" s="273">
        <v>5</v>
      </c>
      <c r="ER107" s="273">
        <v>3</v>
      </c>
      <c r="FS107" s="273">
        <f t="shared" si="11"/>
        <v>147</v>
      </c>
    </row>
    <row r="108" spans="1:179">
      <c r="E108" s="194" t="s">
        <v>768</v>
      </c>
      <c r="BH108" s="273">
        <v>10</v>
      </c>
      <c r="BJ108" s="273">
        <v>5</v>
      </c>
      <c r="BK108" s="273">
        <v>30</v>
      </c>
      <c r="BL108" s="273">
        <v>2</v>
      </c>
      <c r="BN108" s="273">
        <v>1</v>
      </c>
      <c r="BP108" s="273">
        <v>1</v>
      </c>
      <c r="BR108" s="273">
        <v>1</v>
      </c>
      <c r="BT108" s="273">
        <v>3</v>
      </c>
      <c r="BV108" s="273">
        <v>3</v>
      </c>
      <c r="BW108" s="273">
        <v>5</v>
      </c>
      <c r="BX108" s="273">
        <v>5</v>
      </c>
      <c r="BY108" s="273">
        <v>20</v>
      </c>
      <c r="BZ108" s="273">
        <v>5</v>
      </c>
      <c r="CA108" s="273">
        <v>2</v>
      </c>
      <c r="CD108" s="273">
        <v>2</v>
      </c>
      <c r="CE108" s="273">
        <v>5</v>
      </c>
      <c r="CG108" s="273">
        <v>3</v>
      </c>
      <c r="CT108" s="273">
        <v>2</v>
      </c>
      <c r="CY108" s="273">
        <v>4</v>
      </c>
      <c r="DF108" s="273">
        <v>1</v>
      </c>
      <c r="DL108" s="273">
        <v>3</v>
      </c>
      <c r="DN108" s="273">
        <v>10</v>
      </c>
      <c r="EK108" s="273">
        <v>5</v>
      </c>
      <c r="ER108" s="273">
        <v>2</v>
      </c>
      <c r="FS108" s="273">
        <f t="shared" si="11"/>
        <v>130</v>
      </c>
    </row>
    <row r="109" spans="1:179">
      <c r="E109" s="194" t="s">
        <v>766</v>
      </c>
      <c r="BH109" s="273">
        <v>10</v>
      </c>
      <c r="BI109" s="273">
        <v>5</v>
      </c>
      <c r="BK109" s="273">
        <v>40</v>
      </c>
      <c r="BL109" s="273">
        <v>2</v>
      </c>
      <c r="BN109" s="273">
        <v>1</v>
      </c>
      <c r="BP109" s="273">
        <v>1</v>
      </c>
      <c r="BR109" s="273">
        <v>1</v>
      </c>
      <c r="BT109" s="273">
        <v>3</v>
      </c>
      <c r="BV109" s="273">
        <v>3</v>
      </c>
      <c r="BW109" s="273">
        <v>5</v>
      </c>
      <c r="BX109" s="273">
        <v>5</v>
      </c>
      <c r="BY109" s="273">
        <v>20</v>
      </c>
      <c r="BZ109" s="273">
        <v>5</v>
      </c>
      <c r="CA109" s="273">
        <v>1</v>
      </c>
      <c r="CD109" s="273">
        <v>1</v>
      </c>
      <c r="CE109" s="273">
        <v>5</v>
      </c>
      <c r="CG109" s="273">
        <v>3</v>
      </c>
      <c r="CY109" s="273">
        <v>5</v>
      </c>
      <c r="DF109" s="273">
        <v>1</v>
      </c>
      <c r="DL109" s="273">
        <v>3</v>
      </c>
      <c r="DN109" s="273">
        <v>8</v>
      </c>
      <c r="FS109" s="273">
        <f t="shared" si="11"/>
        <v>128</v>
      </c>
    </row>
    <row r="110" spans="1:179">
      <c r="A110" s="274"/>
      <c r="B110" s="274"/>
      <c r="C110" s="274"/>
      <c r="D110" s="274"/>
      <c r="E110" s="291" t="s">
        <v>767</v>
      </c>
      <c r="F110" s="274"/>
      <c r="G110" s="274"/>
      <c r="H110" s="274"/>
      <c r="I110" s="274"/>
      <c r="J110" s="274"/>
      <c r="K110" s="274"/>
      <c r="L110" s="274"/>
      <c r="M110" s="274"/>
      <c r="N110" s="274"/>
      <c r="O110" s="274"/>
      <c r="P110" s="274"/>
      <c r="Q110" s="274"/>
      <c r="R110" s="274"/>
      <c r="S110" s="274"/>
      <c r="T110" s="274"/>
      <c r="U110" s="274"/>
      <c r="V110" s="274"/>
      <c r="W110" s="274"/>
      <c r="X110" s="274"/>
      <c r="Y110" s="274"/>
      <c r="Z110" s="274"/>
      <c r="AA110" s="274"/>
      <c r="AB110" s="274"/>
      <c r="AC110" s="274"/>
      <c r="AD110" s="274"/>
      <c r="AE110" s="274"/>
      <c r="AF110" s="274"/>
      <c r="AG110" s="274"/>
      <c r="AH110" s="274"/>
      <c r="AI110" s="274"/>
      <c r="AJ110" s="274"/>
      <c r="AK110" s="274"/>
      <c r="AL110" s="274"/>
      <c r="AM110" s="274"/>
      <c r="AN110" s="274"/>
      <c r="AO110" s="274"/>
      <c r="AP110" s="274"/>
      <c r="AQ110" s="274"/>
      <c r="AR110" s="274"/>
      <c r="AS110" s="274"/>
      <c r="AT110" s="274"/>
      <c r="AU110" s="274"/>
      <c r="AV110" s="274"/>
      <c r="AW110" s="274"/>
      <c r="AX110" s="274"/>
      <c r="AY110" s="274"/>
      <c r="AZ110" s="274"/>
      <c r="BA110" s="274"/>
      <c r="BB110" s="274"/>
      <c r="BC110" s="274"/>
      <c r="BD110" s="274"/>
      <c r="BE110" s="274"/>
      <c r="BF110" s="274"/>
      <c r="BG110" s="274"/>
      <c r="BH110" s="274">
        <v>5</v>
      </c>
      <c r="BI110" s="274">
        <v>5</v>
      </c>
      <c r="BJ110" s="274"/>
      <c r="BK110" s="274">
        <v>20</v>
      </c>
      <c r="BL110" s="274">
        <v>1</v>
      </c>
      <c r="BM110" s="274"/>
      <c r="BN110" s="274"/>
      <c r="BO110" s="274"/>
      <c r="BP110" s="274"/>
      <c r="BQ110" s="274"/>
      <c r="BR110" s="274">
        <v>1</v>
      </c>
      <c r="BS110" s="274"/>
      <c r="BT110" s="274">
        <v>2</v>
      </c>
      <c r="BU110" s="274"/>
      <c r="BV110" s="274">
        <v>2</v>
      </c>
      <c r="BW110" s="274">
        <v>5</v>
      </c>
      <c r="BX110" s="274"/>
      <c r="BY110" s="274">
        <v>10</v>
      </c>
      <c r="BZ110" s="274">
        <v>5</v>
      </c>
      <c r="CA110" s="274">
        <v>1</v>
      </c>
      <c r="CB110" s="274"/>
      <c r="CC110" s="274"/>
      <c r="CD110" s="274">
        <v>1</v>
      </c>
      <c r="CE110" s="274">
        <v>5</v>
      </c>
      <c r="CF110" s="274"/>
      <c r="CG110" s="274">
        <v>2</v>
      </c>
      <c r="CH110" s="274"/>
      <c r="CI110" s="274"/>
      <c r="CJ110" s="274"/>
      <c r="CK110" s="274"/>
      <c r="CL110" s="274"/>
      <c r="CM110" s="274"/>
      <c r="CN110" s="274"/>
      <c r="CO110" s="274"/>
      <c r="CP110" s="274"/>
      <c r="CQ110" s="274"/>
      <c r="CR110" s="274"/>
      <c r="CS110" s="274"/>
      <c r="CT110" s="274"/>
      <c r="CU110" s="274"/>
      <c r="CV110" s="274"/>
      <c r="CW110" s="274"/>
      <c r="CX110" s="274"/>
      <c r="CY110" s="274">
        <v>2</v>
      </c>
      <c r="CZ110" s="274"/>
      <c r="DA110" s="274"/>
      <c r="DB110" s="274"/>
      <c r="DC110" s="274"/>
      <c r="DD110" s="274"/>
      <c r="DE110" s="274"/>
      <c r="DF110" s="274"/>
      <c r="DG110" s="274"/>
      <c r="DH110" s="274"/>
      <c r="DI110" s="274"/>
      <c r="DJ110" s="274"/>
      <c r="DK110" s="274"/>
      <c r="DL110" s="274">
        <v>2</v>
      </c>
      <c r="DM110" s="274"/>
      <c r="DN110" s="274">
        <v>6</v>
      </c>
      <c r="DO110" s="274"/>
      <c r="DP110" s="274"/>
      <c r="DQ110" s="274"/>
      <c r="DR110" s="274"/>
      <c r="DS110" s="274"/>
      <c r="DT110" s="274"/>
      <c r="DU110" s="274"/>
      <c r="DV110" s="274"/>
      <c r="DW110" s="274"/>
      <c r="DX110" s="274"/>
      <c r="DY110" s="274"/>
      <c r="DZ110" s="274"/>
      <c r="EA110" s="274"/>
      <c r="EB110" s="274"/>
      <c r="EC110" s="274"/>
      <c r="ED110" s="274"/>
      <c r="EE110" s="274"/>
      <c r="EF110" s="274"/>
      <c r="EG110" s="274"/>
      <c r="EH110" s="274"/>
      <c r="EI110" s="274"/>
      <c r="EJ110" s="274"/>
      <c r="EK110" s="274"/>
      <c r="EL110" s="274"/>
      <c r="EM110" s="274"/>
      <c r="EN110" s="274"/>
      <c r="EO110" s="274"/>
      <c r="EP110" s="274"/>
      <c r="EQ110" s="274"/>
      <c r="ER110" s="274"/>
      <c r="ES110" s="274"/>
      <c r="ET110" s="274"/>
      <c r="EU110" s="274"/>
      <c r="EV110" s="274"/>
      <c r="EW110" s="274"/>
      <c r="EX110" s="274"/>
      <c r="EY110" s="274"/>
      <c r="EZ110" s="274"/>
      <c r="FA110" s="274"/>
      <c r="FB110" s="274"/>
      <c r="FC110" s="274"/>
      <c r="FD110" s="274"/>
      <c r="FE110" s="274"/>
      <c r="FF110" s="274"/>
      <c r="FG110" s="274"/>
      <c r="FH110" s="274"/>
      <c r="FI110" s="274"/>
      <c r="FJ110" s="274"/>
      <c r="FK110" s="274"/>
      <c r="FL110" s="274"/>
      <c r="FM110" s="274"/>
      <c r="FN110" s="274"/>
      <c r="FO110" s="274"/>
      <c r="FP110" s="274"/>
      <c r="FQ110" s="274"/>
      <c r="FR110" s="274"/>
      <c r="FS110" s="274">
        <f t="shared" si="11"/>
        <v>75</v>
      </c>
      <c r="FT110" s="274"/>
    </row>
    <row r="111" spans="1:179">
      <c r="E111" s="318" t="s">
        <v>771</v>
      </c>
      <c r="BH111" s="273">
        <f t="shared" ref="BH111:CA111" si="12">SUBTOTAL(9,BH106:BH110)</f>
        <v>90</v>
      </c>
      <c r="BI111" s="273">
        <f t="shared" si="12"/>
        <v>10</v>
      </c>
      <c r="BJ111" s="273">
        <f t="shared" si="12"/>
        <v>60</v>
      </c>
      <c r="BK111" s="273">
        <f t="shared" si="12"/>
        <v>400</v>
      </c>
      <c r="BL111" s="273">
        <f t="shared" si="12"/>
        <v>22</v>
      </c>
      <c r="BN111" s="273">
        <f t="shared" si="12"/>
        <v>5</v>
      </c>
      <c r="BP111" s="273">
        <f t="shared" si="12"/>
        <v>5</v>
      </c>
      <c r="BR111" s="273">
        <f t="shared" si="12"/>
        <v>10</v>
      </c>
      <c r="BS111" s="273">
        <f t="shared" si="12"/>
        <v>3</v>
      </c>
      <c r="BT111" s="273">
        <f t="shared" si="12"/>
        <v>20</v>
      </c>
      <c r="BU111" s="273">
        <f t="shared" si="12"/>
        <v>2</v>
      </c>
      <c r="BV111" s="273">
        <f t="shared" si="12"/>
        <v>30</v>
      </c>
      <c r="BW111" s="273">
        <f t="shared" si="12"/>
        <v>70</v>
      </c>
      <c r="BX111" s="273">
        <f t="shared" si="12"/>
        <v>40</v>
      </c>
      <c r="BY111" s="273">
        <f t="shared" si="12"/>
        <v>200</v>
      </c>
      <c r="BZ111" s="273">
        <f t="shared" si="12"/>
        <v>50</v>
      </c>
      <c r="CA111" s="273">
        <f t="shared" si="12"/>
        <v>15</v>
      </c>
      <c r="CD111" s="273">
        <f t="shared" ref="CD111:CI111" si="13">SUBTOTAL(9,CD106:CD110)</f>
        <v>15</v>
      </c>
      <c r="CE111" s="273">
        <f t="shared" si="13"/>
        <v>70</v>
      </c>
      <c r="CG111" s="273">
        <f t="shared" si="13"/>
        <v>30</v>
      </c>
      <c r="CI111" s="273">
        <f t="shared" si="13"/>
        <v>30</v>
      </c>
      <c r="CT111" s="273">
        <f t="shared" ref="CT111:CU111" si="14">SUBTOTAL(9,CT106:CT110)</f>
        <v>2</v>
      </c>
      <c r="CU111" s="273">
        <f t="shared" si="14"/>
        <v>8</v>
      </c>
      <c r="CY111" s="273">
        <f t="shared" ref="CY111:CZ111" si="15">SUBTOTAL(9,CY106:CY110)</f>
        <v>45</v>
      </c>
      <c r="CZ111" s="273">
        <f t="shared" si="15"/>
        <v>11</v>
      </c>
      <c r="DF111" s="273">
        <f t="shared" ref="DF111" si="16">SUBTOTAL(9,DF106:DF110)</f>
        <v>5</v>
      </c>
      <c r="DL111" s="273">
        <f t="shared" ref="DL111:DN111" si="17">SUBTOTAL(9,DL106:DL110)</f>
        <v>30</v>
      </c>
      <c r="DN111" s="273">
        <f t="shared" si="17"/>
        <v>100</v>
      </c>
      <c r="EK111" s="273">
        <f t="shared" ref="EK111" si="18">SUBTOTAL(9,EK106:EK110)</f>
        <v>25</v>
      </c>
      <c r="ER111" s="273">
        <f t="shared" ref="ER111" si="19">SUBTOTAL(9,ER106:ER110)</f>
        <v>15</v>
      </c>
      <c r="ET111" s="273">
        <f t="shared" ref="ET111" si="20">SUBTOTAL(9,ET106:ET110)</f>
        <v>4</v>
      </c>
      <c r="FS111" s="273">
        <f t="shared" si="11"/>
        <v>1422</v>
      </c>
    </row>
  </sheetData>
  <autoFilter ref="A6:FT103">
    <filterColumn colId="2">
      <filters>
        <filter val="UA1J"/>
        <filter val="UA1K"/>
      </filters>
    </filterColumn>
  </autoFilter>
  <phoneticPr fontId="1" type="noConversion"/>
  <conditionalFormatting sqref="F5:F6">
    <cfRule type="cellIs" dxfId="552" priority="257" stopIfTrue="1" operator="equal">
      <formula>"E7"</formula>
    </cfRule>
    <cfRule type="cellIs" dxfId="551" priority="258" stopIfTrue="1" operator="equal">
      <formula>"E7A"</formula>
    </cfRule>
  </conditionalFormatting>
  <conditionalFormatting sqref="F99">
    <cfRule type="cellIs" dxfId="550" priority="253" stopIfTrue="1" operator="equal">
      <formula>"E7"</formula>
    </cfRule>
    <cfRule type="cellIs" dxfId="549" priority="254" stopIfTrue="1" operator="equal">
      <formula>"E7A"</formula>
    </cfRule>
  </conditionalFormatting>
  <conditionalFormatting sqref="F102">
    <cfRule type="cellIs" dxfId="548" priority="255" stopIfTrue="1" operator="equal">
      <formula>"E7"</formula>
    </cfRule>
    <cfRule type="cellIs" dxfId="547" priority="256" stopIfTrue="1" operator="equal">
      <formula>"E7A"</formula>
    </cfRule>
  </conditionalFormatting>
  <conditionalFormatting sqref="F98">
    <cfRule type="cellIs" dxfId="546" priority="251" stopIfTrue="1" operator="equal">
      <formula>"E7"</formula>
    </cfRule>
    <cfRule type="cellIs" dxfId="545" priority="252" stopIfTrue="1" operator="equal">
      <formula>"E7A"</formula>
    </cfRule>
  </conditionalFormatting>
  <conditionalFormatting sqref="F7">
    <cfRule type="cellIs" dxfId="544" priority="249" stopIfTrue="1" operator="equal">
      <formula>"E7"</formula>
    </cfRule>
    <cfRule type="cellIs" dxfId="543" priority="250" stopIfTrue="1" operator="equal">
      <formula>"E7A"</formula>
    </cfRule>
  </conditionalFormatting>
  <conditionalFormatting sqref="F8">
    <cfRule type="cellIs" dxfId="542" priority="247" stopIfTrue="1" operator="equal">
      <formula>"E7"</formula>
    </cfRule>
    <cfRule type="cellIs" dxfId="541" priority="248" stopIfTrue="1" operator="equal">
      <formula>"E7A"</formula>
    </cfRule>
  </conditionalFormatting>
  <conditionalFormatting sqref="F71">
    <cfRule type="cellIs" dxfId="540" priority="245" stopIfTrue="1" operator="equal">
      <formula>"E7"</formula>
    </cfRule>
    <cfRule type="cellIs" dxfId="539" priority="246" stopIfTrue="1" operator="equal">
      <formula>"E7A"</formula>
    </cfRule>
  </conditionalFormatting>
  <conditionalFormatting sqref="F9">
    <cfRule type="cellIs" dxfId="538" priority="241" stopIfTrue="1" operator="equal">
      <formula>"E7"</formula>
    </cfRule>
    <cfRule type="cellIs" dxfId="537" priority="242" stopIfTrue="1" operator="equal">
      <formula>"E7A"</formula>
    </cfRule>
  </conditionalFormatting>
  <conditionalFormatting sqref="F70">
    <cfRule type="cellIs" dxfId="536" priority="243" stopIfTrue="1" operator="equal">
      <formula>"E7"</formula>
    </cfRule>
    <cfRule type="cellIs" dxfId="535" priority="244" stopIfTrue="1" operator="equal">
      <formula>"E7A"</formula>
    </cfRule>
  </conditionalFormatting>
  <conditionalFormatting sqref="F69">
    <cfRule type="cellIs" dxfId="534" priority="239" stopIfTrue="1" operator="equal">
      <formula>"E7"</formula>
    </cfRule>
    <cfRule type="cellIs" dxfId="533" priority="240" stopIfTrue="1" operator="equal">
      <formula>"E7A"</formula>
    </cfRule>
  </conditionalFormatting>
  <conditionalFormatting sqref="F72">
    <cfRule type="cellIs" dxfId="532" priority="237" stopIfTrue="1" operator="equal">
      <formula>"E7"</formula>
    </cfRule>
    <cfRule type="cellIs" dxfId="531" priority="238" stopIfTrue="1" operator="equal">
      <formula>"E7A"</formula>
    </cfRule>
  </conditionalFormatting>
  <conditionalFormatting sqref="F93">
    <cfRule type="cellIs" dxfId="530" priority="235" stopIfTrue="1" operator="equal">
      <formula>"E7"</formula>
    </cfRule>
    <cfRule type="cellIs" dxfId="529" priority="236" stopIfTrue="1" operator="equal">
      <formula>"E7A"</formula>
    </cfRule>
  </conditionalFormatting>
  <conditionalFormatting sqref="F97">
    <cfRule type="cellIs" dxfId="528" priority="233" stopIfTrue="1" operator="equal">
      <formula>"E7"</formula>
    </cfRule>
    <cfRule type="cellIs" dxfId="527" priority="234" stopIfTrue="1" operator="equal">
      <formula>"E7A"</formula>
    </cfRule>
  </conditionalFormatting>
  <conditionalFormatting sqref="F94">
    <cfRule type="cellIs" dxfId="526" priority="231" stopIfTrue="1" operator="equal">
      <formula>"E7"</formula>
    </cfRule>
    <cfRule type="cellIs" dxfId="525" priority="232" stopIfTrue="1" operator="equal">
      <formula>"E7A"</formula>
    </cfRule>
  </conditionalFormatting>
  <conditionalFormatting sqref="F95">
    <cfRule type="cellIs" dxfId="524" priority="229" stopIfTrue="1" operator="equal">
      <formula>"E7"</formula>
    </cfRule>
    <cfRule type="cellIs" dxfId="523" priority="230" stopIfTrue="1" operator="equal">
      <formula>"E7A"</formula>
    </cfRule>
  </conditionalFormatting>
  <conditionalFormatting sqref="F96">
    <cfRule type="cellIs" dxfId="522" priority="227" stopIfTrue="1" operator="equal">
      <formula>"E7"</formula>
    </cfRule>
    <cfRule type="cellIs" dxfId="521" priority="228" stopIfTrue="1" operator="equal">
      <formula>"E7A"</formula>
    </cfRule>
  </conditionalFormatting>
  <conditionalFormatting sqref="F90">
    <cfRule type="cellIs" dxfId="520" priority="225" stopIfTrue="1" operator="equal">
      <formula>"E7"</formula>
    </cfRule>
    <cfRule type="cellIs" dxfId="519" priority="226" stopIfTrue="1" operator="equal">
      <formula>"E7A"</formula>
    </cfRule>
  </conditionalFormatting>
  <conditionalFormatting sqref="F91">
    <cfRule type="cellIs" dxfId="518" priority="223" stopIfTrue="1" operator="equal">
      <formula>"E7"</formula>
    </cfRule>
    <cfRule type="cellIs" dxfId="517" priority="224" stopIfTrue="1" operator="equal">
      <formula>"E7A"</formula>
    </cfRule>
  </conditionalFormatting>
  <conditionalFormatting sqref="F92">
    <cfRule type="cellIs" dxfId="516" priority="221" stopIfTrue="1" operator="equal">
      <formula>"E7"</formula>
    </cfRule>
    <cfRule type="cellIs" dxfId="515" priority="222" stopIfTrue="1" operator="equal">
      <formula>"E7A"</formula>
    </cfRule>
  </conditionalFormatting>
  <conditionalFormatting sqref="B7 B80 B87:B99 B102">
    <cfRule type="expression" dxfId="514" priority="220">
      <formula>$B7="A"</formula>
    </cfRule>
  </conditionalFormatting>
  <conditionalFormatting sqref="B8:B9 B69:B72">
    <cfRule type="expression" dxfId="513" priority="219">
      <formula>$B8="A"</formula>
    </cfRule>
  </conditionalFormatting>
  <conditionalFormatting sqref="H6 Z6:AE6 BB6:DT6 DV6:FM6 X6">
    <cfRule type="expression" dxfId="512" priority="181">
      <formula>H279=0</formula>
    </cfRule>
  </conditionalFormatting>
  <conditionalFormatting sqref="F80">
    <cfRule type="cellIs" dxfId="511" priority="217" stopIfTrue="1" operator="equal">
      <formula>"E7"</formula>
    </cfRule>
    <cfRule type="cellIs" dxfId="510" priority="218" stopIfTrue="1" operator="equal">
      <formula>"E7A"</formula>
    </cfRule>
  </conditionalFormatting>
  <conditionalFormatting sqref="F87">
    <cfRule type="cellIs" dxfId="509" priority="215" stopIfTrue="1" operator="equal">
      <formula>"E7"</formula>
    </cfRule>
    <cfRule type="cellIs" dxfId="508" priority="216" stopIfTrue="1" operator="equal">
      <formula>"E7A"</formula>
    </cfRule>
  </conditionalFormatting>
  <conditionalFormatting sqref="F88">
    <cfRule type="cellIs" dxfId="507" priority="213" stopIfTrue="1" operator="equal">
      <formula>"E7"</formula>
    </cfRule>
    <cfRule type="cellIs" dxfId="506" priority="214" stopIfTrue="1" operator="equal">
      <formula>"E7A"</formula>
    </cfRule>
  </conditionalFormatting>
  <conditionalFormatting sqref="F89">
    <cfRule type="cellIs" dxfId="505" priority="211" stopIfTrue="1" operator="equal">
      <formula>"E7"</formula>
    </cfRule>
    <cfRule type="cellIs" dxfId="504" priority="212" stopIfTrue="1" operator="equal">
      <formula>"E7A"</formula>
    </cfRule>
  </conditionalFormatting>
  <conditionalFormatting sqref="F84">
    <cfRule type="cellIs" dxfId="503" priority="209" stopIfTrue="1" operator="equal">
      <formula>"E7"</formula>
    </cfRule>
    <cfRule type="cellIs" dxfId="502" priority="210" stopIfTrue="1" operator="equal">
      <formula>"E7A"</formula>
    </cfRule>
  </conditionalFormatting>
  <conditionalFormatting sqref="F85">
    <cfRule type="cellIs" dxfId="501" priority="207" stopIfTrue="1" operator="equal">
      <formula>"E7"</formula>
    </cfRule>
    <cfRule type="cellIs" dxfId="500" priority="208" stopIfTrue="1" operator="equal">
      <formula>"E7A"</formula>
    </cfRule>
  </conditionalFormatting>
  <conditionalFormatting sqref="F86">
    <cfRule type="cellIs" dxfId="499" priority="205" stopIfTrue="1" operator="equal">
      <formula>"E7"</formula>
    </cfRule>
    <cfRule type="cellIs" dxfId="498" priority="206" stopIfTrue="1" operator="equal">
      <formula>"E7A"</formula>
    </cfRule>
  </conditionalFormatting>
  <conditionalFormatting sqref="B81:B86">
    <cfRule type="expression" dxfId="497" priority="204">
      <formula>$B81="A"</formula>
    </cfRule>
  </conditionalFormatting>
  <conditionalFormatting sqref="F81">
    <cfRule type="cellIs" dxfId="496" priority="202" stopIfTrue="1" operator="equal">
      <formula>"E7"</formula>
    </cfRule>
    <cfRule type="cellIs" dxfId="495" priority="203" stopIfTrue="1" operator="equal">
      <formula>"E7A"</formula>
    </cfRule>
  </conditionalFormatting>
  <conditionalFormatting sqref="F82">
    <cfRule type="cellIs" dxfId="494" priority="200" stopIfTrue="1" operator="equal">
      <formula>"E7"</formula>
    </cfRule>
    <cfRule type="cellIs" dxfId="493" priority="201" stopIfTrue="1" operator="equal">
      <formula>"E7A"</formula>
    </cfRule>
  </conditionalFormatting>
  <conditionalFormatting sqref="F83">
    <cfRule type="cellIs" dxfId="492" priority="198" stopIfTrue="1" operator="equal">
      <formula>"E7"</formula>
    </cfRule>
    <cfRule type="cellIs" dxfId="491" priority="199" stopIfTrue="1" operator="equal">
      <formula>"E7A"</formula>
    </cfRule>
  </conditionalFormatting>
  <conditionalFormatting sqref="B73">
    <cfRule type="expression" dxfId="490" priority="197">
      <formula>$B73="A"</formula>
    </cfRule>
  </conditionalFormatting>
  <conditionalFormatting sqref="F73">
    <cfRule type="cellIs" dxfId="489" priority="195" stopIfTrue="1" operator="equal">
      <formula>"E7"</formula>
    </cfRule>
    <cfRule type="cellIs" dxfId="488" priority="196" stopIfTrue="1" operator="equal">
      <formula>"E7A"</formula>
    </cfRule>
  </conditionalFormatting>
  <conditionalFormatting sqref="F77">
    <cfRule type="cellIs" dxfId="487" priority="193" stopIfTrue="1" operator="equal">
      <formula>"E7"</formula>
    </cfRule>
    <cfRule type="cellIs" dxfId="486" priority="194" stopIfTrue="1" operator="equal">
      <formula>"E7A"</formula>
    </cfRule>
  </conditionalFormatting>
  <conditionalFormatting sqref="F78">
    <cfRule type="cellIs" dxfId="485" priority="191" stopIfTrue="1" operator="equal">
      <formula>"E7"</formula>
    </cfRule>
    <cfRule type="cellIs" dxfId="484" priority="192" stopIfTrue="1" operator="equal">
      <formula>"E7A"</formula>
    </cfRule>
  </conditionalFormatting>
  <conditionalFormatting sqref="F79">
    <cfRule type="cellIs" dxfId="483" priority="189" stopIfTrue="1" operator="equal">
      <formula>"E7"</formula>
    </cfRule>
    <cfRule type="cellIs" dxfId="482" priority="190" stopIfTrue="1" operator="equal">
      <formula>"E7A"</formula>
    </cfRule>
  </conditionalFormatting>
  <conditionalFormatting sqref="B74:B79">
    <cfRule type="expression" dxfId="481" priority="188">
      <formula>$B74="A"</formula>
    </cfRule>
  </conditionalFormatting>
  <conditionalFormatting sqref="F74">
    <cfRule type="cellIs" dxfId="480" priority="186" stopIfTrue="1" operator="equal">
      <formula>"E7"</formula>
    </cfRule>
    <cfRule type="cellIs" dxfId="479" priority="187" stopIfTrue="1" operator="equal">
      <formula>"E7A"</formula>
    </cfRule>
  </conditionalFormatting>
  <conditionalFormatting sqref="F75">
    <cfRule type="cellIs" dxfId="478" priority="184" stopIfTrue="1" operator="equal">
      <formula>"E7"</formula>
    </cfRule>
    <cfRule type="cellIs" dxfId="477" priority="185" stopIfTrue="1" operator="equal">
      <formula>"E7A"</formula>
    </cfRule>
  </conditionalFormatting>
  <conditionalFormatting sqref="F76">
    <cfRule type="cellIs" dxfId="476" priority="182" stopIfTrue="1" operator="equal">
      <formula>"E7"</formula>
    </cfRule>
    <cfRule type="cellIs" dxfId="475" priority="183" stopIfTrue="1" operator="equal">
      <formula>"E7A"</formula>
    </cfRule>
  </conditionalFormatting>
  <conditionalFormatting sqref="I6:L6">
    <cfRule type="expression" dxfId="474" priority="180">
      <formula>I279=0</formula>
    </cfRule>
  </conditionalFormatting>
  <conditionalFormatting sqref="I1:K1">
    <cfRule type="duplicateValues" dxfId="473" priority="179"/>
  </conditionalFormatting>
  <conditionalFormatting sqref="BD1">
    <cfRule type="duplicateValues" dxfId="472" priority="178"/>
  </conditionalFormatting>
  <conditionalFormatting sqref="F61">
    <cfRule type="cellIs" dxfId="471" priority="176" stopIfTrue="1" operator="equal">
      <formula>"E7"</formula>
    </cfRule>
    <cfRule type="cellIs" dxfId="470" priority="177" stopIfTrue="1" operator="equal">
      <formula>"E7A"</formula>
    </cfRule>
  </conditionalFormatting>
  <conditionalFormatting sqref="F60">
    <cfRule type="cellIs" dxfId="469" priority="174" stopIfTrue="1" operator="equal">
      <formula>"E7"</formula>
    </cfRule>
    <cfRule type="cellIs" dxfId="468" priority="175" stopIfTrue="1" operator="equal">
      <formula>"E7A"</formula>
    </cfRule>
  </conditionalFormatting>
  <conditionalFormatting sqref="F10">
    <cfRule type="cellIs" dxfId="467" priority="172" stopIfTrue="1" operator="equal">
      <formula>"E7"</formula>
    </cfRule>
    <cfRule type="cellIs" dxfId="466" priority="173" stopIfTrue="1" operator="equal">
      <formula>"E7A"</formula>
    </cfRule>
  </conditionalFormatting>
  <conditionalFormatting sqref="F62">
    <cfRule type="cellIs" dxfId="465" priority="170" stopIfTrue="1" operator="equal">
      <formula>"E7"</formula>
    </cfRule>
    <cfRule type="cellIs" dxfId="464" priority="171" stopIfTrue="1" operator="equal">
      <formula>"E7A"</formula>
    </cfRule>
  </conditionalFormatting>
  <conditionalFormatting sqref="B10 B60:B62">
    <cfRule type="expression" dxfId="463" priority="169">
      <formula>$B10="A"</formula>
    </cfRule>
  </conditionalFormatting>
  <conditionalFormatting sqref="B63">
    <cfRule type="expression" dxfId="462" priority="168">
      <formula>$B63="A"</formula>
    </cfRule>
  </conditionalFormatting>
  <conditionalFormatting sqref="F63">
    <cfRule type="cellIs" dxfId="461" priority="166" stopIfTrue="1" operator="equal">
      <formula>"E7"</formula>
    </cfRule>
    <cfRule type="cellIs" dxfId="460" priority="167" stopIfTrue="1" operator="equal">
      <formula>"E7A"</formula>
    </cfRule>
  </conditionalFormatting>
  <conditionalFormatting sqref="F67">
    <cfRule type="cellIs" dxfId="459" priority="164" stopIfTrue="1" operator="equal">
      <formula>"E7"</formula>
    </cfRule>
    <cfRule type="cellIs" dxfId="458" priority="165" stopIfTrue="1" operator="equal">
      <formula>"E7A"</formula>
    </cfRule>
  </conditionalFormatting>
  <conditionalFormatting sqref="F68">
    <cfRule type="cellIs" dxfId="457" priority="162" stopIfTrue="1" operator="equal">
      <formula>"E7"</formula>
    </cfRule>
    <cfRule type="cellIs" dxfId="456" priority="163" stopIfTrue="1" operator="equal">
      <formula>"E7A"</formula>
    </cfRule>
  </conditionalFormatting>
  <conditionalFormatting sqref="B64:B68">
    <cfRule type="expression" dxfId="455" priority="161">
      <formula>$B64="A"</formula>
    </cfRule>
  </conditionalFormatting>
  <conditionalFormatting sqref="F64">
    <cfRule type="cellIs" dxfId="454" priority="159" stopIfTrue="1" operator="equal">
      <formula>"E7"</formula>
    </cfRule>
    <cfRule type="cellIs" dxfId="453" priority="160" stopIfTrue="1" operator="equal">
      <formula>"E7A"</formula>
    </cfRule>
  </conditionalFormatting>
  <conditionalFormatting sqref="F65">
    <cfRule type="cellIs" dxfId="452" priority="157" stopIfTrue="1" operator="equal">
      <formula>"E7"</formula>
    </cfRule>
    <cfRule type="cellIs" dxfId="451" priority="158" stopIfTrue="1" operator="equal">
      <formula>"E7A"</formula>
    </cfRule>
  </conditionalFormatting>
  <conditionalFormatting sqref="F66">
    <cfRule type="cellIs" dxfId="450" priority="155" stopIfTrue="1" operator="equal">
      <formula>"E7"</formula>
    </cfRule>
    <cfRule type="cellIs" dxfId="449" priority="156" stopIfTrue="1" operator="equal">
      <formula>"E7A"</formula>
    </cfRule>
  </conditionalFormatting>
  <conditionalFormatting sqref="H4">
    <cfRule type="duplicateValues" dxfId="448" priority="154"/>
  </conditionalFormatting>
  <conditionalFormatting sqref="AQ6:BA6">
    <cfRule type="expression" dxfId="447" priority="153">
      <formula>AQ279=0</formula>
    </cfRule>
  </conditionalFormatting>
  <conditionalFormatting sqref="AQ1:BA1">
    <cfRule type="duplicateValues" dxfId="446" priority="152"/>
  </conditionalFormatting>
  <conditionalFormatting sqref="AS1">
    <cfRule type="duplicateValues" dxfId="445" priority="151"/>
  </conditionalFormatting>
  <conditionalFormatting sqref="AQ4:BA4">
    <cfRule type="duplicateValues" dxfId="444" priority="150"/>
  </conditionalFormatting>
  <conditionalFormatting sqref="AF6:AP6">
    <cfRule type="expression" dxfId="443" priority="149">
      <formula>AF279=0</formula>
    </cfRule>
  </conditionalFormatting>
  <conditionalFormatting sqref="AF1:AP1">
    <cfRule type="duplicateValues" dxfId="442" priority="148"/>
  </conditionalFormatting>
  <conditionalFormatting sqref="AH1">
    <cfRule type="duplicateValues" dxfId="441" priority="147"/>
  </conditionalFormatting>
  <conditionalFormatting sqref="AF4:AP4">
    <cfRule type="duplicateValues" dxfId="440" priority="146"/>
  </conditionalFormatting>
  <conditionalFormatting sqref="M6:Q6">
    <cfRule type="expression" dxfId="439" priority="145">
      <formula>M279=0</formula>
    </cfRule>
  </conditionalFormatting>
  <conditionalFormatting sqref="M1:Q1 Z1:AE1">
    <cfRule type="duplicateValues" dxfId="438" priority="144"/>
  </conditionalFormatting>
  <conditionalFormatting sqref="O1">
    <cfRule type="duplicateValues" dxfId="437" priority="143"/>
  </conditionalFormatting>
  <conditionalFormatting sqref="M4:Q4 Z4:AE4">
    <cfRule type="duplicateValues" dxfId="436" priority="142"/>
  </conditionalFormatting>
  <conditionalFormatting sqref="F57">
    <cfRule type="cellIs" dxfId="435" priority="140" stopIfTrue="1" operator="equal">
      <formula>"E7"</formula>
    </cfRule>
    <cfRule type="cellIs" dxfId="434" priority="141" stopIfTrue="1" operator="equal">
      <formula>"E7A"</formula>
    </cfRule>
  </conditionalFormatting>
  <conditionalFormatting sqref="F56">
    <cfRule type="cellIs" dxfId="433" priority="138" stopIfTrue="1" operator="equal">
      <formula>"E7"</formula>
    </cfRule>
    <cfRule type="cellIs" dxfId="432" priority="139" stopIfTrue="1" operator="equal">
      <formula>"E7A"</formula>
    </cfRule>
  </conditionalFormatting>
  <conditionalFormatting sqref="F55">
    <cfRule type="cellIs" dxfId="431" priority="136" stopIfTrue="1" operator="equal">
      <formula>"E7"</formula>
    </cfRule>
    <cfRule type="cellIs" dxfId="430" priority="137" stopIfTrue="1" operator="equal">
      <formula>"E7A"</formula>
    </cfRule>
  </conditionalFormatting>
  <conditionalFormatting sqref="F58">
    <cfRule type="cellIs" dxfId="429" priority="134" stopIfTrue="1" operator="equal">
      <formula>"E7"</formula>
    </cfRule>
    <cfRule type="cellIs" dxfId="428" priority="135" stopIfTrue="1" operator="equal">
      <formula>"E7A"</formula>
    </cfRule>
  </conditionalFormatting>
  <conditionalFormatting sqref="B55:B58">
    <cfRule type="expression" dxfId="427" priority="133">
      <formula>$B55="A"</formula>
    </cfRule>
  </conditionalFormatting>
  <conditionalFormatting sqref="B59">
    <cfRule type="expression" dxfId="426" priority="132">
      <formula>$B59="A"</formula>
    </cfRule>
  </conditionalFormatting>
  <conditionalFormatting sqref="F59">
    <cfRule type="cellIs" dxfId="425" priority="130" stopIfTrue="1" operator="equal">
      <formula>"E7"</formula>
    </cfRule>
    <cfRule type="cellIs" dxfId="424" priority="131" stopIfTrue="1" operator="equal">
      <formula>"E7A"</formula>
    </cfRule>
  </conditionalFormatting>
  <conditionalFormatting sqref="F47">
    <cfRule type="cellIs" dxfId="423" priority="128" stopIfTrue="1" operator="equal">
      <formula>"E7"</formula>
    </cfRule>
    <cfRule type="cellIs" dxfId="422" priority="129" stopIfTrue="1" operator="equal">
      <formula>"E7A"</formula>
    </cfRule>
  </conditionalFormatting>
  <conditionalFormatting sqref="F46">
    <cfRule type="cellIs" dxfId="421" priority="126" stopIfTrue="1" operator="equal">
      <formula>"E7"</formula>
    </cfRule>
    <cfRule type="cellIs" dxfId="420" priority="127" stopIfTrue="1" operator="equal">
      <formula>"E7A"</formula>
    </cfRule>
  </conditionalFormatting>
  <conditionalFormatting sqref="F48">
    <cfRule type="cellIs" dxfId="419" priority="124" stopIfTrue="1" operator="equal">
      <formula>"E7"</formula>
    </cfRule>
    <cfRule type="cellIs" dxfId="418" priority="125" stopIfTrue="1" operator="equal">
      <formula>"E7A"</formula>
    </cfRule>
  </conditionalFormatting>
  <conditionalFormatting sqref="B46:B48">
    <cfRule type="expression" dxfId="417" priority="123">
      <formula>$B46="A"</formula>
    </cfRule>
  </conditionalFormatting>
  <conditionalFormatting sqref="B49">
    <cfRule type="expression" dxfId="416" priority="122">
      <formula>$B49="A"</formula>
    </cfRule>
  </conditionalFormatting>
  <conditionalFormatting sqref="F49">
    <cfRule type="cellIs" dxfId="415" priority="120" stopIfTrue="1" operator="equal">
      <formula>"E7"</formula>
    </cfRule>
    <cfRule type="cellIs" dxfId="414" priority="121" stopIfTrue="1" operator="equal">
      <formula>"E7A"</formula>
    </cfRule>
  </conditionalFormatting>
  <conditionalFormatting sqref="F53">
    <cfRule type="cellIs" dxfId="413" priority="118" stopIfTrue="1" operator="equal">
      <formula>"E7"</formula>
    </cfRule>
    <cfRule type="cellIs" dxfId="412" priority="119" stopIfTrue="1" operator="equal">
      <formula>"E7A"</formula>
    </cfRule>
  </conditionalFormatting>
  <conditionalFormatting sqref="F54">
    <cfRule type="cellIs" dxfId="411" priority="116" stopIfTrue="1" operator="equal">
      <formula>"E7"</formula>
    </cfRule>
    <cfRule type="cellIs" dxfId="410" priority="117" stopIfTrue="1" operator="equal">
      <formula>"E7A"</formula>
    </cfRule>
  </conditionalFormatting>
  <conditionalFormatting sqref="B50:B54">
    <cfRule type="expression" dxfId="409" priority="115">
      <formula>$B50="A"</formula>
    </cfRule>
  </conditionalFormatting>
  <conditionalFormatting sqref="F50">
    <cfRule type="cellIs" dxfId="408" priority="113" stopIfTrue="1" operator="equal">
      <formula>"E7"</formula>
    </cfRule>
    <cfRule type="cellIs" dxfId="407" priority="114" stopIfTrue="1" operator="equal">
      <formula>"E7A"</formula>
    </cfRule>
  </conditionalFormatting>
  <conditionalFormatting sqref="F51">
    <cfRule type="cellIs" dxfId="406" priority="111" stopIfTrue="1" operator="equal">
      <formula>"E7"</formula>
    </cfRule>
    <cfRule type="cellIs" dxfId="405" priority="112" stopIfTrue="1" operator="equal">
      <formula>"E7A"</formula>
    </cfRule>
  </conditionalFormatting>
  <conditionalFormatting sqref="F52">
    <cfRule type="cellIs" dxfId="404" priority="109" stopIfTrue="1" operator="equal">
      <formula>"E7"</formula>
    </cfRule>
    <cfRule type="cellIs" dxfId="403" priority="110" stopIfTrue="1" operator="equal">
      <formula>"E7A"</formula>
    </cfRule>
  </conditionalFormatting>
  <conditionalFormatting sqref="F43">
    <cfRule type="cellIs" dxfId="402" priority="107" stopIfTrue="1" operator="equal">
      <formula>"E7"</formula>
    </cfRule>
    <cfRule type="cellIs" dxfId="401" priority="108" stopIfTrue="1" operator="equal">
      <formula>"E7A"</formula>
    </cfRule>
  </conditionalFormatting>
  <conditionalFormatting sqref="F42">
    <cfRule type="cellIs" dxfId="400" priority="105" stopIfTrue="1" operator="equal">
      <formula>"E7"</formula>
    </cfRule>
    <cfRule type="cellIs" dxfId="399" priority="106" stopIfTrue="1" operator="equal">
      <formula>"E7A"</formula>
    </cfRule>
  </conditionalFormatting>
  <conditionalFormatting sqref="F41">
    <cfRule type="cellIs" dxfId="398" priority="103" stopIfTrue="1" operator="equal">
      <formula>"E7"</formula>
    </cfRule>
    <cfRule type="cellIs" dxfId="397" priority="104" stopIfTrue="1" operator="equal">
      <formula>"E7A"</formula>
    </cfRule>
  </conditionalFormatting>
  <conditionalFormatting sqref="F44">
    <cfRule type="cellIs" dxfId="396" priority="101" stopIfTrue="1" operator="equal">
      <formula>"E7"</formula>
    </cfRule>
    <cfRule type="cellIs" dxfId="395" priority="102" stopIfTrue="1" operator="equal">
      <formula>"E7A"</formula>
    </cfRule>
  </conditionalFormatting>
  <conditionalFormatting sqref="B41:B44">
    <cfRule type="expression" dxfId="394" priority="100">
      <formula>$B41="A"</formula>
    </cfRule>
  </conditionalFormatting>
  <conditionalFormatting sqref="B45">
    <cfRule type="expression" dxfId="393" priority="99">
      <formula>$B45="A"</formula>
    </cfRule>
  </conditionalFormatting>
  <conditionalFormatting sqref="F45">
    <cfRule type="cellIs" dxfId="392" priority="97" stopIfTrue="1" operator="equal">
      <formula>"E7"</formula>
    </cfRule>
    <cfRule type="cellIs" dxfId="391" priority="98" stopIfTrue="1" operator="equal">
      <formula>"E7A"</formula>
    </cfRule>
  </conditionalFormatting>
  <conditionalFormatting sqref="F12">
    <cfRule type="cellIs" dxfId="390" priority="95" stopIfTrue="1" operator="equal">
      <formula>"E7"</formula>
    </cfRule>
    <cfRule type="cellIs" dxfId="389" priority="96" stopIfTrue="1" operator="equal">
      <formula>"E7A"</formula>
    </cfRule>
  </conditionalFormatting>
  <conditionalFormatting sqref="F11">
    <cfRule type="cellIs" dxfId="388" priority="93" stopIfTrue="1" operator="equal">
      <formula>"E7"</formula>
    </cfRule>
    <cfRule type="cellIs" dxfId="387" priority="94" stopIfTrue="1" operator="equal">
      <formula>"E7A"</formula>
    </cfRule>
  </conditionalFormatting>
  <conditionalFormatting sqref="F34">
    <cfRule type="cellIs" dxfId="386" priority="91" stopIfTrue="1" operator="equal">
      <formula>"E7"</formula>
    </cfRule>
    <cfRule type="cellIs" dxfId="385" priority="92" stopIfTrue="1" operator="equal">
      <formula>"E7A"</formula>
    </cfRule>
  </conditionalFormatting>
  <conditionalFormatting sqref="B11:B12 B34">
    <cfRule type="expression" dxfId="384" priority="90">
      <formula>$B11="A"</formula>
    </cfRule>
  </conditionalFormatting>
  <conditionalFormatting sqref="B35">
    <cfRule type="expression" dxfId="383" priority="89">
      <formula>$B35="A"</formula>
    </cfRule>
  </conditionalFormatting>
  <conditionalFormatting sqref="F35">
    <cfRule type="cellIs" dxfId="382" priority="87" stopIfTrue="1" operator="equal">
      <formula>"E7"</formula>
    </cfRule>
    <cfRule type="cellIs" dxfId="381" priority="88" stopIfTrue="1" operator="equal">
      <formula>"E7A"</formula>
    </cfRule>
  </conditionalFormatting>
  <conditionalFormatting sqref="F39">
    <cfRule type="cellIs" dxfId="380" priority="85" stopIfTrue="1" operator="equal">
      <formula>"E7"</formula>
    </cfRule>
    <cfRule type="cellIs" dxfId="379" priority="86" stopIfTrue="1" operator="equal">
      <formula>"E7A"</formula>
    </cfRule>
  </conditionalFormatting>
  <conditionalFormatting sqref="F40">
    <cfRule type="cellIs" dxfId="378" priority="83" stopIfTrue="1" operator="equal">
      <formula>"E7"</formula>
    </cfRule>
    <cfRule type="cellIs" dxfId="377" priority="84" stopIfTrue="1" operator="equal">
      <formula>"E7A"</formula>
    </cfRule>
  </conditionalFormatting>
  <conditionalFormatting sqref="B36:B40">
    <cfRule type="expression" dxfId="376" priority="82">
      <formula>$B36="A"</formula>
    </cfRule>
  </conditionalFormatting>
  <conditionalFormatting sqref="F36">
    <cfRule type="cellIs" dxfId="375" priority="80" stopIfTrue="1" operator="equal">
      <formula>"E7"</formula>
    </cfRule>
    <cfRule type="cellIs" dxfId="374" priority="81" stopIfTrue="1" operator="equal">
      <formula>"E7A"</formula>
    </cfRule>
  </conditionalFormatting>
  <conditionalFormatting sqref="F37">
    <cfRule type="cellIs" dxfId="373" priority="78" stopIfTrue="1" operator="equal">
      <formula>"E7"</formula>
    </cfRule>
    <cfRule type="cellIs" dxfId="372" priority="79" stopIfTrue="1" operator="equal">
      <formula>"E7A"</formula>
    </cfRule>
  </conditionalFormatting>
  <conditionalFormatting sqref="F38">
    <cfRule type="cellIs" dxfId="371" priority="76" stopIfTrue="1" operator="equal">
      <formula>"E7"</formula>
    </cfRule>
    <cfRule type="cellIs" dxfId="370" priority="77" stopIfTrue="1" operator="equal">
      <formula>"E7A"</formula>
    </cfRule>
  </conditionalFormatting>
  <conditionalFormatting sqref="Y6">
    <cfRule type="expression" dxfId="369" priority="75">
      <formula>Y279=0</formula>
    </cfRule>
  </conditionalFormatting>
  <conditionalFormatting sqref="Y1">
    <cfRule type="duplicateValues" dxfId="368" priority="74"/>
  </conditionalFormatting>
  <conditionalFormatting sqref="Y4">
    <cfRule type="duplicateValues" dxfId="367" priority="73"/>
  </conditionalFormatting>
  <conditionalFormatting sqref="R6:V6">
    <cfRule type="expression" dxfId="366" priority="72">
      <formula>R279=0</formula>
    </cfRule>
  </conditionalFormatting>
  <conditionalFormatting sqref="R1:V1 X1">
    <cfRule type="duplicateValues" dxfId="365" priority="71"/>
  </conditionalFormatting>
  <conditionalFormatting sqref="R4:V4 X4">
    <cfRule type="duplicateValues" dxfId="364" priority="70"/>
  </conditionalFormatting>
  <conditionalFormatting sqref="F27">
    <cfRule type="cellIs" dxfId="363" priority="68" stopIfTrue="1" operator="equal">
      <formula>"E7"</formula>
    </cfRule>
    <cfRule type="cellIs" dxfId="362" priority="69" stopIfTrue="1" operator="equal">
      <formula>"E7A"</formula>
    </cfRule>
  </conditionalFormatting>
  <conditionalFormatting sqref="F26">
    <cfRule type="cellIs" dxfId="361" priority="66" stopIfTrue="1" operator="equal">
      <formula>"E7"</formula>
    </cfRule>
    <cfRule type="cellIs" dxfId="360" priority="67" stopIfTrue="1" operator="equal">
      <formula>"E7A"</formula>
    </cfRule>
  </conditionalFormatting>
  <conditionalFormatting sqref="F28">
    <cfRule type="cellIs" dxfId="359" priority="64" stopIfTrue="1" operator="equal">
      <formula>"E7"</formula>
    </cfRule>
    <cfRule type="cellIs" dxfId="358" priority="65" stopIfTrue="1" operator="equal">
      <formula>"E7A"</formula>
    </cfRule>
  </conditionalFormatting>
  <conditionalFormatting sqref="B26:B28">
    <cfRule type="expression" dxfId="357" priority="63">
      <formula>$B26="A"</formula>
    </cfRule>
  </conditionalFormatting>
  <conditionalFormatting sqref="B29">
    <cfRule type="expression" dxfId="356" priority="62">
      <formula>$B29="A"</formula>
    </cfRule>
  </conditionalFormatting>
  <conditionalFormatting sqref="F29">
    <cfRule type="cellIs" dxfId="355" priority="60" stopIfTrue="1" operator="equal">
      <formula>"E7"</formula>
    </cfRule>
    <cfRule type="cellIs" dxfId="354" priority="61" stopIfTrue="1" operator="equal">
      <formula>"E7A"</formula>
    </cfRule>
  </conditionalFormatting>
  <conditionalFormatting sqref="F33">
    <cfRule type="cellIs" dxfId="353" priority="58" stopIfTrue="1" operator="equal">
      <formula>"E7"</formula>
    </cfRule>
    <cfRule type="cellIs" dxfId="352" priority="59" stopIfTrue="1" operator="equal">
      <formula>"E7A"</formula>
    </cfRule>
  </conditionalFormatting>
  <conditionalFormatting sqref="B30:B33">
    <cfRule type="expression" dxfId="351" priority="57">
      <formula>$B30="A"</formula>
    </cfRule>
  </conditionalFormatting>
  <conditionalFormatting sqref="F30">
    <cfRule type="cellIs" dxfId="350" priority="55" stopIfTrue="1" operator="equal">
      <formula>"E7"</formula>
    </cfRule>
    <cfRule type="cellIs" dxfId="349" priority="56" stopIfTrue="1" operator="equal">
      <formula>"E7A"</formula>
    </cfRule>
  </conditionalFormatting>
  <conditionalFormatting sqref="F31">
    <cfRule type="cellIs" dxfId="348" priority="53" stopIfTrue="1" operator="equal">
      <formula>"E7"</formula>
    </cfRule>
    <cfRule type="cellIs" dxfId="347" priority="54" stopIfTrue="1" operator="equal">
      <formula>"E7A"</formula>
    </cfRule>
  </conditionalFormatting>
  <conditionalFormatting sqref="F32">
    <cfRule type="cellIs" dxfId="346" priority="51" stopIfTrue="1" operator="equal">
      <formula>"E7"</formula>
    </cfRule>
    <cfRule type="cellIs" dxfId="345" priority="52" stopIfTrue="1" operator="equal">
      <formula>"E7A"</formula>
    </cfRule>
  </conditionalFormatting>
  <conditionalFormatting sqref="F23">
    <cfRule type="cellIs" dxfId="344" priority="49" stopIfTrue="1" operator="equal">
      <formula>"E7"</formula>
    </cfRule>
    <cfRule type="cellIs" dxfId="343" priority="50" stopIfTrue="1" operator="equal">
      <formula>"E7A"</formula>
    </cfRule>
  </conditionalFormatting>
  <conditionalFormatting sqref="F22">
    <cfRule type="cellIs" dxfId="342" priority="47" stopIfTrue="1" operator="equal">
      <formula>"E7"</formula>
    </cfRule>
    <cfRule type="cellIs" dxfId="341" priority="48" stopIfTrue="1" operator="equal">
      <formula>"E7A"</formula>
    </cfRule>
  </conditionalFormatting>
  <conditionalFormatting sqref="F21">
    <cfRule type="cellIs" dxfId="340" priority="45" stopIfTrue="1" operator="equal">
      <formula>"E7"</formula>
    </cfRule>
    <cfRule type="cellIs" dxfId="339" priority="46" stopIfTrue="1" operator="equal">
      <formula>"E7A"</formula>
    </cfRule>
  </conditionalFormatting>
  <conditionalFormatting sqref="F24">
    <cfRule type="cellIs" dxfId="338" priority="43" stopIfTrue="1" operator="equal">
      <formula>"E7"</formula>
    </cfRule>
    <cfRule type="cellIs" dxfId="337" priority="44" stopIfTrue="1" operator="equal">
      <formula>"E7A"</formula>
    </cfRule>
  </conditionalFormatting>
  <conditionalFormatting sqref="B21:B24">
    <cfRule type="expression" dxfId="336" priority="42">
      <formula>$B21="A"</formula>
    </cfRule>
  </conditionalFormatting>
  <conditionalFormatting sqref="B25">
    <cfRule type="expression" dxfId="335" priority="41">
      <formula>$B25="A"</formula>
    </cfRule>
  </conditionalFormatting>
  <conditionalFormatting sqref="F25">
    <cfRule type="cellIs" dxfId="334" priority="39" stopIfTrue="1" operator="equal">
      <formula>"E7"</formula>
    </cfRule>
    <cfRule type="cellIs" dxfId="333" priority="40" stopIfTrue="1" operator="equal">
      <formula>"E7A"</formula>
    </cfRule>
  </conditionalFormatting>
  <conditionalFormatting sqref="F13">
    <cfRule type="cellIs" dxfId="332" priority="37" stopIfTrue="1" operator="equal">
      <formula>"E7"</formula>
    </cfRule>
    <cfRule type="cellIs" dxfId="331" priority="38" stopIfTrue="1" operator="equal">
      <formula>"E7A"</formula>
    </cfRule>
  </conditionalFormatting>
  <conditionalFormatting sqref="B13">
    <cfRule type="expression" dxfId="330" priority="36">
      <formula>$B13="A"</formula>
    </cfRule>
  </conditionalFormatting>
  <conditionalFormatting sqref="B15">
    <cfRule type="expression" dxfId="329" priority="35">
      <formula>$B15="A"</formula>
    </cfRule>
  </conditionalFormatting>
  <conditionalFormatting sqref="F15">
    <cfRule type="cellIs" dxfId="328" priority="33" stopIfTrue="1" operator="equal">
      <formula>"E7"</formula>
    </cfRule>
    <cfRule type="cellIs" dxfId="327" priority="34" stopIfTrue="1" operator="equal">
      <formula>"E7A"</formula>
    </cfRule>
  </conditionalFormatting>
  <conditionalFormatting sqref="F19">
    <cfRule type="cellIs" dxfId="326" priority="31" stopIfTrue="1" operator="equal">
      <formula>"E7"</formula>
    </cfRule>
    <cfRule type="cellIs" dxfId="325" priority="32" stopIfTrue="1" operator="equal">
      <formula>"E7A"</formula>
    </cfRule>
  </conditionalFormatting>
  <conditionalFormatting sqref="F20">
    <cfRule type="cellIs" dxfId="324" priority="29" stopIfTrue="1" operator="equal">
      <formula>"E7"</formula>
    </cfRule>
    <cfRule type="cellIs" dxfId="323" priority="30" stopIfTrue="1" operator="equal">
      <formula>"E7A"</formula>
    </cfRule>
  </conditionalFormatting>
  <conditionalFormatting sqref="B16:B20">
    <cfRule type="expression" dxfId="322" priority="28">
      <formula>$B16="A"</formula>
    </cfRule>
  </conditionalFormatting>
  <conditionalFormatting sqref="F16">
    <cfRule type="cellIs" dxfId="321" priority="26" stopIfTrue="1" operator="equal">
      <formula>"E7"</formula>
    </cfRule>
    <cfRule type="cellIs" dxfId="320" priority="27" stopIfTrue="1" operator="equal">
      <formula>"E7A"</formula>
    </cfRule>
  </conditionalFormatting>
  <conditionalFormatting sqref="F17">
    <cfRule type="cellIs" dxfId="319" priority="24" stopIfTrue="1" operator="equal">
      <formula>"E7"</formula>
    </cfRule>
    <cfRule type="cellIs" dxfId="318" priority="25" stopIfTrue="1" operator="equal">
      <formula>"E7A"</formula>
    </cfRule>
  </conditionalFormatting>
  <conditionalFormatting sqref="F18">
    <cfRule type="cellIs" dxfId="317" priority="22" stopIfTrue="1" operator="equal">
      <formula>"E7"</formula>
    </cfRule>
    <cfRule type="cellIs" dxfId="316" priority="23" stopIfTrue="1" operator="equal">
      <formula>"E7A"</formula>
    </cfRule>
  </conditionalFormatting>
  <conditionalFormatting sqref="FM1 H1:L1 DV1:FJ1 BB1:DT1">
    <cfRule type="duplicateValues" dxfId="315" priority="259"/>
  </conditionalFormatting>
  <conditionalFormatting sqref="FM4 I4:L4 BB4:DT4 DV4:FJ4">
    <cfRule type="duplicateValues" dxfId="314" priority="260"/>
  </conditionalFormatting>
  <conditionalFormatting sqref="FK1:FL1">
    <cfRule type="duplicateValues" dxfId="313" priority="261"/>
  </conditionalFormatting>
  <conditionalFormatting sqref="FK4:FL4">
    <cfRule type="duplicateValues" dxfId="312" priority="262"/>
  </conditionalFormatting>
  <conditionalFormatting sqref="F101">
    <cfRule type="cellIs" dxfId="311" priority="20" stopIfTrue="1" operator="equal">
      <formula>"E7"</formula>
    </cfRule>
    <cfRule type="cellIs" dxfId="310" priority="21" stopIfTrue="1" operator="equal">
      <formula>"E7A"</formula>
    </cfRule>
  </conditionalFormatting>
  <conditionalFormatting sqref="B101">
    <cfRule type="expression" dxfId="309" priority="19">
      <formula>$B101="A"</formula>
    </cfRule>
  </conditionalFormatting>
  <conditionalFormatting sqref="F100">
    <cfRule type="cellIs" dxfId="308" priority="17" stopIfTrue="1" operator="equal">
      <formula>"E7"</formula>
    </cfRule>
    <cfRule type="cellIs" dxfId="307" priority="18" stopIfTrue="1" operator="equal">
      <formula>"E7A"</formula>
    </cfRule>
  </conditionalFormatting>
  <conditionalFormatting sqref="B100">
    <cfRule type="expression" dxfId="306" priority="16">
      <formula>$B100="A"</formula>
    </cfRule>
  </conditionalFormatting>
  <conditionalFormatting sqref="H6">
    <cfRule type="expression" dxfId="305" priority="263">
      <formula>H$280&gt;0</formula>
    </cfRule>
    <cfRule type="duplicateValues" dxfId="304" priority="264"/>
  </conditionalFormatting>
  <conditionalFormatting sqref="AQ6:BA6">
    <cfRule type="expression" dxfId="303" priority="265">
      <formula>AQ$280&gt;0</formula>
    </cfRule>
    <cfRule type="duplicateValues" dxfId="302" priority="266"/>
  </conditionalFormatting>
  <conditionalFormatting sqref="AF6:AP6">
    <cfRule type="expression" dxfId="301" priority="267">
      <formula>AF$280&gt;0</formula>
    </cfRule>
    <cfRule type="duplicateValues" dxfId="300" priority="268"/>
  </conditionalFormatting>
  <conditionalFormatting sqref="M6:Q6 Z6:AE6">
    <cfRule type="expression" dxfId="299" priority="269">
      <formula>M$280&gt;0</formula>
    </cfRule>
    <cfRule type="duplicateValues" dxfId="298" priority="270"/>
  </conditionalFormatting>
  <conditionalFormatting sqref="Y6">
    <cfRule type="expression" dxfId="297" priority="271">
      <formula>Y$280&gt;0</formula>
    </cfRule>
    <cfRule type="duplicateValues" dxfId="296" priority="272"/>
  </conditionalFormatting>
  <conditionalFormatting sqref="R6:V6 X6">
    <cfRule type="expression" dxfId="295" priority="273">
      <formula>R$280&gt;0</formula>
    </cfRule>
    <cfRule type="duplicateValues" dxfId="294" priority="274"/>
  </conditionalFormatting>
  <conditionalFormatting sqref="I6:L6 BB6:DT6 FM6 DV6:FJ6">
    <cfRule type="expression" dxfId="293" priority="275">
      <formula>I$280&gt;0</formula>
    </cfRule>
    <cfRule type="duplicateValues" dxfId="292" priority="276"/>
  </conditionalFormatting>
  <conditionalFormatting sqref="FK6:FL6">
    <cfRule type="expression" dxfId="291" priority="277">
      <formula>FK$280&gt;0</formula>
    </cfRule>
    <cfRule type="duplicateValues" dxfId="290" priority="278"/>
  </conditionalFormatting>
  <conditionalFormatting sqref="W6">
    <cfRule type="expression" dxfId="289" priority="13">
      <formula>W279=0</formula>
    </cfRule>
  </conditionalFormatting>
  <conditionalFormatting sqref="W1">
    <cfRule type="duplicateValues" dxfId="288" priority="12"/>
  </conditionalFormatting>
  <conditionalFormatting sqref="W4">
    <cfRule type="duplicateValues" dxfId="287" priority="11"/>
  </conditionalFormatting>
  <conditionalFormatting sqref="W6">
    <cfRule type="expression" dxfId="286" priority="14">
      <formula>W$280&gt;0</formula>
    </cfRule>
    <cfRule type="duplicateValues" dxfId="285" priority="15"/>
  </conditionalFormatting>
  <conditionalFormatting sqref="DU6">
    <cfRule type="expression" dxfId="284" priority="6">
      <formula>DU279=0</formula>
    </cfRule>
  </conditionalFormatting>
  <conditionalFormatting sqref="DU1">
    <cfRule type="duplicateValues" dxfId="283" priority="7"/>
  </conditionalFormatting>
  <conditionalFormatting sqref="DU4">
    <cfRule type="duplicateValues" dxfId="282" priority="8"/>
  </conditionalFormatting>
  <conditionalFormatting sqref="DU6">
    <cfRule type="expression" dxfId="281" priority="9">
      <formula>DU$280&gt;0</formula>
    </cfRule>
    <cfRule type="duplicateValues" dxfId="280" priority="10"/>
  </conditionalFormatting>
  <conditionalFormatting sqref="B14">
    <cfRule type="expression" dxfId="279" priority="5">
      <formula>$B14="A"</formula>
    </cfRule>
  </conditionalFormatting>
  <conditionalFormatting sqref="F14">
    <cfRule type="cellIs" dxfId="278" priority="3" stopIfTrue="1" operator="equal">
      <formula>"E7"</formula>
    </cfRule>
    <cfRule type="cellIs" dxfId="277" priority="4" stopIfTrue="1" operator="equal">
      <formula>"E7A"</formula>
    </cfRule>
  </conditionalFormatting>
  <conditionalFormatting sqref="F103">
    <cfRule type="cellIs" dxfId="276" priority="1" stopIfTrue="1" operator="equal">
      <formula>"E7"</formula>
    </cfRule>
    <cfRule type="cellIs" dxfId="275" priority="2" stopIfTrue="1" operator="equal">
      <formula>"E7A"</formula>
    </cfRule>
  </conditionalFormatting>
  <pageMargins left="0.7" right="0.7" top="0.75" bottom="0.75" header="0.3" footer="0.3"/>
  <legacy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FW127"/>
  <sheetViews>
    <sheetView tabSelected="1" workbookViewId="0">
      <pane xSplit="7" ySplit="6" topLeftCell="H7" activePane="bottomRight" state="frozen"/>
      <selection pane="topRight" activeCell="H1" sqref="H1"/>
      <selection pane="bottomLeft" activeCell="A7" sqref="A7"/>
      <selection pane="bottomRight" activeCell="H101" sqref="H101:FO103"/>
    </sheetView>
  </sheetViews>
  <sheetFormatPr defaultRowHeight="10.199999999999999"/>
  <cols>
    <col min="1" max="4" width="8.88671875" style="273"/>
    <col min="5" max="5" width="13.44140625" style="273" bestFit="1" customWidth="1"/>
    <col min="6" max="16384" width="8.88671875" style="273"/>
  </cols>
  <sheetData>
    <row r="1" spans="1:178" s="221" customFormat="1" ht="11.4">
      <c r="A1" s="220"/>
      <c r="D1" s="222"/>
      <c r="E1" s="223"/>
      <c r="F1" s="223"/>
      <c r="G1" s="229" t="s">
        <v>1364</v>
      </c>
      <c r="H1" s="223"/>
      <c r="I1" s="223"/>
      <c r="J1" s="223"/>
      <c r="K1" s="223"/>
      <c r="L1" s="223"/>
      <c r="M1" s="223"/>
      <c r="N1" s="223"/>
      <c r="O1" s="223"/>
      <c r="P1" s="223"/>
      <c r="Q1" s="223"/>
      <c r="R1" s="223"/>
      <c r="S1" s="223"/>
      <c r="T1" s="223"/>
      <c r="U1" s="223"/>
      <c r="V1" s="223"/>
      <c r="W1" s="223"/>
      <c r="X1" s="223"/>
      <c r="Y1" s="223"/>
      <c r="Z1" s="223"/>
      <c r="AA1" s="223"/>
      <c r="AB1" s="223"/>
      <c r="AC1" s="223"/>
      <c r="AD1" s="223"/>
      <c r="AE1" s="223"/>
      <c r="AF1" s="223"/>
      <c r="AG1" s="223"/>
      <c r="AH1" s="223"/>
      <c r="AI1" s="223"/>
      <c r="AJ1" s="223"/>
      <c r="AK1" s="223"/>
      <c r="AL1" s="223"/>
      <c r="AM1" s="223"/>
      <c r="AN1" s="223"/>
      <c r="AO1" s="223"/>
      <c r="AP1" s="223"/>
      <c r="AQ1" s="223"/>
      <c r="AR1" s="223"/>
      <c r="AS1" s="223"/>
      <c r="AT1" s="223"/>
      <c r="AU1" s="223"/>
      <c r="AV1" s="223"/>
      <c r="AW1" s="223"/>
      <c r="AX1" s="223"/>
      <c r="AY1" s="223"/>
      <c r="AZ1" s="223"/>
      <c r="BA1" s="223"/>
      <c r="BB1" s="223"/>
      <c r="BC1" s="223"/>
      <c r="BD1" s="223"/>
      <c r="BE1" s="223"/>
      <c r="BF1" s="223"/>
      <c r="BG1" s="223"/>
      <c r="BH1" s="223"/>
      <c r="BI1" s="223"/>
      <c r="BJ1" s="223"/>
      <c r="BK1" s="223"/>
      <c r="BL1" s="223"/>
      <c r="BM1" s="223"/>
      <c r="BN1" s="223"/>
      <c r="BO1" s="223"/>
      <c r="BP1" s="223"/>
      <c r="BQ1" s="223"/>
      <c r="BR1" s="223"/>
      <c r="BS1" s="223"/>
      <c r="BT1" s="223"/>
      <c r="BU1" s="223"/>
      <c r="BV1" s="223"/>
      <c r="BW1" s="223"/>
      <c r="BX1" s="223"/>
      <c r="BY1" s="223"/>
      <c r="BZ1" s="223"/>
      <c r="CA1" s="223"/>
      <c r="CB1" s="223"/>
      <c r="CC1" s="223"/>
      <c r="CD1" s="223"/>
      <c r="CE1" s="223"/>
      <c r="CF1" s="223"/>
      <c r="CG1" s="223"/>
      <c r="CH1" s="223"/>
      <c r="CI1" s="223"/>
      <c r="CJ1" s="223"/>
      <c r="CK1" s="223"/>
      <c r="CL1" s="223"/>
      <c r="CM1" s="223"/>
      <c r="CN1" s="223"/>
      <c r="CO1" s="223"/>
      <c r="CP1" s="223"/>
      <c r="CQ1" s="223"/>
      <c r="CR1" s="223"/>
      <c r="CS1" s="223"/>
      <c r="CT1" s="223"/>
      <c r="CU1" s="223"/>
      <c r="CV1" s="223"/>
      <c r="CW1" s="223"/>
      <c r="CX1" s="223"/>
      <c r="CY1" s="223"/>
      <c r="CZ1" s="223"/>
      <c r="DA1" s="223"/>
      <c r="DB1" s="223"/>
      <c r="DC1" s="223"/>
      <c r="DD1" s="223"/>
      <c r="DE1" s="223"/>
      <c r="DF1" s="223"/>
      <c r="DG1" s="223"/>
      <c r="DH1" s="223"/>
      <c r="DI1" s="223"/>
      <c r="DJ1" s="223"/>
      <c r="DK1" s="223"/>
      <c r="DL1" s="223"/>
      <c r="DM1" s="223"/>
      <c r="DN1" s="223"/>
      <c r="DO1" s="223"/>
      <c r="DP1" s="223"/>
      <c r="DQ1" s="223"/>
      <c r="DR1" s="223"/>
      <c r="DS1" s="223"/>
      <c r="DT1" s="223"/>
      <c r="DU1" s="223"/>
      <c r="DV1" s="223"/>
      <c r="DW1" s="223"/>
      <c r="DX1" s="223"/>
      <c r="DY1" s="223"/>
      <c r="DZ1" s="223"/>
      <c r="EA1" s="223"/>
      <c r="EB1" s="223"/>
      <c r="EC1" s="223"/>
      <c r="ED1" s="223"/>
      <c r="EE1" s="223"/>
      <c r="EF1" s="223"/>
      <c r="EG1" s="223"/>
      <c r="EH1" s="223"/>
      <c r="EI1" s="223"/>
      <c r="EJ1" s="223"/>
      <c r="EK1" s="223"/>
      <c r="EL1" s="223"/>
      <c r="EM1" s="223"/>
      <c r="EN1" s="223"/>
      <c r="EO1" s="223"/>
      <c r="EP1" s="223"/>
      <c r="EQ1" s="223"/>
      <c r="ER1" s="223"/>
      <c r="ES1" s="223"/>
      <c r="ET1" s="223"/>
      <c r="EU1" s="223"/>
      <c r="EV1" s="223"/>
      <c r="EW1" s="223"/>
      <c r="EX1" s="223"/>
      <c r="EY1" s="223"/>
      <c r="EZ1" s="223"/>
      <c r="FA1" s="223"/>
      <c r="FB1" s="223"/>
      <c r="FC1" s="223"/>
      <c r="FD1" s="223"/>
      <c r="FE1" s="223"/>
      <c r="FF1" s="223"/>
      <c r="FG1" s="223"/>
      <c r="FH1" s="223"/>
      <c r="FI1" s="223"/>
      <c r="FJ1" s="223"/>
      <c r="FK1" s="223"/>
      <c r="FL1" s="223"/>
      <c r="FM1" s="223"/>
      <c r="FN1" s="223"/>
      <c r="FO1" s="223"/>
      <c r="FP1" s="275"/>
      <c r="FQ1" s="225"/>
      <c r="FR1" s="226"/>
    </row>
    <row r="2" spans="1:178" s="228" customFormat="1" ht="11.4">
      <c r="A2" s="227"/>
      <c r="E2" s="229"/>
      <c r="F2" s="229"/>
      <c r="G2" s="229" t="s">
        <v>1365</v>
      </c>
      <c r="H2" s="396" t="s">
        <v>1</v>
      </c>
      <c r="I2" s="396" t="s">
        <v>293</v>
      </c>
      <c r="J2" s="396" t="s">
        <v>1</v>
      </c>
      <c r="K2" s="396" t="s">
        <v>1</v>
      </c>
      <c r="L2" s="396" t="s">
        <v>1</v>
      </c>
      <c r="M2" s="396" t="s">
        <v>293</v>
      </c>
      <c r="N2" s="396" t="s">
        <v>1</v>
      </c>
      <c r="O2" s="396" t="s">
        <v>1</v>
      </c>
      <c r="P2" s="396" t="s">
        <v>1</v>
      </c>
      <c r="Q2" s="396" t="s">
        <v>293</v>
      </c>
      <c r="R2" s="396" t="s">
        <v>1</v>
      </c>
      <c r="S2" s="396" t="s">
        <v>1</v>
      </c>
      <c r="T2" s="396" t="s">
        <v>293</v>
      </c>
      <c r="U2" s="396" t="s">
        <v>1</v>
      </c>
      <c r="V2" s="396" t="s">
        <v>1</v>
      </c>
      <c r="W2" s="396" t="s">
        <v>1</v>
      </c>
      <c r="X2" s="396" t="s">
        <v>1</v>
      </c>
      <c r="Y2" s="396" t="s">
        <v>1</v>
      </c>
      <c r="Z2" s="396" t="s">
        <v>1</v>
      </c>
      <c r="AA2" s="396" t="s">
        <v>1</v>
      </c>
      <c r="AB2" s="396" t="s">
        <v>1</v>
      </c>
      <c r="AC2" s="396" t="s">
        <v>1</v>
      </c>
      <c r="AD2" s="396" t="s">
        <v>1</v>
      </c>
      <c r="AE2" s="396" t="s">
        <v>1</v>
      </c>
      <c r="AF2" s="396" t="s">
        <v>1</v>
      </c>
      <c r="AG2" s="396" t="s">
        <v>1</v>
      </c>
      <c r="AH2" s="396" t="s">
        <v>1</v>
      </c>
      <c r="AI2" s="396" t="s">
        <v>1</v>
      </c>
      <c r="AJ2" s="396" t="s">
        <v>1</v>
      </c>
      <c r="AK2" s="396" t="s">
        <v>1</v>
      </c>
      <c r="AL2" s="396" t="s">
        <v>1</v>
      </c>
      <c r="AM2" s="396" t="s">
        <v>1</v>
      </c>
      <c r="AN2" s="396" t="s">
        <v>1</v>
      </c>
      <c r="AO2" s="396" t="s">
        <v>1</v>
      </c>
      <c r="AP2" s="396" t="s">
        <v>1</v>
      </c>
      <c r="AQ2" s="396" t="s">
        <v>1</v>
      </c>
      <c r="AR2" s="396" t="s">
        <v>1</v>
      </c>
      <c r="AS2" s="396" t="s">
        <v>1</v>
      </c>
      <c r="AT2" s="396" t="s">
        <v>291</v>
      </c>
      <c r="AU2" s="396" t="s">
        <v>1</v>
      </c>
      <c r="AV2" s="396" t="s">
        <v>1</v>
      </c>
      <c r="AW2" s="396" t="s">
        <v>1</v>
      </c>
      <c r="AX2" s="396" t="s">
        <v>1</v>
      </c>
      <c r="AY2" s="396" t="s">
        <v>1</v>
      </c>
      <c r="AZ2" s="396" t="s">
        <v>1</v>
      </c>
      <c r="BA2" s="396" t="s">
        <v>1</v>
      </c>
      <c r="BB2" s="396" t="s">
        <v>1</v>
      </c>
      <c r="BC2" s="396" t="s">
        <v>1</v>
      </c>
      <c r="BD2" s="397" t="s">
        <v>294</v>
      </c>
      <c r="BE2" s="396" t="s">
        <v>1</v>
      </c>
      <c r="BF2" s="396" t="s">
        <v>1</v>
      </c>
      <c r="BG2" s="396" t="s">
        <v>1</v>
      </c>
      <c r="BH2" s="396" t="s">
        <v>1</v>
      </c>
      <c r="BI2" s="396" t="s">
        <v>1</v>
      </c>
      <c r="BJ2" s="396" t="s">
        <v>1</v>
      </c>
      <c r="BK2" s="396" t="s">
        <v>1</v>
      </c>
      <c r="BL2" s="396" t="s">
        <v>1</v>
      </c>
      <c r="BM2" s="396" t="s">
        <v>1</v>
      </c>
      <c r="BN2" s="396" t="s">
        <v>1</v>
      </c>
      <c r="BO2" s="396" t="s">
        <v>1</v>
      </c>
      <c r="BP2" s="396" t="s">
        <v>1</v>
      </c>
      <c r="BQ2" s="397" t="s">
        <v>294</v>
      </c>
      <c r="BR2" s="396" t="s">
        <v>1</v>
      </c>
      <c r="BS2" s="396" t="s">
        <v>1</v>
      </c>
      <c r="BT2" s="396" t="s">
        <v>1</v>
      </c>
      <c r="BU2" s="396" t="s">
        <v>1</v>
      </c>
      <c r="BV2" s="396" t="s">
        <v>1</v>
      </c>
      <c r="BW2" s="396" t="s">
        <v>1</v>
      </c>
      <c r="BX2" s="396" t="s">
        <v>1</v>
      </c>
      <c r="BY2" s="396" t="s">
        <v>1</v>
      </c>
      <c r="BZ2" s="396" t="s">
        <v>1</v>
      </c>
      <c r="CA2" s="396" t="s">
        <v>1</v>
      </c>
      <c r="CB2" s="396" t="s">
        <v>1</v>
      </c>
      <c r="CC2" s="397" t="s">
        <v>294</v>
      </c>
      <c r="CD2" s="397" t="s">
        <v>294</v>
      </c>
      <c r="CE2" s="397" t="s">
        <v>293</v>
      </c>
      <c r="CF2" s="396" t="s">
        <v>1</v>
      </c>
      <c r="CG2" s="397" t="s">
        <v>294</v>
      </c>
      <c r="CH2" s="397" t="s">
        <v>294</v>
      </c>
      <c r="CI2" s="397" t="s">
        <v>294</v>
      </c>
      <c r="CJ2" s="396" t="s">
        <v>1</v>
      </c>
      <c r="CK2" s="396" t="s">
        <v>1</v>
      </c>
      <c r="CL2" s="397" t="s">
        <v>294</v>
      </c>
      <c r="CM2" s="397" t="s">
        <v>294</v>
      </c>
      <c r="CN2" s="397" t="s">
        <v>294</v>
      </c>
      <c r="CO2" s="397" t="s">
        <v>294</v>
      </c>
      <c r="CP2" s="397" t="s">
        <v>293</v>
      </c>
      <c r="CQ2" s="396" t="s">
        <v>1</v>
      </c>
      <c r="CR2" s="396" t="s">
        <v>1</v>
      </c>
      <c r="CS2" s="396" t="s">
        <v>1</v>
      </c>
      <c r="CT2" s="396" t="s">
        <v>1</v>
      </c>
      <c r="CU2" s="396" t="s">
        <v>1</v>
      </c>
      <c r="CV2" s="396" t="s">
        <v>1</v>
      </c>
      <c r="CW2" s="396" t="s">
        <v>1</v>
      </c>
      <c r="CX2" s="396" t="s">
        <v>1</v>
      </c>
      <c r="CY2" s="396" t="s">
        <v>1</v>
      </c>
      <c r="CZ2" s="396" t="s">
        <v>1</v>
      </c>
      <c r="DA2" s="397" t="s">
        <v>294</v>
      </c>
      <c r="DB2" s="397" t="s">
        <v>294</v>
      </c>
      <c r="DC2" s="396" t="s">
        <v>1</v>
      </c>
      <c r="DD2" s="397" t="s">
        <v>294</v>
      </c>
      <c r="DE2" s="396" t="s">
        <v>1</v>
      </c>
      <c r="DF2" s="396" t="s">
        <v>1</v>
      </c>
      <c r="DG2" s="396" t="s">
        <v>1</v>
      </c>
      <c r="DH2" s="396" t="s">
        <v>1</v>
      </c>
      <c r="DI2" s="396" t="s">
        <v>291</v>
      </c>
      <c r="DJ2" s="396" t="s">
        <v>1</v>
      </c>
      <c r="DK2" s="396" t="s">
        <v>1</v>
      </c>
      <c r="DL2" s="397" t="s">
        <v>292</v>
      </c>
      <c r="DM2" s="304" t="s">
        <v>772</v>
      </c>
      <c r="DN2" s="396" t="s">
        <v>1</v>
      </c>
      <c r="DO2" s="396" t="s">
        <v>1</v>
      </c>
      <c r="DP2" s="396" t="s">
        <v>291</v>
      </c>
      <c r="DQ2" s="396" t="s">
        <v>291</v>
      </c>
      <c r="DR2" s="396" t="s">
        <v>1</v>
      </c>
      <c r="DS2" s="396" t="s">
        <v>1</v>
      </c>
      <c r="DT2" s="397" t="s">
        <v>1</v>
      </c>
      <c r="DU2" s="397" t="s">
        <v>295</v>
      </c>
      <c r="DV2" s="396" t="s">
        <v>1</v>
      </c>
      <c r="DW2" s="397" t="s">
        <v>1</v>
      </c>
      <c r="DX2" s="397" t="s">
        <v>295</v>
      </c>
      <c r="DY2" s="396" t="s">
        <v>1</v>
      </c>
      <c r="DZ2" s="396" t="s">
        <v>1</v>
      </c>
      <c r="EA2" s="396" t="s">
        <v>1</v>
      </c>
      <c r="EB2" s="396" t="s">
        <v>1</v>
      </c>
      <c r="EC2" s="396" t="s">
        <v>1</v>
      </c>
      <c r="ED2" s="396" t="s">
        <v>1</v>
      </c>
      <c r="EE2" s="396" t="s">
        <v>1</v>
      </c>
      <c r="EF2" s="396" t="s">
        <v>291</v>
      </c>
      <c r="EG2" s="396" t="s">
        <v>291</v>
      </c>
      <c r="EH2" s="396" t="s">
        <v>1</v>
      </c>
      <c r="EI2" s="396" t="s">
        <v>1</v>
      </c>
      <c r="EJ2" s="396" t="s">
        <v>291</v>
      </c>
      <c r="EK2" s="396" t="s">
        <v>1</v>
      </c>
      <c r="EL2" s="396" t="s">
        <v>1</v>
      </c>
      <c r="EM2" s="397" t="s">
        <v>292</v>
      </c>
      <c r="EN2" s="396" t="s">
        <v>1</v>
      </c>
      <c r="EO2" s="396" t="s">
        <v>1</v>
      </c>
      <c r="EP2" s="396" t="s">
        <v>291</v>
      </c>
      <c r="EQ2" s="396" t="s">
        <v>1</v>
      </c>
      <c r="ER2" s="396" t="s">
        <v>1</v>
      </c>
      <c r="ES2" s="397" t="s">
        <v>292</v>
      </c>
      <c r="ET2" s="396" t="s">
        <v>1</v>
      </c>
      <c r="EU2" s="396" t="s">
        <v>291</v>
      </c>
      <c r="EV2" s="396" t="s">
        <v>291</v>
      </c>
      <c r="EW2" s="397" t="s">
        <v>292</v>
      </c>
      <c r="EX2" s="396" t="s">
        <v>291</v>
      </c>
      <c r="EY2" s="396" t="s">
        <v>1</v>
      </c>
      <c r="EZ2" s="397" t="s">
        <v>294</v>
      </c>
      <c r="FA2" s="397" t="s">
        <v>1</v>
      </c>
      <c r="FB2" s="397" t="s">
        <v>1</v>
      </c>
      <c r="FC2" s="396" t="s">
        <v>1</v>
      </c>
      <c r="FD2" s="396" t="s">
        <v>291</v>
      </c>
      <c r="FE2" s="396" t="s">
        <v>291</v>
      </c>
      <c r="FF2" s="396" t="s">
        <v>291</v>
      </c>
      <c r="FG2" s="397" t="s">
        <v>295</v>
      </c>
      <c r="FH2" s="397" t="s">
        <v>292</v>
      </c>
      <c r="FI2" s="397" t="s">
        <v>292</v>
      </c>
      <c r="FJ2" s="396" t="s">
        <v>291</v>
      </c>
      <c r="FK2" s="397" t="s">
        <v>292</v>
      </c>
      <c r="FL2" s="396" t="s">
        <v>1</v>
      </c>
      <c r="FM2" s="396" t="s">
        <v>293</v>
      </c>
      <c r="FN2" s="396" t="s">
        <v>293</v>
      </c>
      <c r="FO2" s="396" t="s">
        <v>293</v>
      </c>
      <c r="FP2" s="275"/>
      <c r="FQ2" s="232"/>
      <c r="FR2" s="233"/>
    </row>
    <row r="3" spans="1:178" s="228" customFormat="1">
      <c r="A3" s="227"/>
      <c r="E3" s="229"/>
      <c r="F3" s="229"/>
      <c r="G3" s="229" t="s">
        <v>296</v>
      </c>
      <c r="H3" s="230">
        <v>10</v>
      </c>
      <c r="I3" s="230">
        <v>10</v>
      </c>
      <c r="J3" s="230" t="s">
        <v>206</v>
      </c>
      <c r="K3" s="230">
        <v>5</v>
      </c>
      <c r="L3" s="230">
        <v>10</v>
      </c>
      <c r="M3" s="230">
        <v>10</v>
      </c>
      <c r="N3" s="230">
        <v>5</v>
      </c>
      <c r="O3" s="230">
        <v>5</v>
      </c>
      <c r="P3" s="230">
        <v>10</v>
      </c>
      <c r="Q3" s="230">
        <v>10</v>
      </c>
      <c r="R3" s="230">
        <v>5</v>
      </c>
      <c r="S3" s="230">
        <v>10</v>
      </c>
      <c r="T3" s="230">
        <v>10</v>
      </c>
      <c r="U3" s="230">
        <v>10</v>
      </c>
      <c r="V3" s="230">
        <v>10</v>
      </c>
      <c r="W3" s="230">
        <v>10</v>
      </c>
      <c r="X3" s="230" t="s">
        <v>206</v>
      </c>
      <c r="Y3" s="230" t="s">
        <v>206</v>
      </c>
      <c r="Z3" s="230" t="s">
        <v>206</v>
      </c>
      <c r="AA3" s="230">
        <v>5</v>
      </c>
      <c r="AB3" s="230">
        <v>10</v>
      </c>
      <c r="AC3" s="230">
        <v>10</v>
      </c>
      <c r="AD3" s="230">
        <v>10</v>
      </c>
      <c r="AE3" s="230">
        <v>10</v>
      </c>
      <c r="AF3" s="230">
        <v>10</v>
      </c>
      <c r="AG3" s="230">
        <v>10</v>
      </c>
      <c r="AH3" s="230">
        <v>10</v>
      </c>
      <c r="AI3" s="230">
        <v>10</v>
      </c>
      <c r="AJ3" s="230">
        <v>10</v>
      </c>
      <c r="AK3" s="230">
        <v>10</v>
      </c>
      <c r="AL3" s="230">
        <v>10</v>
      </c>
      <c r="AM3" s="230">
        <v>10</v>
      </c>
      <c r="AN3" s="230">
        <v>10</v>
      </c>
      <c r="AO3" s="230">
        <v>10</v>
      </c>
      <c r="AP3" s="230">
        <v>10</v>
      </c>
      <c r="AQ3" s="230">
        <v>10</v>
      </c>
      <c r="AR3" s="230">
        <v>10</v>
      </c>
      <c r="AS3" s="230">
        <v>10</v>
      </c>
      <c r="AT3" s="230">
        <v>20</v>
      </c>
      <c r="AU3" s="230">
        <v>1</v>
      </c>
      <c r="AV3" s="230">
        <v>1</v>
      </c>
      <c r="AW3" s="230">
        <v>1</v>
      </c>
      <c r="AX3" s="230">
        <v>1</v>
      </c>
      <c r="AY3" s="230">
        <v>1</v>
      </c>
      <c r="AZ3" s="230">
        <v>1</v>
      </c>
      <c r="BA3" s="230">
        <v>4</v>
      </c>
      <c r="BB3" s="230">
        <v>5</v>
      </c>
      <c r="BC3" s="230">
        <v>5</v>
      </c>
      <c r="BD3" s="230">
        <v>5</v>
      </c>
      <c r="BE3" s="230">
        <v>10</v>
      </c>
      <c r="BF3" s="230">
        <v>10</v>
      </c>
      <c r="BG3" s="230">
        <v>10</v>
      </c>
      <c r="BH3" s="230">
        <v>10</v>
      </c>
      <c r="BI3" s="230">
        <v>10</v>
      </c>
      <c r="BJ3" s="230">
        <v>5</v>
      </c>
      <c r="BK3" s="230">
        <v>5</v>
      </c>
      <c r="BL3" s="230">
        <v>10</v>
      </c>
      <c r="BM3" s="230">
        <v>4</v>
      </c>
      <c r="BN3" s="230">
        <v>5</v>
      </c>
      <c r="BO3" s="230">
        <v>5</v>
      </c>
      <c r="BP3" s="230">
        <v>5</v>
      </c>
      <c r="BQ3" s="230">
        <v>10</v>
      </c>
      <c r="BR3" s="230">
        <v>10</v>
      </c>
      <c r="BS3" s="230">
        <v>10</v>
      </c>
      <c r="BT3" s="230">
        <v>10</v>
      </c>
      <c r="BU3" s="230">
        <v>10</v>
      </c>
      <c r="BV3" s="230">
        <v>1</v>
      </c>
      <c r="BW3" s="230">
        <v>1</v>
      </c>
      <c r="BX3" s="230">
        <v>1</v>
      </c>
      <c r="BY3" s="230">
        <v>1</v>
      </c>
      <c r="BZ3" s="230">
        <v>1</v>
      </c>
      <c r="CA3" s="230">
        <v>1</v>
      </c>
      <c r="CB3" s="230">
        <v>1</v>
      </c>
      <c r="CC3" s="230">
        <v>4</v>
      </c>
      <c r="CD3" s="230">
        <v>5</v>
      </c>
      <c r="CE3" s="230">
        <v>5</v>
      </c>
      <c r="CF3" s="230">
        <v>5</v>
      </c>
      <c r="CG3" s="230">
        <v>10</v>
      </c>
      <c r="CH3" s="230">
        <v>10</v>
      </c>
      <c r="CI3" s="230">
        <v>10</v>
      </c>
      <c r="CJ3" s="230">
        <v>10</v>
      </c>
      <c r="CK3" s="230">
        <v>10</v>
      </c>
      <c r="CL3" s="230">
        <v>10</v>
      </c>
      <c r="CM3" s="230">
        <v>5</v>
      </c>
      <c r="CN3" s="230">
        <v>10</v>
      </c>
      <c r="CO3" s="230">
        <v>10</v>
      </c>
      <c r="CP3" s="230">
        <v>10</v>
      </c>
      <c r="CQ3" s="230">
        <v>10</v>
      </c>
      <c r="CR3" s="230">
        <v>5</v>
      </c>
      <c r="CS3" s="230">
        <v>10</v>
      </c>
      <c r="CT3" s="230">
        <v>10</v>
      </c>
      <c r="CU3" s="230">
        <v>10</v>
      </c>
      <c r="CV3" s="230">
        <v>10</v>
      </c>
      <c r="CW3" s="230">
        <v>10</v>
      </c>
      <c r="CX3" s="230">
        <v>10</v>
      </c>
      <c r="CY3" s="230">
        <v>10</v>
      </c>
      <c r="CZ3" s="230">
        <v>10</v>
      </c>
      <c r="DA3" s="230">
        <v>10</v>
      </c>
      <c r="DB3" s="230">
        <v>10</v>
      </c>
      <c r="DC3" s="230">
        <v>10</v>
      </c>
      <c r="DD3" s="230">
        <v>10</v>
      </c>
      <c r="DE3" s="230">
        <v>10</v>
      </c>
      <c r="DF3" s="230">
        <v>10</v>
      </c>
      <c r="DG3" s="230">
        <v>10</v>
      </c>
      <c r="DH3" s="230">
        <v>10</v>
      </c>
      <c r="DI3" s="230">
        <v>10</v>
      </c>
      <c r="DJ3" s="230">
        <v>20</v>
      </c>
      <c r="DK3" s="230">
        <v>10</v>
      </c>
      <c r="DL3" s="230">
        <v>10</v>
      </c>
      <c r="DM3" s="230">
        <v>10</v>
      </c>
      <c r="DN3" s="230">
        <v>20</v>
      </c>
      <c r="DO3" s="230">
        <v>10</v>
      </c>
      <c r="DP3" s="230">
        <v>10</v>
      </c>
      <c r="DQ3" s="230">
        <v>10</v>
      </c>
      <c r="DR3" s="230">
        <v>20</v>
      </c>
      <c r="DS3" s="230">
        <v>10</v>
      </c>
      <c r="DT3" s="230">
        <v>10</v>
      </c>
      <c r="DU3" s="230">
        <v>10</v>
      </c>
      <c r="DV3" s="230">
        <v>20</v>
      </c>
      <c r="DW3" s="230">
        <v>10</v>
      </c>
      <c r="DX3" s="230">
        <v>10</v>
      </c>
      <c r="DY3" s="230">
        <v>20</v>
      </c>
      <c r="DZ3" s="230">
        <v>5</v>
      </c>
      <c r="EA3" s="230">
        <v>10</v>
      </c>
      <c r="EB3" s="230">
        <v>10</v>
      </c>
      <c r="EC3" s="230">
        <v>20</v>
      </c>
      <c r="ED3" s="230">
        <v>10</v>
      </c>
      <c r="EE3" s="230">
        <v>10</v>
      </c>
      <c r="EF3" s="230">
        <v>10</v>
      </c>
      <c r="EG3" s="230">
        <v>20</v>
      </c>
      <c r="EH3" s="230">
        <v>20</v>
      </c>
      <c r="EI3" s="230">
        <v>10</v>
      </c>
      <c r="EJ3" s="230">
        <v>20</v>
      </c>
      <c r="EK3" s="230">
        <v>20</v>
      </c>
      <c r="EL3" s="230">
        <v>20</v>
      </c>
      <c r="EM3" s="230">
        <v>20</v>
      </c>
      <c r="EN3" s="230">
        <v>20</v>
      </c>
      <c r="EO3" s="230">
        <v>20</v>
      </c>
      <c r="EP3" s="230">
        <v>10</v>
      </c>
      <c r="EQ3" s="230">
        <v>20</v>
      </c>
      <c r="ER3" s="230">
        <v>20</v>
      </c>
      <c r="ES3" s="230">
        <v>20</v>
      </c>
      <c r="ET3" s="230">
        <v>10</v>
      </c>
      <c r="EU3" s="230">
        <v>20</v>
      </c>
      <c r="EV3" s="230">
        <v>20</v>
      </c>
      <c r="EW3" s="230">
        <v>20</v>
      </c>
      <c r="EX3" s="230">
        <v>20</v>
      </c>
      <c r="EY3" s="230">
        <v>20</v>
      </c>
      <c r="EZ3" s="230">
        <v>20</v>
      </c>
      <c r="FA3" s="230">
        <v>20</v>
      </c>
      <c r="FB3" s="230">
        <v>20</v>
      </c>
      <c r="FC3" s="230">
        <v>20</v>
      </c>
      <c r="FD3" s="230">
        <v>20</v>
      </c>
      <c r="FE3" s="230">
        <v>30</v>
      </c>
      <c r="FF3" s="230">
        <v>20</v>
      </c>
      <c r="FG3" s="230">
        <v>30</v>
      </c>
      <c r="FH3" s="230">
        <v>30</v>
      </c>
      <c r="FI3" s="230">
        <v>20</v>
      </c>
      <c r="FJ3" s="230">
        <v>30</v>
      </c>
      <c r="FK3" s="230">
        <v>30</v>
      </c>
      <c r="FL3" s="230">
        <v>20</v>
      </c>
      <c r="FM3" s="230">
        <v>4</v>
      </c>
      <c r="FN3" s="230">
        <v>8</v>
      </c>
      <c r="FO3" s="230">
        <v>5</v>
      </c>
      <c r="FP3" s="277"/>
      <c r="FQ3" s="227"/>
      <c r="FS3" s="232"/>
      <c r="FT3" s="233"/>
    </row>
    <row r="4" spans="1:178" s="235" customFormat="1" ht="40.799999999999997">
      <c r="A4" s="234"/>
      <c r="E4" s="234"/>
      <c r="F4" s="234"/>
      <c r="G4" s="234" t="s">
        <v>778</v>
      </c>
      <c r="H4" s="236" t="s">
        <v>1275</v>
      </c>
      <c r="I4" s="236" t="s">
        <v>535</v>
      </c>
      <c r="J4" s="236" t="s">
        <v>534</v>
      </c>
      <c r="K4" s="236" t="s">
        <v>279</v>
      </c>
      <c r="L4" s="236" t="s">
        <v>230</v>
      </c>
      <c r="M4" s="236" t="s">
        <v>533</v>
      </c>
      <c r="N4" s="236" t="s">
        <v>209</v>
      </c>
      <c r="O4" s="236" t="s">
        <v>228</v>
      </c>
      <c r="P4" s="236" t="s">
        <v>229</v>
      </c>
      <c r="Q4" s="236" t="s">
        <v>532</v>
      </c>
      <c r="R4" s="236" t="s">
        <v>261</v>
      </c>
      <c r="S4" s="236" t="s">
        <v>208</v>
      </c>
      <c r="T4" s="236" t="s">
        <v>531</v>
      </c>
      <c r="U4" s="236" t="s">
        <v>1363</v>
      </c>
      <c r="V4" s="236" t="s">
        <v>314</v>
      </c>
      <c r="W4" s="236" t="s">
        <v>287</v>
      </c>
      <c r="X4" s="236" t="s">
        <v>1035</v>
      </c>
      <c r="Y4" s="236" t="s">
        <v>1252</v>
      </c>
      <c r="Z4" s="236" t="s">
        <v>1251</v>
      </c>
      <c r="AA4" s="236" t="s">
        <v>525</v>
      </c>
      <c r="AB4" s="236" t="s">
        <v>527</v>
      </c>
      <c r="AC4" s="236" t="s">
        <v>526</v>
      </c>
      <c r="AD4" s="236" t="s">
        <v>313</v>
      </c>
      <c r="AE4" s="236" t="s">
        <v>524</v>
      </c>
      <c r="AF4" s="236" t="s">
        <v>521</v>
      </c>
      <c r="AG4" s="236" t="s">
        <v>523</v>
      </c>
      <c r="AH4" s="236" t="s">
        <v>522</v>
      </c>
      <c r="AI4" s="236" t="s">
        <v>518</v>
      </c>
      <c r="AJ4" s="236" t="s">
        <v>312</v>
      </c>
      <c r="AK4" s="236" t="s">
        <v>517</v>
      </c>
      <c r="AL4" s="236" t="s">
        <v>519</v>
      </c>
      <c r="AM4" s="236" t="s">
        <v>520</v>
      </c>
      <c r="AN4" s="236" t="s">
        <v>311</v>
      </c>
      <c r="AO4" s="236" t="s">
        <v>539</v>
      </c>
      <c r="AP4" s="236" t="s">
        <v>315</v>
      </c>
      <c r="AQ4" s="236" t="s">
        <v>538</v>
      </c>
      <c r="AR4" s="236" t="s">
        <v>536</v>
      </c>
      <c r="AS4" s="236" t="s">
        <v>1140</v>
      </c>
      <c r="AT4" s="236" t="s">
        <v>883</v>
      </c>
      <c r="AU4" s="236" t="s">
        <v>227</v>
      </c>
      <c r="AV4" s="236" t="s">
        <v>227</v>
      </c>
      <c r="AW4" s="236" t="s">
        <v>227</v>
      </c>
      <c r="AX4" s="236" t="s">
        <v>227</v>
      </c>
      <c r="AY4" s="236" t="s">
        <v>227</v>
      </c>
      <c r="AZ4" s="236" t="s">
        <v>227</v>
      </c>
      <c r="BA4" s="236" t="s">
        <v>167</v>
      </c>
      <c r="BB4" s="236" t="s">
        <v>240</v>
      </c>
      <c r="BC4" s="350" t="s">
        <v>101</v>
      </c>
      <c r="BD4" s="236" t="s">
        <v>15</v>
      </c>
      <c r="BE4" s="236" t="s">
        <v>5</v>
      </c>
      <c r="BF4" s="236" t="s">
        <v>19</v>
      </c>
      <c r="BG4" s="236" t="s">
        <v>4</v>
      </c>
      <c r="BH4" s="236" t="s">
        <v>207</v>
      </c>
      <c r="BI4" s="236" t="s">
        <v>10</v>
      </c>
      <c r="BJ4" s="236" t="s">
        <v>10</v>
      </c>
      <c r="BK4" s="236" t="s">
        <v>506</v>
      </c>
      <c r="BL4" s="236" t="s">
        <v>509</v>
      </c>
      <c r="BM4" s="236" t="s">
        <v>1028</v>
      </c>
      <c r="BN4" s="236" t="s">
        <v>1029</v>
      </c>
      <c r="BO4" s="236" t="s">
        <v>987</v>
      </c>
      <c r="BP4" s="236" t="s">
        <v>986</v>
      </c>
      <c r="BQ4" s="236" t="s">
        <v>1032</v>
      </c>
      <c r="BR4" s="236" t="s">
        <v>1034</v>
      </c>
      <c r="BS4" s="236" t="s">
        <v>1031</v>
      </c>
      <c r="BT4" s="236" t="s">
        <v>1030</v>
      </c>
      <c r="BU4" s="236" t="s">
        <v>1033</v>
      </c>
      <c r="BV4" s="236" t="s">
        <v>115</v>
      </c>
      <c r="BW4" s="236" t="s">
        <v>115</v>
      </c>
      <c r="BX4" s="236" t="s">
        <v>115</v>
      </c>
      <c r="BY4" s="236" t="s">
        <v>115</v>
      </c>
      <c r="BZ4" s="236" t="s">
        <v>115</v>
      </c>
      <c r="CA4" s="236" t="s">
        <v>115</v>
      </c>
      <c r="CB4" s="236" t="s">
        <v>115</v>
      </c>
      <c r="CC4" s="236" t="s">
        <v>87</v>
      </c>
      <c r="CD4" s="236" t="s">
        <v>71</v>
      </c>
      <c r="CE4" s="425" t="s">
        <v>1374</v>
      </c>
      <c r="CF4" s="236" t="s">
        <v>8</v>
      </c>
      <c r="CG4" s="236" t="s">
        <v>502</v>
      </c>
      <c r="CH4" s="236" t="s">
        <v>3</v>
      </c>
      <c r="CI4" s="236" t="s">
        <v>9</v>
      </c>
      <c r="CJ4" s="236" t="s">
        <v>2</v>
      </c>
      <c r="CK4" s="236" t="s">
        <v>72</v>
      </c>
      <c r="CL4" s="236" t="s">
        <v>308</v>
      </c>
      <c r="CM4" s="236" t="s">
        <v>17</v>
      </c>
      <c r="CN4" s="236" t="s">
        <v>7</v>
      </c>
      <c r="CO4" s="236" t="s">
        <v>18</v>
      </c>
      <c r="CP4" s="425" t="s">
        <v>6</v>
      </c>
      <c r="CQ4" s="236" t="s">
        <v>14</v>
      </c>
      <c r="CR4" s="236" t="s">
        <v>20</v>
      </c>
      <c r="CS4" s="236" t="s">
        <v>500</v>
      </c>
      <c r="CT4" s="236" t="s">
        <v>70</v>
      </c>
      <c r="CU4" s="236" t="s">
        <v>13</v>
      </c>
      <c r="CV4" s="236" t="s">
        <v>231</v>
      </c>
      <c r="CW4" s="236" t="s">
        <v>12</v>
      </c>
      <c r="CX4" s="236" t="s">
        <v>501</v>
      </c>
      <c r="CY4" s="236" t="s">
        <v>1026</v>
      </c>
      <c r="CZ4" s="236" t="s">
        <v>11</v>
      </c>
      <c r="DA4" s="426" t="s">
        <v>1372</v>
      </c>
      <c r="DB4" s="236" t="s">
        <v>258</v>
      </c>
      <c r="DC4" s="236" t="s">
        <v>273</v>
      </c>
      <c r="DD4" s="236" t="s">
        <v>257</v>
      </c>
      <c r="DE4" s="236" t="s">
        <v>272</v>
      </c>
      <c r="DF4" s="236" t="s">
        <v>497</v>
      </c>
      <c r="DG4" s="236" t="s">
        <v>491</v>
      </c>
      <c r="DH4" s="236" t="s">
        <v>495</v>
      </c>
      <c r="DI4" s="236" t="s">
        <v>306</v>
      </c>
      <c r="DJ4" s="236" t="s">
        <v>492</v>
      </c>
      <c r="DK4" s="236" t="s">
        <v>494</v>
      </c>
      <c r="DL4" s="236" t="s">
        <v>305</v>
      </c>
      <c r="DM4" s="350" t="s">
        <v>305</v>
      </c>
      <c r="DN4" s="236" t="s">
        <v>493</v>
      </c>
      <c r="DO4" s="236" t="s">
        <v>486</v>
      </c>
      <c r="DP4" s="236" t="s">
        <v>489</v>
      </c>
      <c r="DQ4" s="236" t="s">
        <v>490</v>
      </c>
      <c r="DR4" s="236" t="s">
        <v>488</v>
      </c>
      <c r="DS4" s="236" t="s">
        <v>480</v>
      </c>
      <c r="DT4" s="236" t="s">
        <v>483</v>
      </c>
      <c r="DU4" s="236" t="s">
        <v>304</v>
      </c>
      <c r="DV4" s="236" t="s">
        <v>484</v>
      </c>
      <c r="DW4" s="236" t="s">
        <v>482</v>
      </c>
      <c r="DX4" s="236" t="s">
        <v>302</v>
      </c>
      <c r="DY4" s="236" t="s">
        <v>303</v>
      </c>
      <c r="DZ4" s="236" t="s">
        <v>1027</v>
      </c>
      <c r="EA4" s="236" t="s">
        <v>477</v>
      </c>
      <c r="EB4" s="236" t="s">
        <v>479</v>
      </c>
      <c r="EC4" s="236" t="s">
        <v>478</v>
      </c>
      <c r="ED4" s="236" t="s">
        <v>476</v>
      </c>
      <c r="EE4" s="236" t="s">
        <v>475</v>
      </c>
      <c r="EF4" s="236" t="s">
        <v>301</v>
      </c>
      <c r="EG4" s="236" t="s">
        <v>474</v>
      </c>
      <c r="EH4" s="236" t="s">
        <v>473</v>
      </c>
      <c r="EI4" s="236" t="s">
        <v>470</v>
      </c>
      <c r="EJ4" s="236" t="s">
        <v>472</v>
      </c>
      <c r="EK4" s="426" t="s">
        <v>1373</v>
      </c>
      <c r="EL4" s="236" t="s">
        <v>471</v>
      </c>
      <c r="EM4" s="236" t="s">
        <v>300</v>
      </c>
      <c r="EN4" s="236" t="s">
        <v>469</v>
      </c>
      <c r="EO4" s="236" t="s">
        <v>468</v>
      </c>
      <c r="EP4" s="236" t="s">
        <v>461</v>
      </c>
      <c r="EQ4" s="236" t="s">
        <v>464</v>
      </c>
      <c r="ER4" s="236" t="s">
        <v>465</v>
      </c>
      <c r="ES4" s="236" t="s">
        <v>462</v>
      </c>
      <c r="ET4" s="236" t="s">
        <v>466</v>
      </c>
      <c r="EU4" s="236" t="s">
        <v>460</v>
      </c>
      <c r="EV4" s="236" t="s">
        <v>463</v>
      </c>
      <c r="EW4" s="236" t="s">
        <v>458</v>
      </c>
      <c r="EX4" s="236" t="s">
        <v>298</v>
      </c>
      <c r="EY4" s="426" t="s">
        <v>459</v>
      </c>
      <c r="EZ4" s="236" t="s">
        <v>456</v>
      </c>
      <c r="FA4" s="236" t="s">
        <v>454</v>
      </c>
      <c r="FB4" s="236" t="s">
        <v>455</v>
      </c>
      <c r="FC4" s="350" t="s">
        <v>297</v>
      </c>
      <c r="FD4" s="236" t="s">
        <v>515</v>
      </c>
      <c r="FE4" s="236" t="s">
        <v>516</v>
      </c>
      <c r="FF4" s="236" t="s">
        <v>1276</v>
      </c>
      <c r="FG4" s="236" t="s">
        <v>514</v>
      </c>
      <c r="FH4" s="236" t="s">
        <v>512</v>
      </c>
      <c r="FI4" s="236" t="s">
        <v>513</v>
      </c>
      <c r="FJ4" s="236" t="s">
        <v>310</v>
      </c>
      <c r="FK4" s="236" t="s">
        <v>309</v>
      </c>
      <c r="FL4" s="236" t="s">
        <v>453</v>
      </c>
      <c r="FM4" s="236" t="s">
        <v>1255</v>
      </c>
      <c r="FN4" s="236" t="s">
        <v>1253</v>
      </c>
      <c r="FO4" s="236" t="s">
        <v>1254</v>
      </c>
      <c r="FP4" s="278"/>
      <c r="FQ4" s="234"/>
      <c r="FS4" s="240"/>
    </row>
    <row r="5" spans="1:178" s="221" customFormat="1" ht="20.399999999999999">
      <c r="A5" s="241"/>
      <c r="D5" s="222"/>
      <c r="E5" s="223" t="s">
        <v>316</v>
      </c>
      <c r="F5" s="242" t="s">
        <v>1366</v>
      </c>
      <c r="G5" s="223" t="s">
        <v>317</v>
      </c>
      <c r="H5" s="243" t="s">
        <v>1277</v>
      </c>
      <c r="I5" s="243" t="s">
        <v>198</v>
      </c>
      <c r="J5" s="243" t="s">
        <v>633</v>
      </c>
      <c r="K5" s="243" t="s">
        <v>281</v>
      </c>
      <c r="L5" s="243" t="s">
        <v>214</v>
      </c>
      <c r="M5" s="243" t="s">
        <v>632</v>
      </c>
      <c r="N5" s="243" t="s">
        <v>212</v>
      </c>
      <c r="O5" s="243" t="s">
        <v>211</v>
      </c>
      <c r="P5" s="243" t="s">
        <v>213</v>
      </c>
      <c r="Q5" s="243" t="s">
        <v>631</v>
      </c>
      <c r="R5" s="243" t="s">
        <v>210</v>
      </c>
      <c r="S5" s="243" t="s">
        <v>197</v>
      </c>
      <c r="T5" s="243" t="s">
        <v>630</v>
      </c>
      <c r="U5" s="243" t="s">
        <v>629</v>
      </c>
      <c r="V5" s="243" t="s">
        <v>280</v>
      </c>
      <c r="W5" s="243" t="s">
        <v>288</v>
      </c>
      <c r="X5" s="243" t="s">
        <v>1050</v>
      </c>
      <c r="Y5" s="243" t="s">
        <v>1258</v>
      </c>
      <c r="Z5" s="243" t="s">
        <v>1257</v>
      </c>
      <c r="AA5" s="243" t="s">
        <v>624</v>
      </c>
      <c r="AB5" s="243" t="s">
        <v>626</v>
      </c>
      <c r="AC5" s="243" t="s">
        <v>625</v>
      </c>
      <c r="AD5" s="243" t="s">
        <v>335</v>
      </c>
      <c r="AE5" s="243" t="s">
        <v>623</v>
      </c>
      <c r="AF5" s="243" t="s">
        <v>620</v>
      </c>
      <c r="AG5" s="243" t="s">
        <v>622</v>
      </c>
      <c r="AH5" s="243" t="s">
        <v>621</v>
      </c>
      <c r="AI5" s="243" t="s">
        <v>617</v>
      </c>
      <c r="AJ5" s="243" t="s">
        <v>333</v>
      </c>
      <c r="AK5" s="243" t="s">
        <v>616</v>
      </c>
      <c r="AL5" s="243" t="s">
        <v>618</v>
      </c>
      <c r="AM5" s="243" t="s">
        <v>619</v>
      </c>
      <c r="AN5" s="243" t="s">
        <v>332</v>
      </c>
      <c r="AO5" s="243" t="s">
        <v>637</v>
      </c>
      <c r="AP5" s="243" t="s">
        <v>336</v>
      </c>
      <c r="AQ5" s="243" t="s">
        <v>636</v>
      </c>
      <c r="AR5" s="243" t="s">
        <v>634</v>
      </c>
      <c r="AS5" s="243" t="s">
        <v>1141</v>
      </c>
      <c r="AT5" s="243" t="s">
        <v>889</v>
      </c>
      <c r="AU5" s="243" t="s">
        <v>170</v>
      </c>
      <c r="AV5" s="243" t="s">
        <v>609</v>
      </c>
      <c r="AW5" s="243" t="s">
        <v>803</v>
      </c>
      <c r="AX5" s="243" t="s">
        <v>606</v>
      </c>
      <c r="AY5" s="243" t="s">
        <v>607</v>
      </c>
      <c r="AZ5" s="243" t="s">
        <v>608</v>
      </c>
      <c r="BA5" s="243" t="s">
        <v>168</v>
      </c>
      <c r="BB5" s="243" t="s">
        <v>169</v>
      </c>
      <c r="BC5" s="243" t="s">
        <v>102</v>
      </c>
      <c r="BD5" s="243" t="s">
        <v>34</v>
      </c>
      <c r="BE5" s="243" t="s">
        <v>24</v>
      </c>
      <c r="BF5" s="243" t="s">
        <v>39</v>
      </c>
      <c r="BG5" s="243" t="s">
        <v>23</v>
      </c>
      <c r="BH5" s="243" t="s">
        <v>189</v>
      </c>
      <c r="BI5" s="243" t="s">
        <v>29</v>
      </c>
      <c r="BJ5" s="243" t="s">
        <v>610</v>
      </c>
      <c r="BK5" s="243" t="s">
        <v>600</v>
      </c>
      <c r="BL5" s="243" t="s">
        <v>603</v>
      </c>
      <c r="BM5" s="243" t="s">
        <v>1043</v>
      </c>
      <c r="BN5" s="243" t="s">
        <v>1044</v>
      </c>
      <c r="BO5" s="243" t="s">
        <v>990</v>
      </c>
      <c r="BP5" s="243" t="s">
        <v>989</v>
      </c>
      <c r="BQ5" s="243" t="s">
        <v>1047</v>
      </c>
      <c r="BR5" s="243" t="s">
        <v>1049</v>
      </c>
      <c r="BS5" s="243" t="s">
        <v>1046</v>
      </c>
      <c r="BT5" s="243" t="s">
        <v>1045</v>
      </c>
      <c r="BU5" s="243" t="s">
        <v>1048</v>
      </c>
      <c r="BV5" s="243" t="s">
        <v>188</v>
      </c>
      <c r="BW5" s="243" t="s">
        <v>596</v>
      </c>
      <c r="BX5" s="243" t="s">
        <v>591</v>
      </c>
      <c r="BY5" s="243" t="s">
        <v>592</v>
      </c>
      <c r="BZ5" s="243" t="s">
        <v>593</v>
      </c>
      <c r="CA5" s="243" t="s">
        <v>595</v>
      </c>
      <c r="CB5" s="243" t="s">
        <v>594</v>
      </c>
      <c r="CC5" s="243" t="s">
        <v>88</v>
      </c>
      <c r="CD5" s="243" t="s">
        <v>74</v>
      </c>
      <c r="CE5" s="243" t="s">
        <v>35</v>
      </c>
      <c r="CF5" s="243" t="s">
        <v>27</v>
      </c>
      <c r="CG5" s="243" t="s">
        <v>590</v>
      </c>
      <c r="CH5" s="243" t="s">
        <v>22</v>
      </c>
      <c r="CI5" s="243" t="s">
        <v>28</v>
      </c>
      <c r="CJ5" s="243" t="s">
        <v>21</v>
      </c>
      <c r="CK5" s="243" t="s">
        <v>75</v>
      </c>
      <c r="CL5" s="243" t="s">
        <v>329</v>
      </c>
      <c r="CM5" s="243" t="s">
        <v>37</v>
      </c>
      <c r="CN5" s="243" t="s">
        <v>26</v>
      </c>
      <c r="CO5" s="243" t="s">
        <v>38</v>
      </c>
      <c r="CP5" s="243" t="s">
        <v>25</v>
      </c>
      <c r="CQ5" s="243" t="s">
        <v>33</v>
      </c>
      <c r="CR5" s="243" t="s">
        <v>40</v>
      </c>
      <c r="CS5" s="243" t="s">
        <v>588</v>
      </c>
      <c r="CT5" s="243" t="s">
        <v>249</v>
      </c>
      <c r="CU5" s="243" t="s">
        <v>32</v>
      </c>
      <c r="CV5" s="243" t="s">
        <v>232</v>
      </c>
      <c r="CW5" s="243" t="s">
        <v>31</v>
      </c>
      <c r="CX5" s="243" t="s">
        <v>1207</v>
      </c>
      <c r="CY5" s="243" t="s">
        <v>1041</v>
      </c>
      <c r="CZ5" s="243" t="s">
        <v>30</v>
      </c>
      <c r="DA5" s="243" t="s">
        <v>286</v>
      </c>
      <c r="DB5" s="243" t="s">
        <v>260</v>
      </c>
      <c r="DC5" s="243" t="s">
        <v>275</v>
      </c>
      <c r="DD5" s="243" t="s">
        <v>259</v>
      </c>
      <c r="DE5" s="243" t="s">
        <v>274</v>
      </c>
      <c r="DF5" s="243" t="s">
        <v>585</v>
      </c>
      <c r="DG5" s="243" t="s">
        <v>579</v>
      </c>
      <c r="DH5" s="243" t="s">
        <v>583</v>
      </c>
      <c r="DI5" s="243" t="s">
        <v>327</v>
      </c>
      <c r="DJ5" s="243" t="s">
        <v>580</v>
      </c>
      <c r="DK5" s="243" t="s">
        <v>582</v>
      </c>
      <c r="DL5" s="243" t="s">
        <v>326</v>
      </c>
      <c r="DM5" s="243" t="s">
        <v>1278</v>
      </c>
      <c r="DN5" s="243" t="s">
        <v>581</v>
      </c>
      <c r="DO5" s="243" t="s">
        <v>574</v>
      </c>
      <c r="DP5" s="243" t="s">
        <v>577</v>
      </c>
      <c r="DQ5" s="243" t="s">
        <v>578</v>
      </c>
      <c r="DR5" s="243" t="s">
        <v>576</v>
      </c>
      <c r="DS5" s="243" t="s">
        <v>567</v>
      </c>
      <c r="DT5" s="243" t="s">
        <v>570</v>
      </c>
      <c r="DU5" s="243" t="s">
        <v>325</v>
      </c>
      <c r="DV5" s="243" t="s">
        <v>571</v>
      </c>
      <c r="DW5" s="243" t="s">
        <v>569</v>
      </c>
      <c r="DX5" s="243" t="s">
        <v>323</v>
      </c>
      <c r="DY5" s="243" t="s">
        <v>324</v>
      </c>
      <c r="DZ5" s="243" t="s">
        <v>1042</v>
      </c>
      <c r="EA5" s="243" t="s">
        <v>564</v>
      </c>
      <c r="EB5" s="243" t="s">
        <v>566</v>
      </c>
      <c r="EC5" s="243" t="s">
        <v>565</v>
      </c>
      <c r="ED5" s="243" t="s">
        <v>563</v>
      </c>
      <c r="EE5" s="243" t="s">
        <v>562</v>
      </c>
      <c r="EF5" s="243" t="s">
        <v>322</v>
      </c>
      <c r="EG5" s="243" t="s">
        <v>561</v>
      </c>
      <c r="EH5" s="243" t="s">
        <v>560</v>
      </c>
      <c r="EI5" s="243" t="s">
        <v>557</v>
      </c>
      <c r="EJ5" s="243" t="s">
        <v>790</v>
      </c>
      <c r="EK5" s="243" t="s">
        <v>886</v>
      </c>
      <c r="EL5" s="243" t="s">
        <v>558</v>
      </c>
      <c r="EM5" s="243" t="s">
        <v>321</v>
      </c>
      <c r="EN5" s="243" t="s">
        <v>556</v>
      </c>
      <c r="EO5" s="243" t="s">
        <v>555</v>
      </c>
      <c r="EP5" s="243" t="s">
        <v>548</v>
      </c>
      <c r="EQ5" s="243" t="s">
        <v>551</v>
      </c>
      <c r="ER5" s="243" t="s">
        <v>552</v>
      </c>
      <c r="ES5" s="243" t="s">
        <v>549</v>
      </c>
      <c r="ET5" s="243" t="s">
        <v>553</v>
      </c>
      <c r="EU5" s="243" t="s">
        <v>547</v>
      </c>
      <c r="EV5" s="243" t="s">
        <v>550</v>
      </c>
      <c r="EW5" s="243" t="s">
        <v>789</v>
      </c>
      <c r="EX5" s="243" t="s">
        <v>884</v>
      </c>
      <c r="EY5" s="243" t="s">
        <v>546</v>
      </c>
      <c r="EZ5" s="243" t="s">
        <v>543</v>
      </c>
      <c r="FA5" s="243" t="s">
        <v>541</v>
      </c>
      <c r="FB5" s="243" t="s">
        <v>542</v>
      </c>
      <c r="FC5" s="243" t="s">
        <v>318</v>
      </c>
      <c r="FD5" s="243" t="s">
        <v>614</v>
      </c>
      <c r="FE5" s="243" t="s">
        <v>615</v>
      </c>
      <c r="FF5" s="243" t="s">
        <v>1279</v>
      </c>
      <c r="FG5" s="243" t="s">
        <v>613</v>
      </c>
      <c r="FH5" s="243" t="s">
        <v>611</v>
      </c>
      <c r="FI5" s="243" t="s">
        <v>612</v>
      </c>
      <c r="FJ5" s="243" t="s">
        <v>331</v>
      </c>
      <c r="FK5" s="243" t="s">
        <v>330</v>
      </c>
      <c r="FL5" s="243" t="s">
        <v>540</v>
      </c>
      <c r="FM5" s="243" t="s">
        <v>1262</v>
      </c>
      <c r="FN5" s="243" t="s">
        <v>1260</v>
      </c>
      <c r="FO5" s="243" t="s">
        <v>1261</v>
      </c>
      <c r="FP5" s="279"/>
      <c r="FQ5" s="225"/>
      <c r="FR5" s="226"/>
    </row>
    <row r="6" spans="1:178" s="227" customFormat="1" ht="11.4">
      <c r="A6" s="245" t="s">
        <v>1367</v>
      </c>
      <c r="B6" s="222" t="s">
        <v>1368</v>
      </c>
      <c r="C6" s="222" t="s">
        <v>1369</v>
      </c>
      <c r="D6" s="222" t="s">
        <v>1370</v>
      </c>
      <c r="E6" s="246" t="s">
        <v>804</v>
      </c>
      <c r="F6" s="246"/>
      <c r="G6" s="247" t="s">
        <v>805</v>
      </c>
      <c r="H6" s="248" t="s">
        <v>1280</v>
      </c>
      <c r="I6" s="248" t="s">
        <v>751</v>
      </c>
      <c r="J6" s="248" t="s">
        <v>750</v>
      </c>
      <c r="K6" s="248" t="s">
        <v>749</v>
      </c>
      <c r="L6" s="248" t="s">
        <v>380</v>
      </c>
      <c r="M6" s="248" t="s">
        <v>748</v>
      </c>
      <c r="N6" s="248" t="s">
        <v>747</v>
      </c>
      <c r="O6" s="248" t="s">
        <v>746</v>
      </c>
      <c r="P6" s="248" t="s">
        <v>1281</v>
      </c>
      <c r="Q6" s="248" t="s">
        <v>745</v>
      </c>
      <c r="R6" s="248" t="s">
        <v>744</v>
      </c>
      <c r="S6" s="248" t="s">
        <v>378</v>
      </c>
      <c r="T6" s="248" t="s">
        <v>743</v>
      </c>
      <c r="U6" s="248" t="s">
        <v>742</v>
      </c>
      <c r="V6" s="248" t="s">
        <v>377</v>
      </c>
      <c r="W6" s="248" t="s">
        <v>1282</v>
      </c>
      <c r="X6" s="248" t="s">
        <v>1061</v>
      </c>
      <c r="Y6" s="248" t="s">
        <v>1265</v>
      </c>
      <c r="Z6" s="248" t="s">
        <v>1264</v>
      </c>
      <c r="AA6" s="248" t="s">
        <v>737</v>
      </c>
      <c r="AB6" s="248" t="s">
        <v>739</v>
      </c>
      <c r="AC6" s="248" t="s">
        <v>1283</v>
      </c>
      <c r="AD6" s="248" t="s">
        <v>375</v>
      </c>
      <c r="AE6" s="248" t="s">
        <v>736</v>
      </c>
      <c r="AF6" s="248" t="s">
        <v>733</v>
      </c>
      <c r="AG6" s="248" t="s">
        <v>735</v>
      </c>
      <c r="AH6" s="248" t="s">
        <v>1284</v>
      </c>
      <c r="AI6" s="248" t="s">
        <v>730</v>
      </c>
      <c r="AJ6" s="248" t="s">
        <v>374</v>
      </c>
      <c r="AK6" s="248" t="s">
        <v>1285</v>
      </c>
      <c r="AL6" s="248" t="s">
        <v>731</v>
      </c>
      <c r="AM6" s="248" t="s">
        <v>732</v>
      </c>
      <c r="AN6" s="248" t="s">
        <v>1286</v>
      </c>
      <c r="AO6" s="248" t="s">
        <v>755</v>
      </c>
      <c r="AP6" s="248" t="s">
        <v>1287</v>
      </c>
      <c r="AQ6" s="248" t="s">
        <v>754</v>
      </c>
      <c r="AR6" s="248" t="s">
        <v>752</v>
      </c>
      <c r="AS6" s="248" t="s">
        <v>1144</v>
      </c>
      <c r="AT6" s="248" t="s">
        <v>891</v>
      </c>
      <c r="AU6" s="248" t="s">
        <v>369</v>
      </c>
      <c r="AV6" s="248" t="s">
        <v>721</v>
      </c>
      <c r="AW6" s="248" t="s">
        <v>816</v>
      </c>
      <c r="AX6" s="248" t="s">
        <v>718</v>
      </c>
      <c r="AY6" s="248" t="s">
        <v>719</v>
      </c>
      <c r="AZ6" s="248" t="s">
        <v>720</v>
      </c>
      <c r="BA6" s="248" t="s">
        <v>714</v>
      </c>
      <c r="BB6" s="248" t="s">
        <v>715</v>
      </c>
      <c r="BC6" s="248" t="s">
        <v>716</v>
      </c>
      <c r="BD6" s="248" t="s">
        <v>1288</v>
      </c>
      <c r="BE6" s="248" t="s">
        <v>368</v>
      </c>
      <c r="BF6" s="248" t="s">
        <v>370</v>
      </c>
      <c r="BG6" s="248" t="s">
        <v>717</v>
      </c>
      <c r="BH6" s="248" t="s">
        <v>367</v>
      </c>
      <c r="BI6" s="248" t="s">
        <v>722</v>
      </c>
      <c r="BJ6" s="248" t="s">
        <v>723</v>
      </c>
      <c r="BK6" s="248" t="s">
        <v>708</v>
      </c>
      <c r="BL6" s="248" t="s">
        <v>711</v>
      </c>
      <c r="BM6" s="248" t="s">
        <v>1054</v>
      </c>
      <c r="BN6" s="248" t="s">
        <v>1055</v>
      </c>
      <c r="BO6" s="248" t="s">
        <v>992</v>
      </c>
      <c r="BP6" s="248" t="s">
        <v>991</v>
      </c>
      <c r="BQ6" s="248" t="s">
        <v>1058</v>
      </c>
      <c r="BR6" s="248" t="s">
        <v>1060</v>
      </c>
      <c r="BS6" s="248" t="s">
        <v>1057</v>
      </c>
      <c r="BT6" s="248" t="s">
        <v>1056</v>
      </c>
      <c r="BU6" s="248" t="s">
        <v>1059</v>
      </c>
      <c r="BV6" s="248" t="s">
        <v>698</v>
      </c>
      <c r="BW6" s="248" t="s">
        <v>704</v>
      </c>
      <c r="BX6" s="248" t="s">
        <v>699</v>
      </c>
      <c r="BY6" s="248" t="s">
        <v>700</v>
      </c>
      <c r="BZ6" s="248" t="s">
        <v>701</v>
      </c>
      <c r="CA6" s="248" t="s">
        <v>703</v>
      </c>
      <c r="CB6" s="248" t="s">
        <v>702</v>
      </c>
      <c r="CC6" s="248" t="s">
        <v>1289</v>
      </c>
      <c r="CD6" s="248" t="s">
        <v>695</v>
      </c>
      <c r="CE6" s="248" t="s">
        <v>696</v>
      </c>
      <c r="CF6" s="248" t="s">
        <v>1290</v>
      </c>
      <c r="CG6" s="248" t="s">
        <v>1291</v>
      </c>
      <c r="CH6" s="248" t="s">
        <v>1292</v>
      </c>
      <c r="CI6" s="248" t="s">
        <v>1293</v>
      </c>
      <c r="CJ6" s="248" t="s">
        <v>362</v>
      </c>
      <c r="CK6" s="248" t="s">
        <v>361</v>
      </c>
      <c r="CL6" s="248" t="s">
        <v>1294</v>
      </c>
      <c r="CM6" s="248" t="s">
        <v>1295</v>
      </c>
      <c r="CN6" s="248" t="s">
        <v>1296</v>
      </c>
      <c r="CO6" s="248" t="s">
        <v>1297</v>
      </c>
      <c r="CP6" s="248" t="s">
        <v>1298</v>
      </c>
      <c r="CQ6" s="248" t="s">
        <v>1299</v>
      </c>
      <c r="CR6" s="248" t="s">
        <v>1300</v>
      </c>
      <c r="CS6" s="248" t="s">
        <v>688</v>
      </c>
      <c r="CT6" s="248" t="s">
        <v>356</v>
      </c>
      <c r="CU6" s="248" t="s">
        <v>1301</v>
      </c>
      <c r="CV6" s="248" t="s">
        <v>691</v>
      </c>
      <c r="CW6" s="248" t="s">
        <v>1302</v>
      </c>
      <c r="CX6" s="248" t="s">
        <v>1303</v>
      </c>
      <c r="CY6" s="248" t="s">
        <v>1052</v>
      </c>
      <c r="CZ6" s="248" t="s">
        <v>354</v>
      </c>
      <c r="DA6" s="248" t="s">
        <v>1304</v>
      </c>
      <c r="DB6" s="248" t="s">
        <v>1305</v>
      </c>
      <c r="DC6" s="248" t="s">
        <v>1306</v>
      </c>
      <c r="DD6" s="248" t="s">
        <v>351</v>
      </c>
      <c r="DE6" s="248" t="s">
        <v>1307</v>
      </c>
      <c r="DF6" s="248" t="s">
        <v>683</v>
      </c>
      <c r="DG6" s="248" t="s">
        <v>677</v>
      </c>
      <c r="DH6" s="248" t="s">
        <v>681</v>
      </c>
      <c r="DI6" s="248" t="s">
        <v>1308</v>
      </c>
      <c r="DJ6" s="248" t="s">
        <v>678</v>
      </c>
      <c r="DK6" s="248" t="s">
        <v>1309</v>
      </c>
      <c r="DL6" s="248" t="s">
        <v>1310</v>
      </c>
      <c r="DM6" s="248" t="s">
        <v>1310</v>
      </c>
      <c r="DN6" s="248" t="s">
        <v>679</v>
      </c>
      <c r="DO6" s="248" t="s">
        <v>672</v>
      </c>
      <c r="DP6" s="248" t="s">
        <v>675</v>
      </c>
      <c r="DQ6" s="248" t="s">
        <v>676</v>
      </c>
      <c r="DR6" s="248" t="s">
        <v>1311</v>
      </c>
      <c r="DS6" s="248" t="s">
        <v>665</v>
      </c>
      <c r="DT6" s="248" t="s">
        <v>668</v>
      </c>
      <c r="DU6" s="248" t="s">
        <v>346</v>
      </c>
      <c r="DV6" s="248" t="s">
        <v>669</v>
      </c>
      <c r="DW6" s="248" t="s">
        <v>1312</v>
      </c>
      <c r="DX6" s="248" t="s">
        <v>344</v>
      </c>
      <c r="DY6" s="248" t="s">
        <v>345</v>
      </c>
      <c r="DZ6" s="248" t="s">
        <v>1053</v>
      </c>
      <c r="EA6" s="248" t="s">
        <v>662</v>
      </c>
      <c r="EB6" s="248" t="s">
        <v>1313</v>
      </c>
      <c r="EC6" s="248" t="s">
        <v>663</v>
      </c>
      <c r="ED6" s="248" t="s">
        <v>661</v>
      </c>
      <c r="EE6" s="248" t="s">
        <v>660</v>
      </c>
      <c r="EF6" s="248" t="s">
        <v>343</v>
      </c>
      <c r="EG6" s="248" t="s">
        <v>659</v>
      </c>
      <c r="EH6" s="248" t="s">
        <v>658</v>
      </c>
      <c r="EI6" s="248" t="s">
        <v>655</v>
      </c>
      <c r="EJ6" s="248" t="s">
        <v>657</v>
      </c>
      <c r="EK6" s="248" t="s">
        <v>341</v>
      </c>
      <c r="EL6" s="248" t="s">
        <v>1314</v>
      </c>
      <c r="EM6" s="248" t="s">
        <v>1315</v>
      </c>
      <c r="EN6" s="248" t="s">
        <v>1316</v>
      </c>
      <c r="EO6" s="248" t="s">
        <v>653</v>
      </c>
      <c r="EP6" s="248" t="s">
        <v>646</v>
      </c>
      <c r="EQ6" s="248" t="s">
        <v>1317</v>
      </c>
      <c r="ER6" s="248" t="s">
        <v>1318</v>
      </c>
      <c r="ES6" s="248" t="s">
        <v>647</v>
      </c>
      <c r="ET6" s="248" t="s">
        <v>651</v>
      </c>
      <c r="EU6" s="248" t="s">
        <v>645</v>
      </c>
      <c r="EV6" s="248" t="s">
        <v>648</v>
      </c>
      <c r="EW6" s="248" t="s">
        <v>1210</v>
      </c>
      <c r="EX6" s="248" t="s">
        <v>1142</v>
      </c>
      <c r="EY6" s="248" t="s">
        <v>1211</v>
      </c>
      <c r="EZ6" s="248" t="s">
        <v>1319</v>
      </c>
      <c r="FA6" s="248" t="s">
        <v>639</v>
      </c>
      <c r="FB6" s="248" t="s">
        <v>640</v>
      </c>
      <c r="FC6" s="248" t="s">
        <v>339</v>
      </c>
      <c r="FD6" s="248" t="s">
        <v>727</v>
      </c>
      <c r="FE6" s="248" t="s">
        <v>728</v>
      </c>
      <c r="FF6" s="248" t="s">
        <v>1320</v>
      </c>
      <c r="FG6" s="248" t="s">
        <v>726</v>
      </c>
      <c r="FH6" s="248" t="s">
        <v>724</v>
      </c>
      <c r="FI6" s="248" t="s">
        <v>725</v>
      </c>
      <c r="FJ6" s="248" t="s">
        <v>372</v>
      </c>
      <c r="FK6" s="248" t="s">
        <v>1143</v>
      </c>
      <c r="FL6" s="248" t="s">
        <v>638</v>
      </c>
      <c r="FM6" s="248" t="s">
        <v>1269</v>
      </c>
      <c r="FN6" s="248" t="s">
        <v>1267</v>
      </c>
      <c r="FO6" s="248" t="s">
        <v>1268</v>
      </c>
      <c r="FP6" s="250" t="s">
        <v>872</v>
      </c>
      <c r="FQ6" s="250" t="s">
        <v>382</v>
      </c>
      <c r="FR6" s="250" t="s">
        <v>383</v>
      </c>
      <c r="FS6" s="250" t="s">
        <v>873</v>
      </c>
      <c r="FT6" s="250" t="s">
        <v>874</v>
      </c>
      <c r="FU6" s="228"/>
      <c r="FV6" s="227" t="s">
        <v>1371</v>
      </c>
    </row>
    <row r="7" spans="1:178" s="260" customFormat="1" hidden="1">
      <c r="A7" s="251" t="s">
        <v>385</v>
      </c>
      <c r="B7" s="251" t="s">
        <v>385</v>
      </c>
      <c r="C7" s="251" t="s">
        <v>386</v>
      </c>
      <c r="D7" s="251" t="s">
        <v>291</v>
      </c>
      <c r="E7" s="252" t="s">
        <v>387</v>
      </c>
      <c r="F7" s="251" t="s">
        <v>388</v>
      </c>
      <c r="G7" s="251" t="s">
        <v>1321</v>
      </c>
      <c r="H7" s="253"/>
      <c r="I7" s="253"/>
      <c r="J7" s="253"/>
      <c r="K7" s="253"/>
      <c r="L7" s="253"/>
      <c r="M7" s="253"/>
      <c r="N7" s="253"/>
      <c r="O7" s="253"/>
      <c r="P7" s="253"/>
      <c r="Q7" s="253"/>
      <c r="R7" s="253"/>
      <c r="S7" s="253"/>
      <c r="T7" s="253"/>
      <c r="U7" s="253"/>
      <c r="V7" s="253"/>
      <c r="W7" s="253"/>
      <c r="X7" s="253"/>
      <c r="Y7" s="253"/>
      <c r="Z7" s="253"/>
      <c r="AA7" s="253"/>
      <c r="AB7" s="253"/>
      <c r="AC7" s="253"/>
      <c r="AD7" s="253"/>
      <c r="AE7" s="253"/>
      <c r="AF7" s="253"/>
      <c r="AG7" s="253"/>
      <c r="AH7" s="253"/>
      <c r="AI7" s="253"/>
      <c r="AJ7" s="253"/>
      <c r="AK7" s="253"/>
      <c r="AL7" s="253"/>
      <c r="AM7" s="253"/>
      <c r="AN7" s="253"/>
      <c r="AO7" s="253"/>
      <c r="AP7" s="253"/>
      <c r="AQ7" s="253"/>
      <c r="AR7" s="253"/>
      <c r="AS7" s="253"/>
      <c r="AT7" s="253"/>
      <c r="AU7" s="253"/>
      <c r="AV7" s="253"/>
      <c r="AW7" s="253"/>
      <c r="AX7" s="253"/>
      <c r="AY7" s="253"/>
      <c r="AZ7" s="253"/>
      <c r="BA7" s="253"/>
      <c r="BB7" s="253"/>
      <c r="BC7" s="253"/>
      <c r="BD7" s="253"/>
      <c r="BE7" s="253"/>
      <c r="BF7" s="253"/>
      <c r="BG7" s="253"/>
      <c r="BH7" s="253"/>
      <c r="BI7" s="253"/>
      <c r="BJ7" s="253"/>
      <c r="BK7" s="253"/>
      <c r="BL7" s="253"/>
      <c r="BM7" s="253"/>
      <c r="BN7" s="253"/>
      <c r="BO7" s="253"/>
      <c r="BP7" s="253"/>
      <c r="BQ7" s="253"/>
      <c r="BR7" s="253"/>
      <c r="BS7" s="253"/>
      <c r="BT7" s="253"/>
      <c r="BU7" s="253"/>
      <c r="BV7" s="253"/>
      <c r="BW7" s="253"/>
      <c r="BX7" s="253"/>
      <c r="BY7" s="253"/>
      <c r="BZ7" s="253"/>
      <c r="CA7" s="253"/>
      <c r="CB7" s="253"/>
      <c r="CC7" s="253"/>
      <c r="CD7" s="253"/>
      <c r="CE7" s="253"/>
      <c r="CF7" s="253"/>
      <c r="CG7" s="253"/>
      <c r="CH7" s="253"/>
      <c r="CI7" s="253"/>
      <c r="CJ7" s="253"/>
      <c r="CK7" s="253"/>
      <c r="CL7" s="253"/>
      <c r="CM7" s="253"/>
      <c r="CN7" s="253"/>
      <c r="CO7" s="253"/>
      <c r="CP7" s="253"/>
      <c r="CQ7" s="253"/>
      <c r="CR7" s="253"/>
      <c r="CS7" s="253"/>
      <c r="CT7" s="253"/>
      <c r="CU7" s="253"/>
      <c r="CV7" s="253"/>
      <c r="CW7" s="253"/>
      <c r="CX7" s="253"/>
      <c r="CY7" s="253"/>
      <c r="CZ7" s="253"/>
      <c r="DA7" s="253"/>
      <c r="DB7" s="253"/>
      <c r="DC7" s="253"/>
      <c r="DD7" s="253"/>
      <c r="DE7" s="253"/>
      <c r="DF7" s="253"/>
      <c r="DG7" s="253"/>
      <c r="DH7" s="253"/>
      <c r="DI7" s="254">
        <f>8000-8000+1670-250</f>
        <v>1420</v>
      </c>
      <c r="DJ7" s="253"/>
      <c r="DK7" s="253"/>
      <c r="DL7" s="253"/>
      <c r="DM7" s="253"/>
      <c r="DN7" s="253"/>
      <c r="DO7" s="253"/>
      <c r="DP7" s="255">
        <f>500-500</f>
        <v>0</v>
      </c>
      <c r="DQ7" s="255">
        <f>100-100</f>
        <v>0</v>
      </c>
      <c r="DR7" s="253"/>
      <c r="DS7" s="253"/>
      <c r="DT7" s="255">
        <f>5000-5000</f>
        <v>0</v>
      </c>
      <c r="DU7" s="253">
        <v>15</v>
      </c>
      <c r="DV7" s="253"/>
      <c r="DW7" s="253"/>
      <c r="DX7" s="253"/>
      <c r="DY7" s="253"/>
      <c r="DZ7" s="253"/>
      <c r="EA7" s="253"/>
      <c r="EB7" s="253"/>
      <c r="EC7" s="253"/>
      <c r="ED7" s="253"/>
      <c r="EE7" s="253"/>
      <c r="EF7" s="255">
        <f>3000-3000</f>
        <v>0</v>
      </c>
      <c r="EG7" s="255">
        <f>2000-2000</f>
        <v>0</v>
      </c>
      <c r="EH7" s="253"/>
      <c r="EI7" s="253"/>
      <c r="EJ7" s="254">
        <f>2000-2000+660-340</f>
        <v>320</v>
      </c>
      <c r="EK7" s="253"/>
      <c r="EL7" s="253"/>
      <c r="EM7" s="253"/>
      <c r="EN7" s="253"/>
      <c r="EO7" s="253"/>
      <c r="EP7" s="253"/>
      <c r="EQ7" s="253"/>
      <c r="ER7" s="253"/>
      <c r="ES7" s="254">
        <f>500-500+240-80</f>
        <v>160</v>
      </c>
      <c r="ET7" s="253"/>
      <c r="EU7" s="253"/>
      <c r="EV7" s="253"/>
      <c r="EW7" s="253"/>
      <c r="EX7" s="253"/>
      <c r="EY7" s="253"/>
      <c r="EZ7" s="253"/>
      <c r="FA7" s="253"/>
      <c r="FB7" s="253"/>
      <c r="FC7" s="253"/>
      <c r="FD7" s="253"/>
      <c r="FE7" s="253"/>
      <c r="FF7" s="253"/>
      <c r="FG7" s="253"/>
      <c r="FH7" s="253"/>
      <c r="FI7" s="253"/>
      <c r="FJ7" s="253"/>
      <c r="FK7" s="253"/>
      <c r="FL7" s="253"/>
      <c r="FM7" s="253"/>
      <c r="FN7" s="253"/>
      <c r="FO7" s="253"/>
      <c r="FP7" s="256"/>
      <c r="FQ7" s="257" t="s">
        <v>1322</v>
      </c>
      <c r="FR7" s="258" t="s">
        <v>389</v>
      </c>
      <c r="FS7" s="258"/>
      <c r="FT7" s="258" t="s">
        <v>390</v>
      </c>
      <c r="FU7" s="259">
        <f t="shared" ref="FU7:FU39" si="0">SUM(H7:FO7)</f>
        <v>1915</v>
      </c>
      <c r="FV7" s="260" t="s">
        <v>410</v>
      </c>
    </row>
    <row r="8" spans="1:178" s="260" customFormat="1" hidden="1">
      <c r="A8" s="251" t="s">
        <v>385</v>
      </c>
      <c r="B8" s="251" t="s">
        <v>385</v>
      </c>
      <c r="C8" s="251" t="s">
        <v>386</v>
      </c>
      <c r="D8" s="251" t="s">
        <v>1</v>
      </c>
      <c r="E8" s="252" t="s">
        <v>387</v>
      </c>
      <c r="F8" s="251" t="s">
        <v>388</v>
      </c>
      <c r="G8" s="251" t="s">
        <v>1321</v>
      </c>
      <c r="H8" s="253"/>
      <c r="I8" s="253"/>
      <c r="J8" s="255">
        <f>300-300</f>
        <v>0</v>
      </c>
      <c r="K8" s="255">
        <f>500-500</f>
        <v>0</v>
      </c>
      <c r="L8" s="255">
        <f>800-800</f>
        <v>0</v>
      </c>
      <c r="M8" s="253"/>
      <c r="N8" s="255">
        <f>500-500</f>
        <v>0</v>
      </c>
      <c r="O8" s="255">
        <f>2000-2000</f>
        <v>0</v>
      </c>
      <c r="P8" s="254">
        <f>4000-4000+1-1</f>
        <v>0</v>
      </c>
      <c r="Q8" s="254"/>
      <c r="R8" s="254">
        <f>1000-1000</f>
        <v>0</v>
      </c>
      <c r="S8" s="254">
        <f>2000-2000</f>
        <v>0</v>
      </c>
      <c r="T8" s="254"/>
      <c r="U8" s="254">
        <f>3000-3000+30-15</f>
        <v>15</v>
      </c>
      <c r="V8" s="254">
        <f>5000-5000+150-45-3</f>
        <v>102</v>
      </c>
      <c r="W8" s="254">
        <f>4000-4000+50-20</f>
        <v>30</v>
      </c>
      <c r="X8" s="254"/>
      <c r="Y8" s="254"/>
      <c r="Z8" s="254"/>
      <c r="AA8" s="254">
        <f>500-500</f>
        <v>0</v>
      </c>
      <c r="AB8" s="254">
        <f>3000-3000</f>
        <v>0</v>
      </c>
      <c r="AC8" s="254">
        <f>500-500+2-2</f>
        <v>0</v>
      </c>
      <c r="AD8" s="254">
        <f>1000-1000</f>
        <v>0</v>
      </c>
      <c r="AE8" s="254">
        <f>200-200</f>
        <v>0</v>
      </c>
      <c r="AF8" s="254"/>
      <c r="AG8" s="254">
        <f>500-500</f>
        <v>0</v>
      </c>
      <c r="AH8" s="254"/>
      <c r="AI8" s="254"/>
      <c r="AJ8" s="254">
        <f>500-500</f>
        <v>0</v>
      </c>
      <c r="AK8" s="254">
        <f>100-100</f>
        <v>0</v>
      </c>
      <c r="AL8" s="254"/>
      <c r="AM8" s="254">
        <f>300-300</f>
        <v>0</v>
      </c>
      <c r="AN8" s="254">
        <f>100-100</f>
        <v>0</v>
      </c>
      <c r="AO8" s="254"/>
      <c r="AP8" s="254">
        <f>1000-1000+510-510</f>
        <v>0</v>
      </c>
      <c r="AQ8" s="253"/>
      <c r="AR8" s="255">
        <f>1000-1000</f>
        <v>0</v>
      </c>
      <c r="AS8" s="253"/>
      <c r="AT8" s="253"/>
      <c r="AU8" s="254">
        <f>80-80+5-5</f>
        <v>0</v>
      </c>
      <c r="AV8" s="253"/>
      <c r="AW8" s="253"/>
      <c r="AX8" s="253"/>
      <c r="AY8" s="253"/>
      <c r="AZ8" s="253"/>
      <c r="BA8" s="255">
        <f>200-200</f>
        <v>0</v>
      </c>
      <c r="BB8" s="255">
        <f>200-200</f>
        <v>0</v>
      </c>
      <c r="BC8" s="254">
        <f>300-300+30-7</f>
        <v>23</v>
      </c>
      <c r="BD8" s="254">
        <f>500-500+10-10</f>
        <v>0</v>
      </c>
      <c r="BE8" s="255">
        <f>2000-2000</f>
        <v>0</v>
      </c>
      <c r="BF8" s="255">
        <f>1000-1000+5</f>
        <v>5</v>
      </c>
      <c r="BG8" s="255">
        <f>1000-1000</f>
        <v>0</v>
      </c>
      <c r="BH8" s="255">
        <f>500-500</f>
        <v>0</v>
      </c>
      <c r="BI8" s="255">
        <f>500-500</f>
        <v>0</v>
      </c>
      <c r="BJ8" s="253"/>
      <c r="BK8" s="253"/>
      <c r="BL8" s="253"/>
      <c r="BM8" s="255">
        <f>500-500</f>
        <v>0</v>
      </c>
      <c r="BN8" s="255">
        <f>500-500</f>
        <v>0</v>
      </c>
      <c r="BO8" s="255">
        <f>800-800</f>
        <v>0</v>
      </c>
      <c r="BP8" s="255">
        <f>1200-1200</f>
        <v>0</v>
      </c>
      <c r="BQ8" s="254">
        <f>2000-2000+340-21-101-3</f>
        <v>215</v>
      </c>
      <c r="BR8" s="255">
        <f>1000-1000</f>
        <v>0</v>
      </c>
      <c r="BS8" s="255">
        <f>1000-1000</f>
        <v>0</v>
      </c>
      <c r="BT8" s="255">
        <f>500-500</f>
        <v>0</v>
      </c>
      <c r="BU8" s="255">
        <f>1000-1000</f>
        <v>0</v>
      </c>
      <c r="BV8" s="255">
        <f>100-100</f>
        <v>0</v>
      </c>
      <c r="BW8" s="253"/>
      <c r="BX8" s="253"/>
      <c r="BY8" s="253"/>
      <c r="BZ8" s="253"/>
      <c r="CA8" s="253"/>
      <c r="CB8" s="253"/>
      <c r="CC8" s="254">
        <f>500-500+120-44</f>
        <v>76</v>
      </c>
      <c r="CD8" s="254">
        <f>500-500+140-50</f>
        <v>90</v>
      </c>
      <c r="CE8" s="253"/>
      <c r="CF8" s="254">
        <f>1500-1500+5-5</f>
        <v>0</v>
      </c>
      <c r="CG8" s="254">
        <f>1000-1000+380-120</f>
        <v>260</v>
      </c>
      <c r="CH8" s="254">
        <f>4000-4000+960-110-20</f>
        <v>830</v>
      </c>
      <c r="CI8" s="254">
        <f>1500-1500+380-65</f>
        <v>315</v>
      </c>
      <c r="CJ8" s="254">
        <f>4000-4000</f>
        <v>0</v>
      </c>
      <c r="CK8" s="254">
        <f>1000-1000</f>
        <v>0</v>
      </c>
      <c r="CL8" s="254">
        <f>2000-2000+380-70</f>
        <v>310</v>
      </c>
      <c r="CM8" s="254">
        <f>2000-2000+1460-255</f>
        <v>1205</v>
      </c>
      <c r="CN8" s="254">
        <f>6000-6000+3470-520</f>
        <v>2950</v>
      </c>
      <c r="CO8" s="254">
        <f>4000-4000+650-160</f>
        <v>490</v>
      </c>
      <c r="CP8" s="253"/>
      <c r="CQ8" s="254">
        <f>1000-1000+15-15</f>
        <v>0</v>
      </c>
      <c r="CR8" s="254">
        <f>2000-2000+30-3</f>
        <v>27</v>
      </c>
      <c r="CS8" s="254">
        <f>1000-1000+2-2</f>
        <v>0</v>
      </c>
      <c r="CT8" s="254">
        <f>4000-4000</f>
        <v>0</v>
      </c>
      <c r="CU8" s="254">
        <f>4000-4000+1-1</f>
        <v>0</v>
      </c>
      <c r="CV8" s="254">
        <f>2000-2000</f>
        <v>0</v>
      </c>
      <c r="CW8" s="254">
        <f>5000-5000+6-6</f>
        <v>0</v>
      </c>
      <c r="CX8" s="254">
        <f>500-500+8-8</f>
        <v>0</v>
      </c>
      <c r="CY8" s="255">
        <f>1000-1000</f>
        <v>0</v>
      </c>
      <c r="CZ8" s="255">
        <f>500-500</f>
        <v>0</v>
      </c>
      <c r="DA8" s="254">
        <f>2000-2000+500-90</f>
        <v>410</v>
      </c>
      <c r="DB8" s="254">
        <f>8000-8000+1370-210</f>
        <v>1160</v>
      </c>
      <c r="DC8" s="254">
        <f>4000-4000+20-20</f>
        <v>0</v>
      </c>
      <c r="DD8" s="254">
        <f>3000-3000+25-25</f>
        <v>0</v>
      </c>
      <c r="DE8" s="254">
        <f>800-800+2-2</f>
        <v>0</v>
      </c>
      <c r="DF8" s="253"/>
      <c r="DG8" s="255">
        <f>500-500</f>
        <v>0</v>
      </c>
      <c r="DH8" s="255">
        <f>1000-1000</f>
        <v>0</v>
      </c>
      <c r="DI8" s="253"/>
      <c r="DJ8" s="255">
        <f>200-200</f>
        <v>0</v>
      </c>
      <c r="DK8" s="254">
        <f>200-200+20-20</f>
        <v>0</v>
      </c>
      <c r="DL8" s="254">
        <f>6000-6000+390-120</f>
        <v>270</v>
      </c>
      <c r="DM8" s="254">
        <f>6000-6000+1920-735</f>
        <v>1185</v>
      </c>
      <c r="DN8" s="255">
        <f>100-100</f>
        <v>0</v>
      </c>
      <c r="DO8" s="253"/>
      <c r="DP8" s="253"/>
      <c r="DQ8" s="253"/>
      <c r="DR8" s="253"/>
      <c r="DS8" s="255">
        <f>200-200</f>
        <v>0</v>
      </c>
      <c r="DT8" s="253"/>
      <c r="DU8" s="254">
        <f>10000-10000+475-200</f>
        <v>275</v>
      </c>
      <c r="DV8" s="254">
        <f>500-500</f>
        <v>0</v>
      </c>
      <c r="DW8" s="254">
        <f>300-300+110-50</f>
        <v>60</v>
      </c>
      <c r="DX8" s="254">
        <f>3000-3000+420-200</f>
        <v>220</v>
      </c>
      <c r="DY8" s="254">
        <f>300-300+30-30</f>
        <v>0</v>
      </c>
      <c r="DZ8" s="253"/>
      <c r="EA8" s="255">
        <f>500-500</f>
        <v>0</v>
      </c>
      <c r="EB8" s="254">
        <f>10000-10000+30-30</f>
        <v>0</v>
      </c>
      <c r="EC8" s="254">
        <f>300-300</f>
        <v>0</v>
      </c>
      <c r="ED8" s="254">
        <f>300-300</f>
        <v>0</v>
      </c>
      <c r="EE8" s="254">
        <f>500-500+10-10</f>
        <v>0</v>
      </c>
      <c r="EF8" s="253"/>
      <c r="EG8" s="253"/>
      <c r="EH8" s="253"/>
      <c r="EI8" s="255">
        <f>1000-1000</f>
        <v>0</v>
      </c>
      <c r="EJ8" s="253"/>
      <c r="EK8" s="254">
        <f>4000-4000+650-320</f>
        <v>330</v>
      </c>
      <c r="EL8" s="254">
        <f>1000-1000+340-180</f>
        <v>160</v>
      </c>
      <c r="EM8" s="254">
        <f>500-500+120-60</f>
        <v>60</v>
      </c>
      <c r="EN8" s="254">
        <f>300-300+25-25</f>
        <v>0</v>
      </c>
      <c r="EO8" s="253"/>
      <c r="EP8" s="253"/>
      <c r="EQ8" s="254">
        <f>1000-1000+1360-565</f>
        <v>795</v>
      </c>
      <c r="ER8" s="254">
        <f>200-200+380-200</f>
        <v>180</v>
      </c>
      <c r="ES8" s="253"/>
      <c r="ET8" s="253"/>
      <c r="EU8" s="253"/>
      <c r="EV8" s="253"/>
      <c r="EW8" s="253"/>
      <c r="EX8" s="253"/>
      <c r="EY8" s="253"/>
      <c r="EZ8" s="253"/>
      <c r="FA8" s="253"/>
      <c r="FB8" s="253"/>
      <c r="FC8" s="253"/>
      <c r="FD8" s="253"/>
      <c r="FE8" s="253"/>
      <c r="FF8" s="253"/>
      <c r="FG8" s="253"/>
      <c r="FH8" s="253"/>
      <c r="FI8" s="253"/>
      <c r="FJ8" s="253"/>
      <c r="FK8" s="253"/>
      <c r="FL8" s="255">
        <f>100-100</f>
        <v>0</v>
      </c>
      <c r="FM8" s="253"/>
      <c r="FN8" s="253"/>
      <c r="FO8" s="253"/>
      <c r="FP8" s="256"/>
      <c r="FQ8" s="257" t="s">
        <v>1322</v>
      </c>
      <c r="FR8" s="258" t="s">
        <v>389</v>
      </c>
      <c r="FS8" s="258"/>
      <c r="FT8" s="258" t="s">
        <v>390</v>
      </c>
      <c r="FU8" s="259">
        <f t="shared" si="0"/>
        <v>12048</v>
      </c>
      <c r="FV8" s="260" t="s">
        <v>410</v>
      </c>
    </row>
    <row r="9" spans="1:178" s="260" customFormat="1" hidden="1">
      <c r="A9" s="251" t="s">
        <v>385</v>
      </c>
      <c r="B9" s="251" t="s">
        <v>385</v>
      </c>
      <c r="C9" s="251" t="s">
        <v>386</v>
      </c>
      <c r="D9" s="251" t="s">
        <v>293</v>
      </c>
      <c r="E9" s="252" t="s">
        <v>387</v>
      </c>
      <c r="F9" s="251" t="s">
        <v>388</v>
      </c>
      <c r="G9" s="251" t="s">
        <v>1323</v>
      </c>
      <c r="H9" s="253"/>
      <c r="I9" s="255">
        <f>100-100</f>
        <v>0</v>
      </c>
      <c r="J9" s="253"/>
      <c r="K9" s="253"/>
      <c r="L9" s="253"/>
      <c r="M9" s="255">
        <f>100-100</f>
        <v>0</v>
      </c>
      <c r="N9" s="253"/>
      <c r="O9" s="253"/>
      <c r="P9" s="253"/>
      <c r="Q9" s="255">
        <f>500-500</f>
        <v>0</v>
      </c>
      <c r="R9" s="253"/>
      <c r="S9" s="253"/>
      <c r="T9" s="255">
        <f>1000-1000</f>
        <v>0</v>
      </c>
      <c r="U9" s="253"/>
      <c r="V9" s="253"/>
      <c r="W9" s="253"/>
      <c r="X9" s="253"/>
      <c r="Y9" s="253"/>
      <c r="Z9" s="253"/>
      <c r="AA9" s="253"/>
      <c r="AB9" s="253"/>
      <c r="AC9" s="253"/>
      <c r="AD9" s="253"/>
      <c r="AE9" s="253"/>
      <c r="AF9" s="253"/>
      <c r="AG9" s="253"/>
      <c r="AH9" s="253"/>
      <c r="AI9" s="253"/>
      <c r="AJ9" s="253"/>
      <c r="AK9" s="253"/>
      <c r="AL9" s="253"/>
      <c r="AM9" s="253"/>
      <c r="AN9" s="253"/>
      <c r="AO9" s="253"/>
      <c r="AP9" s="253"/>
      <c r="AQ9" s="253"/>
      <c r="AR9" s="253"/>
      <c r="AS9" s="253"/>
      <c r="AT9" s="253"/>
      <c r="AU9" s="253"/>
      <c r="AV9" s="253"/>
      <c r="AW9" s="253"/>
      <c r="AX9" s="253"/>
      <c r="AY9" s="253"/>
      <c r="AZ9" s="253"/>
      <c r="BA9" s="253"/>
      <c r="BB9" s="253"/>
      <c r="BC9" s="253"/>
      <c r="BD9" s="253"/>
      <c r="BE9" s="253"/>
      <c r="BF9" s="253"/>
      <c r="BG9" s="253"/>
      <c r="BH9" s="253"/>
      <c r="BI9" s="253"/>
      <c r="BJ9" s="253"/>
      <c r="BK9" s="253"/>
      <c r="BL9" s="253"/>
      <c r="BM9" s="253"/>
      <c r="BN9" s="253"/>
      <c r="BO9" s="253"/>
      <c r="BP9" s="253"/>
      <c r="BQ9" s="253"/>
      <c r="BR9" s="253"/>
      <c r="BS9" s="253"/>
      <c r="BT9" s="253"/>
      <c r="BU9" s="253"/>
      <c r="BV9" s="253"/>
      <c r="BW9" s="253"/>
      <c r="BX9" s="253"/>
      <c r="BY9" s="253"/>
      <c r="BZ9" s="253"/>
      <c r="CA9" s="253"/>
      <c r="CB9" s="253"/>
      <c r="CC9" s="253"/>
      <c r="CD9" s="253"/>
      <c r="CE9" s="254">
        <f>500-500+360-45</f>
        <v>315</v>
      </c>
      <c r="CF9" s="253"/>
      <c r="CG9" s="253"/>
      <c r="CH9" s="253"/>
      <c r="CI9" s="253"/>
      <c r="CJ9" s="253"/>
      <c r="CK9" s="253"/>
      <c r="CL9" s="253"/>
      <c r="CM9" s="253"/>
      <c r="CN9" s="253"/>
      <c r="CO9" s="253">
        <v>120</v>
      </c>
      <c r="CP9" s="254">
        <f>3000-3000+2-2</f>
        <v>0</v>
      </c>
      <c r="CQ9" s="253"/>
      <c r="CR9" s="253"/>
      <c r="CS9" s="253"/>
      <c r="CT9" s="253"/>
      <c r="CU9" s="253"/>
      <c r="CV9" s="253"/>
      <c r="CW9" s="253"/>
      <c r="CX9" s="253"/>
      <c r="CY9" s="253"/>
      <c r="CZ9" s="253"/>
      <c r="DA9" s="253"/>
      <c r="DB9" s="253"/>
      <c r="DC9" s="253"/>
      <c r="DD9" s="253"/>
      <c r="DE9" s="253"/>
      <c r="DF9" s="253"/>
      <c r="DG9" s="253"/>
      <c r="DH9" s="253"/>
      <c r="DI9" s="253"/>
      <c r="DJ9" s="253"/>
      <c r="DK9" s="253"/>
      <c r="DL9" s="253"/>
      <c r="DM9" s="253"/>
      <c r="DN9" s="253"/>
      <c r="DO9" s="253"/>
      <c r="DP9" s="253"/>
      <c r="DQ9" s="253"/>
      <c r="DR9" s="253"/>
      <c r="DS9" s="253"/>
      <c r="DT9" s="253"/>
      <c r="DU9" s="253"/>
      <c r="DV9" s="253"/>
      <c r="DW9" s="253"/>
      <c r="DX9" s="253"/>
      <c r="DY9" s="253"/>
      <c r="DZ9" s="253"/>
      <c r="EA9" s="253"/>
      <c r="EB9" s="253"/>
      <c r="EC9" s="253"/>
      <c r="ED9" s="253"/>
      <c r="EE9" s="253"/>
      <c r="EF9" s="253"/>
      <c r="EG9" s="253"/>
      <c r="EH9" s="253"/>
      <c r="EI9" s="253"/>
      <c r="EJ9" s="253"/>
      <c r="EK9" s="253"/>
      <c r="EL9" s="253"/>
      <c r="EM9" s="253"/>
      <c r="EN9" s="253"/>
      <c r="EO9" s="253"/>
      <c r="EP9" s="253"/>
      <c r="EQ9" s="253"/>
      <c r="ER9" s="253"/>
      <c r="ES9" s="253"/>
      <c r="ET9" s="253"/>
      <c r="EU9" s="253"/>
      <c r="EV9" s="253"/>
      <c r="EW9" s="253"/>
      <c r="EX9" s="253"/>
      <c r="EY9" s="253"/>
      <c r="EZ9" s="253"/>
      <c r="FA9" s="253"/>
      <c r="FB9" s="253"/>
      <c r="FC9" s="253"/>
      <c r="FD9" s="253"/>
      <c r="FE9" s="253"/>
      <c r="FF9" s="253"/>
      <c r="FG9" s="253"/>
      <c r="FH9" s="253"/>
      <c r="FI9" s="253"/>
      <c r="FJ9" s="253"/>
      <c r="FK9" s="253"/>
      <c r="FL9" s="253"/>
      <c r="FM9" s="253"/>
      <c r="FN9" s="253"/>
      <c r="FO9" s="253"/>
      <c r="FP9" s="256"/>
      <c r="FQ9" s="257" t="s">
        <v>1322</v>
      </c>
      <c r="FR9" s="258" t="s">
        <v>389</v>
      </c>
      <c r="FS9" s="258"/>
      <c r="FT9" s="258" t="s">
        <v>390</v>
      </c>
      <c r="FU9" s="259">
        <f t="shared" si="0"/>
        <v>435</v>
      </c>
      <c r="FV9" s="260" t="s">
        <v>410</v>
      </c>
    </row>
    <row r="10" spans="1:178" s="260" customFormat="1" hidden="1">
      <c r="A10" s="251" t="s">
        <v>385</v>
      </c>
      <c r="B10" s="251" t="s">
        <v>385</v>
      </c>
      <c r="C10" s="251" t="s">
        <v>386</v>
      </c>
      <c r="D10" s="251" t="s">
        <v>1</v>
      </c>
      <c r="E10" s="263" t="s">
        <v>387</v>
      </c>
      <c r="F10" s="251" t="s">
        <v>388</v>
      </c>
      <c r="G10" s="251" t="s">
        <v>842</v>
      </c>
      <c r="H10" s="253"/>
      <c r="I10" s="253"/>
      <c r="J10" s="253"/>
      <c r="K10" s="253"/>
      <c r="L10" s="253"/>
      <c r="M10" s="253"/>
      <c r="N10" s="253"/>
      <c r="O10" s="253"/>
      <c r="P10" s="253"/>
      <c r="Q10" s="253"/>
      <c r="R10" s="253"/>
      <c r="S10" s="253"/>
      <c r="T10" s="253"/>
      <c r="U10" s="253"/>
      <c r="V10" s="253"/>
      <c r="W10" s="253"/>
      <c r="X10" s="253"/>
      <c r="Y10" s="253"/>
      <c r="Z10" s="253"/>
      <c r="AA10" s="253"/>
      <c r="AB10" s="253"/>
      <c r="AC10" s="253"/>
      <c r="AD10" s="253"/>
      <c r="AE10" s="253"/>
      <c r="AF10" s="253"/>
      <c r="AG10" s="253"/>
      <c r="AH10" s="253"/>
      <c r="AI10" s="253"/>
      <c r="AJ10" s="253"/>
      <c r="AK10" s="253"/>
      <c r="AL10" s="253"/>
      <c r="AM10" s="253"/>
      <c r="AN10" s="253"/>
      <c r="AO10" s="253"/>
      <c r="AP10" s="253"/>
      <c r="AQ10" s="253"/>
      <c r="AR10" s="253"/>
      <c r="AS10" s="253"/>
      <c r="AT10" s="253"/>
      <c r="AU10" s="253"/>
      <c r="AV10" s="253"/>
      <c r="AW10" s="253"/>
      <c r="AX10" s="253"/>
      <c r="AY10" s="253"/>
      <c r="AZ10" s="253"/>
      <c r="BA10" s="253"/>
      <c r="BB10" s="253"/>
      <c r="BC10" s="253"/>
      <c r="BD10" s="253"/>
      <c r="BE10" s="253"/>
      <c r="BF10" s="253"/>
      <c r="BG10" s="253"/>
      <c r="BH10" s="253"/>
      <c r="BI10" s="253"/>
      <c r="BJ10" s="253"/>
      <c r="BK10" s="253"/>
      <c r="BL10" s="253"/>
      <c r="BM10" s="253"/>
      <c r="BN10" s="253"/>
      <c r="BO10" s="253"/>
      <c r="BP10" s="253"/>
      <c r="BQ10" s="253"/>
      <c r="BR10" s="253"/>
      <c r="BS10" s="253"/>
      <c r="BT10" s="253"/>
      <c r="BU10" s="253"/>
      <c r="BV10" s="253"/>
      <c r="BW10" s="253"/>
      <c r="BX10" s="253"/>
      <c r="BY10" s="253"/>
      <c r="BZ10" s="253"/>
      <c r="CA10" s="253"/>
      <c r="CB10" s="253"/>
      <c r="CC10" s="253"/>
      <c r="CD10" s="253"/>
      <c r="CE10" s="253"/>
      <c r="CF10" s="253"/>
      <c r="CG10" s="253"/>
      <c r="CH10" s="253"/>
      <c r="CI10" s="253"/>
      <c r="CJ10" s="253"/>
      <c r="CK10" s="253"/>
      <c r="CL10" s="253"/>
      <c r="CM10" s="253"/>
      <c r="CN10" s="253"/>
      <c r="CO10" s="253"/>
      <c r="CP10" s="253"/>
      <c r="CQ10" s="253"/>
      <c r="CR10" s="253"/>
      <c r="CS10" s="253"/>
      <c r="CT10" s="253"/>
      <c r="CU10" s="253"/>
      <c r="CV10" s="253"/>
      <c r="CW10" s="253"/>
      <c r="CX10" s="253"/>
      <c r="CY10" s="253"/>
      <c r="CZ10" s="253"/>
      <c r="DA10" s="253"/>
      <c r="DB10" s="253"/>
      <c r="DC10" s="253"/>
      <c r="DD10" s="253"/>
      <c r="DE10" s="253"/>
      <c r="DF10" s="253"/>
      <c r="DG10" s="253"/>
      <c r="DH10" s="253"/>
      <c r="DI10" s="253"/>
      <c r="DJ10" s="253"/>
      <c r="DK10" s="253"/>
      <c r="DL10" s="253"/>
      <c r="DM10" s="253"/>
      <c r="DN10" s="253"/>
      <c r="DO10" s="253"/>
      <c r="DP10" s="253"/>
      <c r="DQ10" s="253"/>
      <c r="DR10" s="253"/>
      <c r="DS10" s="253"/>
      <c r="DT10" s="253"/>
      <c r="DU10" s="253"/>
      <c r="DV10" s="253"/>
      <c r="DW10" s="253"/>
      <c r="DX10" s="253"/>
      <c r="DY10" s="253"/>
      <c r="DZ10" s="255">
        <f>3000-3000</f>
        <v>0</v>
      </c>
      <c r="EA10" s="253"/>
      <c r="EB10" s="253"/>
      <c r="EC10" s="253"/>
      <c r="ED10" s="253"/>
      <c r="EE10" s="253"/>
      <c r="EF10" s="253"/>
      <c r="EG10" s="253"/>
      <c r="EH10" s="253"/>
      <c r="EI10" s="253"/>
      <c r="EJ10" s="253"/>
      <c r="EK10" s="253"/>
      <c r="EL10" s="253"/>
      <c r="EM10" s="253"/>
      <c r="EN10" s="253"/>
      <c r="EO10" s="253"/>
      <c r="EP10" s="253"/>
      <c r="EQ10" s="253"/>
      <c r="ER10" s="253"/>
      <c r="ES10" s="253"/>
      <c r="ET10" s="253"/>
      <c r="EU10" s="253"/>
      <c r="EV10" s="253"/>
      <c r="EW10" s="253"/>
      <c r="EX10" s="253"/>
      <c r="EY10" s="253"/>
      <c r="EZ10" s="253"/>
      <c r="FA10" s="253"/>
      <c r="FB10" s="253"/>
      <c r="FC10" s="253"/>
      <c r="FD10" s="253"/>
      <c r="FE10" s="253"/>
      <c r="FF10" s="253"/>
      <c r="FG10" s="253"/>
      <c r="FH10" s="253"/>
      <c r="FI10" s="253"/>
      <c r="FJ10" s="253"/>
      <c r="FK10" s="253"/>
      <c r="FL10" s="253"/>
      <c r="FM10" s="253"/>
      <c r="FN10" s="253"/>
      <c r="FO10" s="253"/>
      <c r="FP10" s="256"/>
      <c r="FQ10" s="257" t="s">
        <v>1322</v>
      </c>
      <c r="FR10" s="258" t="s">
        <v>1271</v>
      </c>
      <c r="FS10" s="258"/>
      <c r="FT10" s="258" t="s">
        <v>390</v>
      </c>
      <c r="FU10" s="259">
        <f t="shared" si="0"/>
        <v>0</v>
      </c>
      <c r="FV10" s="260" t="s">
        <v>410</v>
      </c>
    </row>
    <row r="11" spans="1:178" s="260" customFormat="1" hidden="1">
      <c r="A11" s="251" t="s">
        <v>385</v>
      </c>
      <c r="B11" s="251" t="s">
        <v>392</v>
      </c>
      <c r="C11" s="251" t="s">
        <v>386</v>
      </c>
      <c r="D11" s="251" t="s">
        <v>291</v>
      </c>
      <c r="E11" s="252" t="s">
        <v>387</v>
      </c>
      <c r="F11" s="251" t="s">
        <v>388</v>
      </c>
      <c r="G11" s="251" t="s">
        <v>1324</v>
      </c>
      <c r="H11" s="253"/>
      <c r="I11" s="253"/>
      <c r="J11" s="253"/>
      <c r="K11" s="253"/>
      <c r="L11" s="253"/>
      <c r="M11" s="253"/>
      <c r="N11" s="253"/>
      <c r="O11" s="253"/>
      <c r="P11" s="253"/>
      <c r="Q11" s="253"/>
      <c r="R11" s="253"/>
      <c r="S11" s="253"/>
      <c r="T11" s="253"/>
      <c r="U11" s="253"/>
      <c r="V11" s="253"/>
      <c r="W11" s="253"/>
      <c r="X11" s="253"/>
      <c r="Y11" s="253"/>
      <c r="Z11" s="253"/>
      <c r="AA11" s="253"/>
      <c r="AB11" s="253"/>
      <c r="AC11" s="253"/>
      <c r="AD11" s="253"/>
      <c r="AE11" s="253"/>
      <c r="AF11" s="253"/>
      <c r="AG11" s="253"/>
      <c r="AH11" s="253"/>
      <c r="AI11" s="253"/>
      <c r="AJ11" s="253"/>
      <c r="AK11" s="253"/>
      <c r="AL11" s="253"/>
      <c r="AM11" s="253"/>
      <c r="AN11" s="253"/>
      <c r="AO11" s="253"/>
      <c r="AP11" s="253"/>
      <c r="AQ11" s="253"/>
      <c r="AR11" s="253"/>
      <c r="AS11" s="253"/>
      <c r="AT11" s="253"/>
      <c r="AU11" s="253"/>
      <c r="AV11" s="253"/>
      <c r="AW11" s="253"/>
      <c r="AX11" s="253"/>
      <c r="AY11" s="253"/>
      <c r="AZ11" s="253"/>
      <c r="BA11" s="253"/>
      <c r="BB11" s="253"/>
      <c r="BC11" s="253"/>
      <c r="BD11" s="253"/>
      <c r="BE11" s="253"/>
      <c r="BF11" s="253"/>
      <c r="BG11" s="253"/>
      <c r="BH11" s="253"/>
      <c r="BI11" s="253"/>
      <c r="BJ11" s="253"/>
      <c r="BK11" s="253"/>
      <c r="BL11" s="253"/>
      <c r="BM11" s="253"/>
      <c r="BN11" s="253"/>
      <c r="BO11" s="253"/>
      <c r="BP11" s="253"/>
      <c r="BQ11" s="253"/>
      <c r="BR11" s="253"/>
      <c r="BS11" s="253"/>
      <c r="BT11" s="253"/>
      <c r="BU11" s="253"/>
      <c r="BV11" s="253"/>
      <c r="BW11" s="253"/>
      <c r="BX11" s="253"/>
      <c r="BY11" s="253"/>
      <c r="BZ11" s="253"/>
      <c r="CA11" s="253"/>
      <c r="CB11" s="253"/>
      <c r="CC11" s="253"/>
      <c r="CD11" s="253"/>
      <c r="CE11" s="253"/>
      <c r="CF11" s="253"/>
      <c r="CG11" s="253"/>
      <c r="CH11" s="253"/>
      <c r="CI11" s="253"/>
      <c r="CJ11" s="253"/>
      <c r="CK11" s="253"/>
      <c r="CL11" s="253"/>
      <c r="CM11" s="253"/>
      <c r="CN11" s="253"/>
      <c r="CO11" s="253"/>
      <c r="CP11" s="253"/>
      <c r="CQ11" s="253"/>
      <c r="CR11" s="253"/>
      <c r="CS11" s="253"/>
      <c r="CT11" s="253"/>
      <c r="CU11" s="253"/>
      <c r="CV11" s="253"/>
      <c r="CW11" s="253"/>
      <c r="CX11" s="253"/>
      <c r="CY11" s="253"/>
      <c r="CZ11" s="253"/>
      <c r="DA11" s="253"/>
      <c r="DB11" s="253"/>
      <c r="DC11" s="253"/>
      <c r="DD11" s="253"/>
      <c r="DE11" s="253"/>
      <c r="DF11" s="253"/>
      <c r="DG11" s="253"/>
      <c r="DH11" s="253"/>
      <c r="DI11" s="253"/>
      <c r="DJ11" s="253"/>
      <c r="DK11" s="253"/>
      <c r="DL11" s="253"/>
      <c r="DM11" s="253"/>
      <c r="DN11" s="253"/>
      <c r="DO11" s="253"/>
      <c r="DP11" s="253"/>
      <c r="DQ11" s="253"/>
      <c r="DR11" s="253"/>
      <c r="DS11" s="253"/>
      <c r="DT11" s="253"/>
      <c r="DU11" s="253"/>
      <c r="DV11" s="253"/>
      <c r="DW11" s="253"/>
      <c r="DX11" s="253"/>
      <c r="DY11" s="253"/>
      <c r="DZ11" s="253"/>
      <c r="EA11" s="253"/>
      <c r="EB11" s="253"/>
      <c r="EC11" s="253"/>
      <c r="ED11" s="253"/>
      <c r="EE11" s="253"/>
      <c r="EF11" s="253"/>
      <c r="EG11" s="253"/>
      <c r="EH11" s="253"/>
      <c r="EI11" s="253"/>
      <c r="EJ11" s="253"/>
      <c r="EK11" s="253"/>
      <c r="EL11" s="253"/>
      <c r="EM11" s="253"/>
      <c r="EN11" s="253"/>
      <c r="EO11" s="253"/>
      <c r="EP11" s="253"/>
      <c r="EQ11" s="253"/>
      <c r="ER11" s="253"/>
      <c r="ES11" s="253"/>
      <c r="ET11" s="253"/>
      <c r="EU11" s="253"/>
      <c r="EV11" s="253"/>
      <c r="EW11" s="254">
        <f>10000-10000+650-300</f>
        <v>350</v>
      </c>
      <c r="EX11" s="254">
        <f>10000-10000+640-300</f>
        <v>340</v>
      </c>
      <c r="EY11" s="253"/>
      <c r="EZ11" s="253"/>
      <c r="FA11" s="255">
        <f>4000-4000</f>
        <v>0</v>
      </c>
      <c r="FB11" s="253"/>
      <c r="FC11" s="253"/>
      <c r="FD11" s="254">
        <f>1500-1500+70-20</f>
        <v>50</v>
      </c>
      <c r="FE11" s="255">
        <f>1500-1500+5</f>
        <v>5</v>
      </c>
      <c r="FF11" s="253"/>
      <c r="FG11" s="253"/>
      <c r="FH11" s="255">
        <f>2000-2000+4</f>
        <v>4</v>
      </c>
      <c r="FI11" s="255">
        <f>3000-3000+8</f>
        <v>8</v>
      </c>
      <c r="FJ11" s="255">
        <f>5000-5000</f>
        <v>0</v>
      </c>
      <c r="FK11" s="254">
        <f>8000-8000+1200-300</f>
        <v>900</v>
      </c>
      <c r="FL11" s="253"/>
      <c r="FM11" s="253"/>
      <c r="FN11" s="253"/>
      <c r="FO11" s="253"/>
      <c r="FP11" s="256"/>
      <c r="FQ11" s="257" t="s">
        <v>1322</v>
      </c>
      <c r="FR11" s="258" t="s">
        <v>389</v>
      </c>
      <c r="FS11" s="258"/>
      <c r="FT11" s="258" t="s">
        <v>390</v>
      </c>
      <c r="FU11" s="259">
        <f t="shared" si="0"/>
        <v>1657</v>
      </c>
      <c r="FV11" s="260" t="s">
        <v>410</v>
      </c>
    </row>
    <row r="12" spans="1:178" s="260" customFormat="1" hidden="1">
      <c r="A12" s="251" t="s">
        <v>385</v>
      </c>
      <c r="B12" s="251" t="s">
        <v>392</v>
      </c>
      <c r="C12" s="251" t="s">
        <v>386</v>
      </c>
      <c r="D12" s="251" t="s">
        <v>1</v>
      </c>
      <c r="E12" s="252" t="s">
        <v>387</v>
      </c>
      <c r="F12" s="251" t="s">
        <v>388</v>
      </c>
      <c r="G12" s="251" t="s">
        <v>1324</v>
      </c>
      <c r="H12" s="253"/>
      <c r="I12" s="253"/>
      <c r="J12" s="253"/>
      <c r="K12" s="253"/>
      <c r="L12" s="253"/>
      <c r="M12" s="253"/>
      <c r="N12" s="253"/>
      <c r="O12" s="253"/>
      <c r="P12" s="253"/>
      <c r="Q12" s="253"/>
      <c r="R12" s="253"/>
      <c r="S12" s="253"/>
      <c r="T12" s="253"/>
      <c r="U12" s="253"/>
      <c r="V12" s="253"/>
      <c r="W12" s="253"/>
      <c r="X12" s="253"/>
      <c r="Y12" s="253"/>
      <c r="Z12" s="253"/>
      <c r="AA12" s="253"/>
      <c r="AB12" s="253"/>
      <c r="AC12" s="253"/>
      <c r="AD12" s="253"/>
      <c r="AE12" s="253"/>
      <c r="AF12" s="253"/>
      <c r="AG12" s="253"/>
      <c r="AH12" s="253"/>
      <c r="AI12" s="253"/>
      <c r="AJ12" s="253"/>
      <c r="AK12" s="253"/>
      <c r="AL12" s="253"/>
      <c r="AM12" s="253"/>
      <c r="AN12" s="253"/>
      <c r="AO12" s="253"/>
      <c r="AP12" s="255">
        <f>2000-2000</f>
        <v>0</v>
      </c>
      <c r="AQ12" s="253"/>
      <c r="AR12" s="255">
        <f>2000-2000</f>
        <v>0</v>
      </c>
      <c r="AS12" s="253"/>
      <c r="AT12" s="253"/>
      <c r="AU12" s="253"/>
      <c r="AV12" s="253"/>
      <c r="AW12" s="253"/>
      <c r="AX12" s="253"/>
      <c r="AY12" s="253"/>
      <c r="AZ12" s="253"/>
      <c r="BA12" s="253"/>
      <c r="BB12" s="253"/>
      <c r="BC12" s="253"/>
      <c r="BD12" s="253"/>
      <c r="BE12" s="253"/>
      <c r="BF12" s="253"/>
      <c r="BG12" s="253"/>
      <c r="BH12" s="253"/>
      <c r="BI12" s="253"/>
      <c r="BJ12" s="253"/>
      <c r="BK12" s="253"/>
      <c r="BL12" s="253"/>
      <c r="BM12" s="253"/>
      <c r="BN12" s="253"/>
      <c r="BO12" s="253"/>
      <c r="BP12" s="253"/>
      <c r="BQ12" s="253"/>
      <c r="BR12" s="253"/>
      <c r="BS12" s="253"/>
      <c r="BT12" s="253"/>
      <c r="BU12" s="253"/>
      <c r="BV12" s="253"/>
      <c r="BW12" s="253"/>
      <c r="BX12" s="253"/>
      <c r="BY12" s="253"/>
      <c r="BZ12" s="253"/>
      <c r="CA12" s="253"/>
      <c r="CB12" s="253"/>
      <c r="CC12" s="253"/>
      <c r="CD12" s="253"/>
      <c r="CE12" s="253"/>
      <c r="CF12" s="253"/>
      <c r="CG12" s="253"/>
      <c r="CH12" s="253"/>
      <c r="CI12" s="253"/>
      <c r="CJ12" s="253"/>
      <c r="CK12" s="253"/>
      <c r="CL12" s="253"/>
      <c r="CM12" s="253"/>
      <c r="CN12" s="253"/>
      <c r="CO12" s="253"/>
      <c r="CP12" s="253"/>
      <c r="CQ12" s="253"/>
      <c r="CR12" s="253"/>
      <c r="CS12" s="253"/>
      <c r="CT12" s="253"/>
      <c r="CU12" s="253"/>
      <c r="CV12" s="253"/>
      <c r="CW12" s="253"/>
      <c r="CX12" s="253"/>
      <c r="CY12" s="253"/>
      <c r="CZ12" s="253"/>
      <c r="DA12" s="253"/>
      <c r="DB12" s="253"/>
      <c r="DC12" s="253"/>
      <c r="DD12" s="253"/>
      <c r="DE12" s="253"/>
      <c r="DF12" s="253"/>
      <c r="DG12" s="253"/>
      <c r="DH12" s="253"/>
      <c r="DI12" s="253"/>
      <c r="DJ12" s="253"/>
      <c r="DK12" s="253"/>
      <c r="DL12" s="253"/>
      <c r="DM12" s="253"/>
      <c r="DN12" s="253"/>
      <c r="DO12" s="253"/>
      <c r="DP12" s="253"/>
      <c r="DQ12" s="253"/>
      <c r="DR12" s="253"/>
      <c r="DS12" s="253"/>
      <c r="DT12" s="253"/>
      <c r="DU12" s="253"/>
      <c r="DV12" s="253"/>
      <c r="DW12" s="253"/>
      <c r="DX12" s="253"/>
      <c r="DY12" s="253"/>
      <c r="DZ12" s="253"/>
      <c r="EA12" s="253"/>
      <c r="EB12" s="255">
        <f>2000-2000</f>
        <v>0</v>
      </c>
      <c r="EC12" s="253"/>
      <c r="ED12" s="253"/>
      <c r="EE12" s="253"/>
      <c r="EF12" s="253"/>
      <c r="EG12" s="253"/>
      <c r="EH12" s="253"/>
      <c r="EI12" s="253"/>
      <c r="EJ12" s="253"/>
      <c r="EK12" s="253"/>
      <c r="EL12" s="253"/>
      <c r="EM12" s="253"/>
      <c r="EN12" s="253"/>
      <c r="EO12" s="253"/>
      <c r="EP12" s="253"/>
      <c r="EQ12" s="253"/>
      <c r="ER12" s="253"/>
      <c r="ES12" s="253"/>
      <c r="ET12" s="253"/>
      <c r="EU12" s="253"/>
      <c r="EV12" s="253"/>
      <c r="EW12" s="253"/>
      <c r="EX12" s="253"/>
      <c r="EY12" s="254">
        <f>10000-10000+630-320</f>
        <v>310</v>
      </c>
      <c r="EZ12" s="254">
        <f>4000-4000+930-430</f>
        <v>500</v>
      </c>
      <c r="FA12" s="253"/>
      <c r="FB12" s="253"/>
      <c r="FC12" s="254">
        <f>10000-10000+1770-770</f>
        <v>1000</v>
      </c>
      <c r="FD12" s="253"/>
      <c r="FE12" s="253"/>
      <c r="FF12" s="253"/>
      <c r="FG12" s="255">
        <f>5000-5000</f>
        <v>0</v>
      </c>
      <c r="FH12" s="253">
        <v>1</v>
      </c>
      <c r="FI12" s="253">
        <v>1</v>
      </c>
      <c r="FJ12" s="253"/>
      <c r="FK12" s="253"/>
      <c r="FL12" s="253"/>
      <c r="FM12" s="253"/>
      <c r="FN12" s="253"/>
      <c r="FO12" s="253"/>
      <c r="FP12" s="256"/>
      <c r="FQ12" s="257" t="s">
        <v>1322</v>
      </c>
      <c r="FR12" s="258" t="s">
        <v>389</v>
      </c>
      <c r="FS12" s="258"/>
      <c r="FT12" s="258" t="s">
        <v>390</v>
      </c>
      <c r="FU12" s="259">
        <f t="shared" si="0"/>
        <v>1812</v>
      </c>
      <c r="FV12" s="260" t="s">
        <v>410</v>
      </c>
    </row>
    <row r="13" spans="1:178" s="260" customFormat="1" hidden="1">
      <c r="A13" s="251" t="s">
        <v>385</v>
      </c>
      <c r="B13" s="251" t="s">
        <v>392</v>
      </c>
      <c r="C13" s="251" t="s">
        <v>386</v>
      </c>
      <c r="D13" s="251" t="s">
        <v>293</v>
      </c>
      <c r="E13" s="252" t="s">
        <v>387</v>
      </c>
      <c r="F13" s="251" t="s">
        <v>388</v>
      </c>
      <c r="G13" s="251" t="s">
        <v>1325</v>
      </c>
      <c r="H13" s="253"/>
      <c r="I13" s="253"/>
      <c r="J13" s="253"/>
      <c r="K13" s="253"/>
      <c r="L13" s="253"/>
      <c r="M13" s="253"/>
      <c r="N13" s="253"/>
      <c r="O13" s="253"/>
      <c r="P13" s="253"/>
      <c r="Q13" s="253"/>
      <c r="R13" s="253"/>
      <c r="S13" s="253"/>
      <c r="T13" s="253"/>
      <c r="U13" s="253"/>
      <c r="V13" s="253"/>
      <c r="W13" s="253"/>
      <c r="X13" s="253"/>
      <c r="Y13" s="253"/>
      <c r="Z13" s="253"/>
      <c r="AA13" s="253"/>
      <c r="AB13" s="253"/>
      <c r="AC13" s="253"/>
      <c r="AD13" s="253"/>
      <c r="AE13" s="253"/>
      <c r="AF13" s="253"/>
      <c r="AG13" s="253"/>
      <c r="AH13" s="253"/>
      <c r="AI13" s="253"/>
      <c r="AJ13" s="253"/>
      <c r="AK13" s="253"/>
      <c r="AL13" s="253"/>
      <c r="AM13" s="253"/>
      <c r="AN13" s="253"/>
      <c r="AO13" s="253"/>
      <c r="AP13" s="253"/>
      <c r="AQ13" s="253"/>
      <c r="AR13" s="253"/>
      <c r="AS13" s="253"/>
      <c r="AT13" s="253"/>
      <c r="AU13" s="253"/>
      <c r="AV13" s="253"/>
      <c r="AW13" s="253"/>
      <c r="AX13" s="253"/>
      <c r="AY13" s="253"/>
      <c r="AZ13" s="253"/>
      <c r="BA13" s="253"/>
      <c r="BB13" s="253"/>
      <c r="BC13" s="253"/>
      <c r="BD13" s="253"/>
      <c r="BE13" s="253"/>
      <c r="BF13" s="253"/>
      <c r="BG13" s="253"/>
      <c r="BH13" s="253"/>
      <c r="BI13" s="253"/>
      <c r="BJ13" s="253"/>
      <c r="BK13" s="253"/>
      <c r="BL13" s="253"/>
      <c r="BM13" s="253"/>
      <c r="BN13" s="253"/>
      <c r="BO13" s="253"/>
      <c r="BP13" s="253"/>
      <c r="BQ13" s="253"/>
      <c r="BR13" s="253"/>
      <c r="BS13" s="253"/>
      <c r="BT13" s="253"/>
      <c r="BU13" s="253"/>
      <c r="BV13" s="253"/>
      <c r="BW13" s="253"/>
      <c r="BX13" s="253"/>
      <c r="BY13" s="253"/>
      <c r="BZ13" s="253"/>
      <c r="CA13" s="253"/>
      <c r="CB13" s="253"/>
      <c r="CC13" s="253"/>
      <c r="CD13" s="253"/>
      <c r="CE13" s="253"/>
      <c r="CF13" s="253"/>
      <c r="CG13" s="253"/>
      <c r="CH13" s="253"/>
      <c r="CI13" s="253"/>
      <c r="CJ13" s="253"/>
      <c r="CK13" s="253"/>
      <c r="CL13" s="253"/>
      <c r="CM13" s="253"/>
      <c r="CN13" s="253"/>
      <c r="CO13" s="253"/>
      <c r="CP13" s="253"/>
      <c r="CQ13" s="253"/>
      <c r="CR13" s="253"/>
      <c r="CS13" s="253"/>
      <c r="CT13" s="253"/>
      <c r="CU13" s="253"/>
      <c r="CV13" s="253"/>
      <c r="CW13" s="253"/>
      <c r="CX13" s="253"/>
      <c r="CY13" s="253"/>
      <c r="CZ13" s="253"/>
      <c r="DA13" s="253"/>
      <c r="DB13" s="253"/>
      <c r="DC13" s="253"/>
      <c r="DD13" s="253"/>
      <c r="DE13" s="253"/>
      <c r="DF13" s="253"/>
      <c r="DG13" s="253"/>
      <c r="DH13" s="253"/>
      <c r="DI13" s="253"/>
      <c r="DJ13" s="253"/>
      <c r="DK13" s="253"/>
      <c r="DL13" s="253"/>
      <c r="DM13" s="253"/>
      <c r="DN13" s="253"/>
      <c r="DO13" s="253"/>
      <c r="DP13" s="253"/>
      <c r="DQ13" s="253"/>
      <c r="DR13" s="253"/>
      <c r="DS13" s="253"/>
      <c r="DT13" s="253"/>
      <c r="DU13" s="253"/>
      <c r="DV13" s="253"/>
      <c r="DW13" s="253"/>
      <c r="DX13" s="253"/>
      <c r="DY13" s="253"/>
      <c r="DZ13" s="253"/>
      <c r="EA13" s="253"/>
      <c r="EB13" s="253"/>
      <c r="EC13" s="253"/>
      <c r="ED13" s="253"/>
      <c r="EE13" s="253"/>
      <c r="EF13" s="253"/>
      <c r="EG13" s="253"/>
      <c r="EH13" s="253"/>
      <c r="EI13" s="253"/>
      <c r="EJ13" s="253"/>
      <c r="EK13" s="253"/>
      <c r="EL13" s="253"/>
      <c r="EM13" s="253"/>
      <c r="EN13" s="253"/>
      <c r="EO13" s="253"/>
      <c r="EP13" s="253"/>
      <c r="EQ13" s="253"/>
      <c r="ER13" s="253"/>
      <c r="ES13" s="253"/>
      <c r="ET13" s="253"/>
      <c r="EU13" s="253"/>
      <c r="EV13" s="253"/>
      <c r="EW13" s="253"/>
      <c r="EX13" s="253"/>
      <c r="EY13" s="253"/>
      <c r="EZ13" s="253"/>
      <c r="FA13" s="253"/>
      <c r="FB13" s="255">
        <f>4000-4000</f>
        <v>0</v>
      </c>
      <c r="FC13" s="253"/>
      <c r="FD13" s="253"/>
      <c r="FE13" s="253"/>
      <c r="FF13" s="253"/>
      <c r="FG13" s="253"/>
      <c r="FH13" s="253"/>
      <c r="FI13" s="253"/>
      <c r="FJ13" s="253"/>
      <c r="FK13" s="253"/>
      <c r="FL13" s="253"/>
      <c r="FM13" s="253"/>
      <c r="FN13" s="253"/>
      <c r="FO13" s="253"/>
      <c r="FP13" s="256"/>
      <c r="FQ13" s="257" t="s">
        <v>1322</v>
      </c>
      <c r="FR13" s="258" t="s">
        <v>389</v>
      </c>
      <c r="FS13" s="258"/>
      <c r="FT13" s="258" t="s">
        <v>390</v>
      </c>
      <c r="FU13" s="259">
        <f t="shared" si="0"/>
        <v>0</v>
      </c>
      <c r="FV13" s="260" t="s">
        <v>410</v>
      </c>
    </row>
    <row r="14" spans="1:178" s="260" customFormat="1" hidden="1">
      <c r="A14" s="251" t="s">
        <v>1242</v>
      </c>
      <c r="B14" s="251" t="s">
        <v>1242</v>
      </c>
      <c r="C14" s="251" t="s">
        <v>386</v>
      </c>
      <c r="D14" s="251" t="s">
        <v>1</v>
      </c>
      <c r="E14" s="252" t="s">
        <v>1326</v>
      </c>
      <c r="F14" s="251" t="s">
        <v>388</v>
      </c>
      <c r="G14" s="251" t="s">
        <v>1327</v>
      </c>
      <c r="H14" s="253"/>
      <c r="I14" s="253"/>
      <c r="J14" s="253"/>
      <c r="K14" s="253"/>
      <c r="L14" s="253"/>
      <c r="M14" s="253"/>
      <c r="N14" s="253"/>
      <c r="O14" s="253"/>
      <c r="P14" s="253"/>
      <c r="Q14" s="253"/>
      <c r="R14" s="253"/>
      <c r="S14" s="253"/>
      <c r="T14" s="253"/>
      <c r="U14" s="253"/>
      <c r="V14" s="253"/>
      <c r="W14" s="253"/>
      <c r="X14" s="253"/>
      <c r="Y14" s="253"/>
      <c r="Z14" s="253"/>
      <c r="AA14" s="253"/>
      <c r="AB14" s="253"/>
      <c r="AC14" s="253"/>
      <c r="AD14" s="253"/>
      <c r="AE14" s="253"/>
      <c r="AF14" s="253"/>
      <c r="AG14" s="253"/>
      <c r="AH14" s="253"/>
      <c r="AI14" s="253"/>
      <c r="AJ14" s="253"/>
      <c r="AK14" s="253"/>
      <c r="AL14" s="253"/>
      <c r="AM14" s="253"/>
      <c r="AN14" s="253"/>
      <c r="AO14" s="253"/>
      <c r="AP14" s="253"/>
      <c r="AQ14" s="253"/>
      <c r="AR14" s="253"/>
      <c r="AS14" s="253"/>
      <c r="AT14" s="253"/>
      <c r="AU14" s="253"/>
      <c r="AV14" s="253"/>
      <c r="AW14" s="253"/>
      <c r="AX14" s="253"/>
      <c r="AY14" s="253"/>
      <c r="AZ14" s="253"/>
      <c r="BA14" s="253"/>
      <c r="BB14" s="253"/>
      <c r="BC14" s="253"/>
      <c r="BD14" s="253"/>
      <c r="BE14" s="253"/>
      <c r="BF14" s="253"/>
      <c r="BG14" s="253"/>
      <c r="BH14" s="253"/>
      <c r="BI14" s="253"/>
      <c r="BJ14" s="253"/>
      <c r="BK14" s="253"/>
      <c r="BL14" s="253"/>
      <c r="BM14" s="253"/>
      <c r="BN14" s="253"/>
      <c r="BO14" s="253"/>
      <c r="BP14" s="253"/>
      <c r="BQ14" s="398">
        <v>21</v>
      </c>
      <c r="BR14" s="253"/>
      <c r="BS14" s="253"/>
      <c r="BT14" s="253"/>
      <c r="BU14" s="253"/>
      <c r="BV14" s="253"/>
      <c r="BW14" s="253"/>
      <c r="BX14" s="253"/>
      <c r="BY14" s="253"/>
      <c r="BZ14" s="253"/>
      <c r="CA14" s="253"/>
      <c r="CB14" s="253"/>
      <c r="CC14" s="253"/>
      <c r="CD14" s="253"/>
      <c r="CE14" s="253"/>
      <c r="CF14" s="253"/>
      <c r="CG14" s="253"/>
      <c r="CH14" s="253"/>
      <c r="CI14" s="253"/>
      <c r="CJ14" s="253"/>
      <c r="CK14" s="253"/>
      <c r="CL14" s="253"/>
      <c r="CM14" s="253"/>
      <c r="CN14" s="253"/>
      <c r="CO14" s="253"/>
      <c r="CP14" s="253"/>
      <c r="CQ14" s="253"/>
      <c r="CR14" s="253"/>
      <c r="CS14" s="253"/>
      <c r="CT14" s="253"/>
      <c r="CU14" s="253"/>
      <c r="CV14" s="253"/>
      <c r="CW14" s="253"/>
      <c r="CX14" s="253"/>
      <c r="CY14" s="253"/>
      <c r="CZ14" s="253"/>
      <c r="DA14" s="253"/>
      <c r="DB14" s="253"/>
      <c r="DC14" s="253"/>
      <c r="DD14" s="253"/>
      <c r="DE14" s="253"/>
      <c r="DF14" s="253"/>
      <c r="DG14" s="253"/>
      <c r="DH14" s="253"/>
      <c r="DI14" s="253"/>
      <c r="DJ14" s="253"/>
      <c r="DK14" s="253"/>
      <c r="DL14" s="253"/>
      <c r="DM14" s="253"/>
      <c r="DN14" s="253"/>
      <c r="DO14" s="253"/>
      <c r="DP14" s="253"/>
      <c r="DQ14" s="253"/>
      <c r="DR14" s="253"/>
      <c r="DS14" s="253"/>
      <c r="DT14" s="253"/>
      <c r="DU14" s="253"/>
      <c r="DV14" s="253"/>
      <c r="DW14" s="253"/>
      <c r="DX14" s="253"/>
      <c r="DY14" s="253"/>
      <c r="DZ14" s="253"/>
      <c r="EA14" s="253"/>
      <c r="EB14" s="253"/>
      <c r="EC14" s="253"/>
      <c r="ED14" s="253"/>
      <c r="EE14" s="253"/>
      <c r="EF14" s="253"/>
      <c r="EG14" s="253"/>
      <c r="EH14" s="253"/>
      <c r="EI14" s="253"/>
      <c r="EJ14" s="253"/>
      <c r="EK14" s="253"/>
      <c r="EL14" s="253"/>
      <c r="EM14" s="253"/>
      <c r="EN14" s="253"/>
      <c r="EO14" s="253"/>
      <c r="EP14" s="253"/>
      <c r="EQ14" s="253"/>
      <c r="ER14" s="253"/>
      <c r="ES14" s="253"/>
      <c r="ET14" s="253"/>
      <c r="EU14" s="253"/>
      <c r="EV14" s="253"/>
      <c r="EW14" s="253"/>
      <c r="EX14" s="253"/>
      <c r="EY14" s="253"/>
      <c r="EZ14" s="253"/>
      <c r="FA14" s="253"/>
      <c r="FB14" s="255"/>
      <c r="FC14" s="253"/>
      <c r="FD14" s="253"/>
      <c r="FE14" s="253"/>
      <c r="FF14" s="253"/>
      <c r="FG14" s="253"/>
      <c r="FH14" s="253"/>
      <c r="FI14" s="253"/>
      <c r="FJ14" s="253"/>
      <c r="FK14" s="253"/>
      <c r="FL14" s="253"/>
      <c r="FM14" s="253"/>
      <c r="FN14" s="253"/>
      <c r="FO14" s="253"/>
      <c r="FP14" s="256"/>
      <c r="FQ14" s="257"/>
      <c r="FR14" s="258"/>
      <c r="FS14" s="258"/>
      <c r="FT14" s="258"/>
      <c r="FU14" s="259">
        <f t="shared" si="0"/>
        <v>21</v>
      </c>
      <c r="FV14" s="260" t="s">
        <v>410</v>
      </c>
    </row>
    <row r="15" spans="1:178" s="260" customFormat="1" hidden="1">
      <c r="A15" s="251" t="s">
        <v>393</v>
      </c>
      <c r="B15" s="251" t="s">
        <v>385</v>
      </c>
      <c r="C15" s="251" t="s">
        <v>394</v>
      </c>
      <c r="D15" s="251" t="s">
        <v>291</v>
      </c>
      <c r="E15" s="252" t="s">
        <v>395</v>
      </c>
      <c r="F15" s="251" t="s">
        <v>388</v>
      </c>
      <c r="G15" s="251" t="s">
        <v>1328</v>
      </c>
      <c r="H15" s="253"/>
      <c r="I15" s="253"/>
      <c r="J15" s="253"/>
      <c r="K15" s="253"/>
      <c r="L15" s="253"/>
      <c r="M15" s="253"/>
      <c r="N15" s="253"/>
      <c r="O15" s="253"/>
      <c r="P15" s="253"/>
      <c r="Q15" s="253"/>
      <c r="R15" s="253"/>
      <c r="S15" s="253"/>
      <c r="T15" s="253"/>
      <c r="U15" s="253"/>
      <c r="V15" s="253"/>
      <c r="W15" s="253"/>
      <c r="X15" s="253"/>
      <c r="Y15" s="253"/>
      <c r="Z15" s="253"/>
      <c r="AA15" s="253"/>
      <c r="AB15" s="253"/>
      <c r="AC15" s="253"/>
      <c r="AD15" s="253"/>
      <c r="AE15" s="253"/>
      <c r="AF15" s="253"/>
      <c r="AG15" s="253"/>
      <c r="AH15" s="253"/>
      <c r="AI15" s="253"/>
      <c r="AJ15" s="253"/>
      <c r="AK15" s="253"/>
      <c r="AL15" s="253"/>
      <c r="AM15" s="253"/>
      <c r="AN15" s="253"/>
      <c r="AO15" s="253"/>
      <c r="AP15" s="253"/>
      <c r="AQ15" s="253"/>
      <c r="AR15" s="253"/>
      <c r="AS15" s="253"/>
      <c r="AT15" s="253"/>
      <c r="AU15" s="253"/>
      <c r="AV15" s="253"/>
      <c r="AW15" s="253"/>
      <c r="AX15" s="253"/>
      <c r="AY15" s="253"/>
      <c r="AZ15" s="253"/>
      <c r="BA15" s="253"/>
      <c r="BB15" s="253"/>
      <c r="BC15" s="253"/>
      <c r="BD15" s="253"/>
      <c r="BE15" s="253"/>
      <c r="BF15" s="253"/>
      <c r="BG15" s="253"/>
      <c r="BH15" s="253"/>
      <c r="BI15" s="253"/>
      <c r="BJ15" s="253"/>
      <c r="BK15" s="253"/>
      <c r="BL15" s="253"/>
      <c r="BM15" s="253"/>
      <c r="BN15" s="253"/>
      <c r="BO15" s="253"/>
      <c r="BP15" s="253"/>
      <c r="BQ15" s="253"/>
      <c r="BR15" s="253"/>
      <c r="BS15" s="253"/>
      <c r="BT15" s="253"/>
      <c r="BU15" s="253"/>
      <c r="BV15" s="253"/>
      <c r="BW15" s="253"/>
      <c r="BX15" s="253"/>
      <c r="BY15" s="253"/>
      <c r="BZ15" s="253"/>
      <c r="CA15" s="253"/>
      <c r="CB15" s="253"/>
      <c r="CC15" s="253"/>
      <c r="CD15" s="253"/>
      <c r="CE15" s="253"/>
      <c r="CF15" s="253"/>
      <c r="CG15" s="253"/>
      <c r="CH15" s="253"/>
      <c r="CI15" s="253"/>
      <c r="CJ15" s="253"/>
      <c r="CK15" s="253"/>
      <c r="CL15" s="253"/>
      <c r="CM15" s="253"/>
      <c r="CN15" s="253"/>
      <c r="CO15" s="253"/>
      <c r="CP15" s="253"/>
      <c r="CQ15" s="253"/>
      <c r="CR15" s="253"/>
      <c r="CS15" s="253"/>
      <c r="CT15" s="253"/>
      <c r="CU15" s="253"/>
      <c r="CV15" s="253"/>
      <c r="CW15" s="253"/>
      <c r="CX15" s="253"/>
      <c r="CY15" s="253"/>
      <c r="CZ15" s="253"/>
      <c r="DA15" s="253"/>
      <c r="DB15" s="253"/>
      <c r="DC15" s="253"/>
      <c r="DD15" s="253"/>
      <c r="DE15" s="253"/>
      <c r="DF15" s="253"/>
      <c r="DG15" s="253"/>
      <c r="DH15" s="253"/>
      <c r="DI15" s="253"/>
      <c r="DJ15" s="253"/>
      <c r="DK15" s="253"/>
      <c r="DL15" s="253"/>
      <c r="DM15" s="253"/>
      <c r="DN15" s="253"/>
      <c r="DO15" s="253"/>
      <c r="DP15" s="253"/>
      <c r="DQ15" s="253"/>
      <c r="DR15" s="253"/>
      <c r="DS15" s="253"/>
      <c r="DT15" s="253"/>
      <c r="DU15" s="253"/>
      <c r="DV15" s="253"/>
      <c r="DW15" s="253"/>
      <c r="DX15" s="253"/>
      <c r="DY15" s="253"/>
      <c r="DZ15" s="253"/>
      <c r="EA15" s="253"/>
      <c r="EB15" s="253"/>
      <c r="EC15" s="253"/>
      <c r="ED15" s="253"/>
      <c r="EE15" s="253"/>
      <c r="EF15" s="253"/>
      <c r="EG15" s="255">
        <f>500-500</f>
        <v>0</v>
      </c>
      <c r="EH15" s="253"/>
      <c r="EI15" s="253"/>
      <c r="EJ15" s="253"/>
      <c r="EK15" s="253"/>
      <c r="EL15" s="253"/>
      <c r="EM15" s="253"/>
      <c r="EN15" s="253"/>
      <c r="EO15" s="253"/>
      <c r="EP15" s="253"/>
      <c r="EQ15" s="253"/>
      <c r="ER15" s="253"/>
      <c r="ES15" s="253"/>
      <c r="ET15" s="253"/>
      <c r="EU15" s="253"/>
      <c r="EV15" s="253"/>
      <c r="EW15" s="254">
        <f>20</f>
        <v>20</v>
      </c>
      <c r="EX15" s="253"/>
      <c r="EY15" s="253"/>
      <c r="EZ15" s="253"/>
      <c r="FA15" s="253"/>
      <c r="FB15" s="253"/>
      <c r="FC15" s="253"/>
      <c r="FD15" s="253"/>
      <c r="FE15" s="253"/>
      <c r="FF15" s="253"/>
      <c r="FG15" s="253"/>
      <c r="FH15" s="253"/>
      <c r="FI15" s="253"/>
      <c r="FJ15" s="253"/>
      <c r="FK15" s="253"/>
      <c r="FL15" s="253"/>
      <c r="FM15" s="253"/>
      <c r="FN15" s="253"/>
      <c r="FO15" s="253"/>
      <c r="FP15" s="256"/>
      <c r="FQ15" s="257" t="s">
        <v>1322</v>
      </c>
      <c r="FR15" s="258" t="s">
        <v>389</v>
      </c>
      <c r="FS15" s="258" t="s">
        <v>396</v>
      </c>
      <c r="FT15" s="258" t="s">
        <v>397</v>
      </c>
      <c r="FU15" s="259">
        <f t="shared" si="0"/>
        <v>20</v>
      </c>
      <c r="FV15" s="260" t="s">
        <v>398</v>
      </c>
    </row>
    <row r="16" spans="1:178" s="260" customFormat="1" hidden="1">
      <c r="A16" s="251" t="s">
        <v>393</v>
      </c>
      <c r="B16" s="251" t="s">
        <v>385</v>
      </c>
      <c r="C16" s="251" t="s">
        <v>394</v>
      </c>
      <c r="D16" s="251" t="s">
        <v>1</v>
      </c>
      <c r="E16" s="252" t="s">
        <v>395</v>
      </c>
      <c r="F16" s="251" t="s">
        <v>388</v>
      </c>
      <c r="G16" s="251" t="s">
        <v>1328</v>
      </c>
      <c r="H16" s="253"/>
      <c r="I16" s="253"/>
      <c r="J16" s="253"/>
      <c r="K16" s="253"/>
      <c r="L16" s="253"/>
      <c r="M16" s="253"/>
      <c r="N16" s="255">
        <f>100-100</f>
        <v>0</v>
      </c>
      <c r="O16" s="255">
        <f>100-100</f>
        <v>0</v>
      </c>
      <c r="P16" s="255">
        <f>100-100</f>
        <v>0</v>
      </c>
      <c r="Q16" s="253"/>
      <c r="R16" s="255">
        <f>200-200</f>
        <v>0</v>
      </c>
      <c r="S16" s="255">
        <f>300-300</f>
        <v>0</v>
      </c>
      <c r="T16" s="253"/>
      <c r="U16" s="253"/>
      <c r="V16" s="255">
        <f>200-200</f>
        <v>0</v>
      </c>
      <c r="W16" s="255">
        <f>200-200</f>
        <v>0</v>
      </c>
      <c r="X16" s="253"/>
      <c r="Y16" s="253"/>
      <c r="Z16" s="253"/>
      <c r="AA16" s="253"/>
      <c r="AB16" s="253"/>
      <c r="AC16" s="253"/>
      <c r="AD16" s="253"/>
      <c r="AE16" s="253"/>
      <c r="AF16" s="253"/>
      <c r="AG16" s="253"/>
      <c r="AH16" s="253"/>
      <c r="AI16" s="253"/>
      <c r="AJ16" s="253"/>
      <c r="AK16" s="253"/>
      <c r="AL16" s="253"/>
      <c r="AM16" s="253"/>
      <c r="AN16" s="253"/>
      <c r="AO16" s="253"/>
      <c r="AP16" s="253"/>
      <c r="AQ16" s="253"/>
      <c r="AR16" s="253"/>
      <c r="AS16" s="253"/>
      <c r="AT16" s="253"/>
      <c r="AU16" s="253"/>
      <c r="AV16" s="253"/>
      <c r="AW16" s="253"/>
      <c r="AX16" s="253"/>
      <c r="AY16" s="253"/>
      <c r="AZ16" s="253"/>
      <c r="BA16" s="253"/>
      <c r="BB16" s="253"/>
      <c r="BC16" s="253"/>
      <c r="BD16" s="253"/>
      <c r="BE16" s="253"/>
      <c r="BF16" s="253"/>
      <c r="BG16" s="253"/>
      <c r="BH16" s="253"/>
      <c r="BI16" s="253"/>
      <c r="BJ16" s="253"/>
      <c r="BK16" s="253"/>
      <c r="BL16" s="253"/>
      <c r="BM16" s="253"/>
      <c r="BN16" s="253"/>
      <c r="BO16" s="253"/>
      <c r="BP16" s="253"/>
      <c r="BQ16" s="253"/>
      <c r="BR16" s="253"/>
      <c r="BS16" s="253"/>
      <c r="BT16" s="253"/>
      <c r="BU16" s="253"/>
      <c r="BV16" s="253"/>
      <c r="BW16" s="253"/>
      <c r="BX16" s="253"/>
      <c r="BY16" s="253"/>
      <c r="BZ16" s="253"/>
      <c r="CA16" s="253"/>
      <c r="CB16" s="253"/>
      <c r="CC16" s="253"/>
      <c r="CD16" s="253"/>
      <c r="CE16" s="253"/>
      <c r="CF16" s="253"/>
      <c r="CG16" s="253"/>
      <c r="CH16" s="253"/>
      <c r="CI16" s="253"/>
      <c r="CJ16" s="253"/>
      <c r="CK16" s="253"/>
      <c r="CL16" s="253"/>
      <c r="CM16" s="253"/>
      <c r="CN16" s="253"/>
      <c r="CO16" s="253"/>
      <c r="CP16" s="253"/>
      <c r="CQ16" s="253"/>
      <c r="CR16" s="253"/>
      <c r="CS16" s="253"/>
      <c r="CT16" s="253"/>
      <c r="CU16" s="253"/>
      <c r="CV16" s="253"/>
      <c r="CW16" s="253"/>
      <c r="CX16" s="253"/>
      <c r="CY16" s="253"/>
      <c r="CZ16" s="253"/>
      <c r="DA16" s="253"/>
      <c r="DB16" s="253"/>
      <c r="DC16" s="253"/>
      <c r="DD16" s="253"/>
      <c r="DE16" s="253"/>
      <c r="DF16" s="253"/>
      <c r="DG16" s="253"/>
      <c r="DH16" s="253"/>
      <c r="DI16" s="253"/>
      <c r="DJ16" s="253"/>
      <c r="DK16" s="253"/>
      <c r="DL16" s="253"/>
      <c r="DM16" s="253"/>
      <c r="DN16" s="253"/>
      <c r="DO16" s="253"/>
      <c r="DP16" s="253"/>
      <c r="DQ16" s="253"/>
      <c r="DR16" s="253"/>
      <c r="DS16" s="253"/>
      <c r="DT16" s="253"/>
      <c r="DU16" s="255">
        <f>500-500</f>
        <v>0</v>
      </c>
      <c r="DV16" s="253"/>
      <c r="DW16" s="253"/>
      <c r="DX16" s="253"/>
      <c r="DY16" s="253"/>
      <c r="DZ16" s="253"/>
      <c r="EA16" s="253"/>
      <c r="EB16" s="253"/>
      <c r="EC16" s="253"/>
      <c r="ED16" s="253"/>
      <c r="EE16" s="253"/>
      <c r="EF16" s="253"/>
      <c r="EG16" s="253"/>
      <c r="EH16" s="253"/>
      <c r="EI16" s="253"/>
      <c r="EJ16" s="253"/>
      <c r="EK16" s="253"/>
      <c r="EL16" s="253"/>
      <c r="EM16" s="253"/>
      <c r="EN16" s="253"/>
      <c r="EO16" s="253"/>
      <c r="EP16" s="253"/>
      <c r="EQ16" s="255">
        <f>1000-1000</f>
        <v>0</v>
      </c>
      <c r="ER16" s="253"/>
      <c r="ES16" s="253"/>
      <c r="ET16" s="253"/>
      <c r="EU16" s="253"/>
      <c r="EV16" s="253"/>
      <c r="EW16" s="255">
        <f>500-500</f>
        <v>0</v>
      </c>
      <c r="EX16" s="253"/>
      <c r="EY16" s="253"/>
      <c r="EZ16" s="253"/>
      <c r="FA16" s="253"/>
      <c r="FB16" s="253"/>
      <c r="FC16" s="253"/>
      <c r="FD16" s="253"/>
      <c r="FE16" s="253"/>
      <c r="FF16" s="253"/>
      <c r="FG16" s="253"/>
      <c r="FH16" s="253"/>
      <c r="FI16" s="253"/>
      <c r="FJ16" s="253"/>
      <c r="FK16" s="253"/>
      <c r="FL16" s="253"/>
      <c r="FM16" s="253"/>
      <c r="FN16" s="253"/>
      <c r="FO16" s="253"/>
      <c r="FP16" s="256"/>
      <c r="FQ16" s="257" t="s">
        <v>1322</v>
      </c>
      <c r="FR16" s="258" t="s">
        <v>389</v>
      </c>
      <c r="FS16" s="258" t="s">
        <v>396</v>
      </c>
      <c r="FT16" s="258" t="s">
        <v>397</v>
      </c>
      <c r="FU16" s="259">
        <f t="shared" si="0"/>
        <v>0</v>
      </c>
      <c r="FV16" s="260" t="s">
        <v>398</v>
      </c>
    </row>
    <row r="17" spans="1:178" s="260" customFormat="1" hidden="1">
      <c r="A17" s="251" t="s">
        <v>393</v>
      </c>
      <c r="B17" s="251" t="s">
        <v>385</v>
      </c>
      <c r="C17" s="251" t="s">
        <v>394</v>
      </c>
      <c r="D17" s="251" t="s">
        <v>291</v>
      </c>
      <c r="E17" s="252" t="s">
        <v>818</v>
      </c>
      <c r="F17" s="251" t="s">
        <v>388</v>
      </c>
      <c r="G17" s="251"/>
      <c r="H17" s="253"/>
      <c r="I17" s="253"/>
      <c r="J17" s="253"/>
      <c r="K17" s="253"/>
      <c r="L17" s="253"/>
      <c r="M17" s="253"/>
      <c r="N17" s="253"/>
      <c r="O17" s="253"/>
      <c r="P17" s="253"/>
      <c r="Q17" s="253"/>
      <c r="R17" s="253"/>
      <c r="S17" s="253"/>
      <c r="T17" s="253"/>
      <c r="U17" s="253"/>
      <c r="V17" s="253"/>
      <c r="W17" s="253"/>
      <c r="X17" s="253"/>
      <c r="Y17" s="253"/>
      <c r="Z17" s="253"/>
      <c r="AA17" s="253"/>
      <c r="AB17" s="253"/>
      <c r="AC17" s="253"/>
      <c r="AD17" s="253"/>
      <c r="AE17" s="253"/>
      <c r="AF17" s="253"/>
      <c r="AG17" s="253"/>
      <c r="AH17" s="253"/>
      <c r="AI17" s="253"/>
      <c r="AJ17" s="253"/>
      <c r="AK17" s="253"/>
      <c r="AL17" s="253"/>
      <c r="AM17" s="253"/>
      <c r="AN17" s="253"/>
      <c r="AO17" s="253"/>
      <c r="AP17" s="253"/>
      <c r="AQ17" s="253"/>
      <c r="AR17" s="253"/>
      <c r="AS17" s="253"/>
      <c r="AT17" s="253"/>
      <c r="AU17" s="253"/>
      <c r="AV17" s="253"/>
      <c r="AW17" s="253"/>
      <c r="AX17" s="253"/>
      <c r="AY17" s="253"/>
      <c r="AZ17" s="253"/>
      <c r="BA17" s="253"/>
      <c r="BB17" s="253"/>
      <c r="BC17" s="253"/>
      <c r="BD17" s="253"/>
      <c r="BE17" s="253"/>
      <c r="BF17" s="253"/>
      <c r="BG17" s="253"/>
      <c r="BH17" s="253"/>
      <c r="BI17" s="253"/>
      <c r="BJ17" s="253"/>
      <c r="BK17" s="253"/>
      <c r="BL17" s="253"/>
      <c r="BM17" s="253"/>
      <c r="BN17" s="253"/>
      <c r="BO17" s="253"/>
      <c r="BP17" s="253"/>
      <c r="BQ17" s="253"/>
      <c r="BR17" s="253"/>
      <c r="BS17" s="253"/>
      <c r="BT17" s="253"/>
      <c r="BU17" s="253"/>
      <c r="BV17" s="253"/>
      <c r="BW17" s="253"/>
      <c r="BX17" s="253"/>
      <c r="BY17" s="253"/>
      <c r="BZ17" s="253"/>
      <c r="CA17" s="253"/>
      <c r="CB17" s="253"/>
      <c r="CC17" s="253"/>
      <c r="CD17" s="253"/>
      <c r="CE17" s="253"/>
      <c r="CF17" s="253"/>
      <c r="CG17" s="253"/>
      <c r="CH17" s="253"/>
      <c r="CI17" s="253"/>
      <c r="CJ17" s="253"/>
      <c r="CK17" s="253"/>
      <c r="CL17" s="253"/>
      <c r="CM17" s="253"/>
      <c r="CN17" s="253"/>
      <c r="CO17" s="253"/>
      <c r="CP17" s="253"/>
      <c r="CQ17" s="253"/>
      <c r="CR17" s="253"/>
      <c r="CS17" s="253"/>
      <c r="CT17" s="253"/>
      <c r="CU17" s="253"/>
      <c r="CV17" s="253"/>
      <c r="CW17" s="253"/>
      <c r="CX17" s="253"/>
      <c r="CY17" s="253"/>
      <c r="CZ17" s="253"/>
      <c r="DA17" s="253"/>
      <c r="DB17" s="253"/>
      <c r="DC17" s="253"/>
      <c r="DD17" s="253"/>
      <c r="DE17" s="253"/>
      <c r="DF17" s="253"/>
      <c r="DG17" s="253"/>
      <c r="DH17" s="253"/>
      <c r="DI17" s="254">
        <f>50-50+10</f>
        <v>10</v>
      </c>
      <c r="DJ17" s="253"/>
      <c r="DK17" s="253"/>
      <c r="DL17" s="253"/>
      <c r="DM17" s="253"/>
      <c r="DN17" s="253"/>
      <c r="DO17" s="253"/>
      <c r="DP17" s="253"/>
      <c r="DQ17" s="253"/>
      <c r="DR17" s="253"/>
      <c r="DS17" s="253"/>
      <c r="DT17" s="253"/>
      <c r="DU17" s="253"/>
      <c r="DV17" s="253"/>
      <c r="DW17" s="253"/>
      <c r="DX17" s="253"/>
      <c r="DY17" s="253"/>
      <c r="DZ17" s="253"/>
      <c r="EA17" s="253"/>
      <c r="EB17" s="253"/>
      <c r="EC17" s="253"/>
      <c r="ED17" s="253"/>
      <c r="EE17" s="253"/>
      <c r="EF17" s="255">
        <f>50-50</f>
        <v>0</v>
      </c>
      <c r="EG17" s="253"/>
      <c r="EH17" s="253"/>
      <c r="EI17" s="253"/>
      <c r="EJ17" s="254">
        <f>50-50+20</f>
        <v>20</v>
      </c>
      <c r="EK17" s="253"/>
      <c r="EL17" s="253"/>
      <c r="EM17" s="253"/>
      <c r="EN17" s="253"/>
      <c r="EO17" s="253"/>
      <c r="EP17" s="253"/>
      <c r="EQ17" s="253"/>
      <c r="ER17" s="253"/>
      <c r="ES17" s="253"/>
      <c r="ET17" s="253"/>
      <c r="EU17" s="253"/>
      <c r="EV17" s="253"/>
      <c r="EW17" s="253"/>
      <c r="EX17" s="253"/>
      <c r="EY17" s="253"/>
      <c r="EZ17" s="253"/>
      <c r="FA17" s="253"/>
      <c r="FB17" s="253"/>
      <c r="FC17" s="253"/>
      <c r="FD17" s="253"/>
      <c r="FE17" s="253"/>
      <c r="FF17" s="253"/>
      <c r="FG17" s="253"/>
      <c r="FH17" s="253"/>
      <c r="FI17" s="253"/>
      <c r="FJ17" s="253"/>
      <c r="FK17" s="253"/>
      <c r="FL17" s="253"/>
      <c r="FM17" s="253"/>
      <c r="FN17" s="253"/>
      <c r="FO17" s="253"/>
      <c r="FP17" s="256"/>
      <c r="FQ17" s="257" t="s">
        <v>1322</v>
      </c>
      <c r="FR17" s="258" t="s">
        <v>389</v>
      </c>
      <c r="FS17" s="258"/>
      <c r="FT17" s="258" t="s">
        <v>819</v>
      </c>
      <c r="FU17" s="259">
        <f t="shared" si="0"/>
        <v>30</v>
      </c>
      <c r="FV17" s="260" t="s">
        <v>820</v>
      </c>
    </row>
    <row r="18" spans="1:178" s="260" customFormat="1" hidden="1">
      <c r="A18" s="251" t="s">
        <v>393</v>
      </c>
      <c r="B18" s="251" t="s">
        <v>385</v>
      </c>
      <c r="C18" s="251" t="s">
        <v>394</v>
      </c>
      <c r="D18" s="251" t="s">
        <v>1</v>
      </c>
      <c r="E18" s="252" t="s">
        <v>818</v>
      </c>
      <c r="F18" s="251" t="s">
        <v>388</v>
      </c>
      <c r="G18" s="251"/>
      <c r="H18" s="253"/>
      <c r="I18" s="253"/>
      <c r="J18" s="253"/>
      <c r="K18" s="253"/>
      <c r="L18" s="253"/>
      <c r="M18" s="253"/>
      <c r="N18" s="253"/>
      <c r="O18" s="253"/>
      <c r="P18" s="253"/>
      <c r="Q18" s="253"/>
      <c r="R18" s="253"/>
      <c r="S18" s="253"/>
      <c r="T18" s="253"/>
      <c r="U18" s="253"/>
      <c r="V18" s="254">
        <v>3</v>
      </c>
      <c r="W18" s="253"/>
      <c r="X18" s="253"/>
      <c r="Y18" s="253"/>
      <c r="Z18" s="253"/>
      <c r="AA18" s="253"/>
      <c r="AB18" s="253"/>
      <c r="AC18" s="253"/>
      <c r="AD18" s="253"/>
      <c r="AE18" s="253"/>
      <c r="AF18" s="253"/>
      <c r="AG18" s="253"/>
      <c r="AH18" s="253"/>
      <c r="AI18" s="253"/>
      <c r="AJ18" s="253"/>
      <c r="AK18" s="253"/>
      <c r="AL18" s="253"/>
      <c r="AM18" s="253"/>
      <c r="AN18" s="253"/>
      <c r="AO18" s="253"/>
      <c r="AP18" s="253"/>
      <c r="AQ18" s="253"/>
      <c r="AR18" s="253"/>
      <c r="AS18" s="253"/>
      <c r="AT18" s="253"/>
      <c r="AU18" s="253"/>
      <c r="AV18" s="253"/>
      <c r="AW18" s="253"/>
      <c r="AX18" s="253"/>
      <c r="AY18" s="253"/>
      <c r="AZ18" s="253"/>
      <c r="BA18" s="253"/>
      <c r="BB18" s="253"/>
      <c r="BC18" s="253"/>
      <c r="BD18" s="253"/>
      <c r="BE18" s="253"/>
      <c r="BF18" s="253"/>
      <c r="BG18" s="253"/>
      <c r="BH18" s="253"/>
      <c r="BI18" s="253"/>
      <c r="BJ18" s="253"/>
      <c r="BK18" s="253"/>
      <c r="BL18" s="253"/>
      <c r="BM18" s="253"/>
      <c r="BN18" s="253"/>
      <c r="BO18" s="253"/>
      <c r="BP18" s="253"/>
      <c r="BQ18" s="254">
        <v>3</v>
      </c>
      <c r="BR18" s="253"/>
      <c r="BS18" s="253"/>
      <c r="BT18" s="253"/>
      <c r="BU18" s="253"/>
      <c r="BV18" s="253"/>
      <c r="BW18" s="253"/>
      <c r="BX18" s="253"/>
      <c r="BY18" s="253"/>
      <c r="BZ18" s="253"/>
      <c r="CA18" s="253"/>
      <c r="CB18" s="253"/>
      <c r="CC18" s="253"/>
      <c r="CD18" s="399">
        <v>5</v>
      </c>
      <c r="CE18" s="253"/>
      <c r="CF18" s="253"/>
      <c r="CG18" s="253"/>
      <c r="CH18" s="399">
        <v>5</v>
      </c>
      <c r="CI18" s="253"/>
      <c r="CJ18" s="253"/>
      <c r="CK18" s="253"/>
      <c r="CL18" s="399">
        <v>5</v>
      </c>
      <c r="CM18" s="399">
        <v>15</v>
      </c>
      <c r="CN18" s="399">
        <v>40</v>
      </c>
      <c r="CO18" s="399">
        <v>10</v>
      </c>
      <c r="CP18" s="253"/>
      <c r="CQ18" s="399">
        <v>5</v>
      </c>
      <c r="CR18" s="253"/>
      <c r="CS18" s="253"/>
      <c r="CT18" s="253"/>
      <c r="CU18" s="399">
        <v>1</v>
      </c>
      <c r="CV18" s="253"/>
      <c r="CW18" s="253"/>
      <c r="CX18" s="253"/>
      <c r="CY18" s="253"/>
      <c r="CZ18" s="253"/>
      <c r="DA18" s="253"/>
      <c r="DB18" s="254">
        <v>10</v>
      </c>
      <c r="DC18" s="253"/>
      <c r="DD18" s="253"/>
      <c r="DE18" s="253"/>
      <c r="DF18" s="253"/>
      <c r="DG18" s="253"/>
      <c r="DH18" s="253"/>
      <c r="DI18" s="253"/>
      <c r="DJ18" s="253"/>
      <c r="DK18" s="254">
        <v>20</v>
      </c>
      <c r="DL18" s="253"/>
      <c r="DM18" s="253"/>
      <c r="DN18" s="253"/>
      <c r="DO18" s="253"/>
      <c r="DP18" s="253"/>
      <c r="DQ18" s="253"/>
      <c r="DR18" s="253"/>
      <c r="DS18" s="253"/>
      <c r="DT18" s="253"/>
      <c r="DU18" s="254">
        <f>30-30+10</f>
        <v>10</v>
      </c>
      <c r="DV18" s="253"/>
      <c r="DW18" s="254">
        <f>5</f>
        <v>5</v>
      </c>
      <c r="DX18" s="254">
        <f>10</f>
        <v>10</v>
      </c>
      <c r="DY18" s="253"/>
      <c r="DZ18" s="253"/>
      <c r="EA18" s="253"/>
      <c r="EB18" s="255">
        <f>30-30</f>
        <v>0</v>
      </c>
      <c r="EC18" s="253"/>
      <c r="ED18" s="253"/>
      <c r="EE18" s="253"/>
      <c r="EF18" s="253"/>
      <c r="EG18" s="253"/>
      <c r="EH18" s="253"/>
      <c r="EI18" s="253"/>
      <c r="EJ18" s="253"/>
      <c r="EK18" s="254">
        <f>50-50+20</f>
        <v>20</v>
      </c>
      <c r="EL18" s="253"/>
      <c r="EM18" s="253"/>
      <c r="EN18" s="253"/>
      <c r="EO18" s="253"/>
      <c r="EP18" s="253"/>
      <c r="EQ18" s="254">
        <f>35</f>
        <v>35</v>
      </c>
      <c r="ER18" s="254">
        <f>20</f>
        <v>20</v>
      </c>
      <c r="ES18" s="253"/>
      <c r="ET18" s="253"/>
      <c r="EU18" s="253"/>
      <c r="EV18" s="253"/>
      <c r="EW18" s="253"/>
      <c r="EX18" s="253"/>
      <c r="EY18" s="253"/>
      <c r="EZ18" s="253"/>
      <c r="FA18" s="253"/>
      <c r="FB18" s="253"/>
      <c r="FC18" s="253"/>
      <c r="FD18" s="253"/>
      <c r="FE18" s="253"/>
      <c r="FF18" s="253"/>
      <c r="FG18" s="253"/>
      <c r="FH18" s="253"/>
      <c r="FI18" s="253"/>
      <c r="FJ18" s="253"/>
      <c r="FK18" s="253"/>
      <c r="FL18" s="253"/>
      <c r="FM18" s="253"/>
      <c r="FN18" s="253"/>
      <c r="FO18" s="253"/>
      <c r="FP18" s="256"/>
      <c r="FQ18" s="257" t="s">
        <v>1322</v>
      </c>
      <c r="FR18" s="258" t="s">
        <v>389</v>
      </c>
      <c r="FS18" s="258"/>
      <c r="FT18" s="258" t="s">
        <v>819</v>
      </c>
      <c r="FU18" s="259">
        <f t="shared" si="0"/>
        <v>222</v>
      </c>
      <c r="FV18" s="260" t="s">
        <v>820</v>
      </c>
    </row>
    <row r="19" spans="1:178" s="260" customFormat="1" hidden="1">
      <c r="A19" s="251" t="s">
        <v>417</v>
      </c>
      <c r="B19" s="251" t="s">
        <v>385</v>
      </c>
      <c r="C19" s="251" t="s">
        <v>394</v>
      </c>
      <c r="D19" s="251" t="s">
        <v>1</v>
      </c>
      <c r="E19" s="252" t="s">
        <v>1150</v>
      </c>
      <c r="F19" s="251" t="s">
        <v>388</v>
      </c>
      <c r="G19" s="251" t="s">
        <v>1329</v>
      </c>
      <c r="H19" s="253"/>
      <c r="I19" s="253"/>
      <c r="J19" s="253"/>
      <c r="K19" s="253"/>
      <c r="L19" s="253"/>
      <c r="M19" s="253"/>
      <c r="N19" s="253"/>
      <c r="O19" s="253"/>
      <c r="P19" s="253"/>
      <c r="Q19" s="253"/>
      <c r="R19" s="253"/>
      <c r="S19" s="253"/>
      <c r="T19" s="253"/>
      <c r="U19" s="253"/>
      <c r="V19" s="253"/>
      <c r="W19" s="253"/>
      <c r="X19" s="253"/>
      <c r="Y19" s="253"/>
      <c r="Z19" s="253"/>
      <c r="AA19" s="253"/>
      <c r="AB19" s="253"/>
      <c r="AC19" s="253"/>
      <c r="AD19" s="253"/>
      <c r="AE19" s="253"/>
      <c r="AF19" s="253"/>
      <c r="AG19" s="253"/>
      <c r="AH19" s="253"/>
      <c r="AI19" s="253"/>
      <c r="AJ19" s="253"/>
      <c r="AK19" s="253"/>
      <c r="AL19" s="253"/>
      <c r="AM19" s="253"/>
      <c r="AN19" s="253"/>
      <c r="AO19" s="253"/>
      <c r="AP19" s="253"/>
      <c r="AQ19" s="253"/>
      <c r="AR19" s="253"/>
      <c r="AS19" s="253"/>
      <c r="AT19" s="253"/>
      <c r="AU19" s="253"/>
      <c r="AV19" s="253"/>
      <c r="AW19" s="253"/>
      <c r="AX19" s="253"/>
      <c r="AY19" s="253"/>
      <c r="AZ19" s="253"/>
      <c r="BA19" s="253"/>
      <c r="BB19" s="253"/>
      <c r="BC19" s="253"/>
      <c r="BD19" s="253"/>
      <c r="BE19" s="253"/>
      <c r="BF19" s="253"/>
      <c r="BG19" s="253"/>
      <c r="BH19" s="253"/>
      <c r="BI19" s="253"/>
      <c r="BJ19" s="253"/>
      <c r="BK19" s="253"/>
      <c r="BL19" s="253"/>
      <c r="BM19" s="253"/>
      <c r="BN19" s="253"/>
      <c r="BO19" s="253"/>
      <c r="BP19" s="253"/>
      <c r="BQ19" s="253"/>
      <c r="BR19" s="253"/>
      <c r="BS19" s="253"/>
      <c r="BT19" s="253"/>
      <c r="BU19" s="253"/>
      <c r="BV19" s="253"/>
      <c r="BW19" s="253"/>
      <c r="BX19" s="253"/>
      <c r="BY19" s="253"/>
      <c r="BZ19" s="253"/>
      <c r="CA19" s="253"/>
      <c r="CB19" s="253"/>
      <c r="CC19" s="253"/>
      <c r="CD19" s="253"/>
      <c r="CE19" s="253"/>
      <c r="CF19" s="253"/>
      <c r="CG19" s="253"/>
      <c r="CH19" s="253"/>
      <c r="CI19" s="253"/>
      <c r="CJ19" s="253"/>
      <c r="CK19" s="253"/>
      <c r="CL19" s="255">
        <f>40-40</f>
        <v>0</v>
      </c>
      <c r="CM19" s="253"/>
      <c r="CN19" s="400"/>
      <c r="CO19" s="253"/>
      <c r="CP19" s="253"/>
      <c r="CQ19" s="253"/>
      <c r="CR19" s="253"/>
      <c r="CS19" s="253"/>
      <c r="CT19" s="253"/>
      <c r="CU19" s="253"/>
      <c r="CV19" s="253"/>
      <c r="CW19" s="253"/>
      <c r="CX19" s="253"/>
      <c r="CY19" s="253"/>
      <c r="CZ19" s="253"/>
      <c r="DA19" s="253"/>
      <c r="DB19" s="253"/>
      <c r="DC19" s="253"/>
      <c r="DD19" s="253"/>
      <c r="DE19" s="253"/>
      <c r="DF19" s="253"/>
      <c r="DG19" s="253"/>
      <c r="DH19" s="253"/>
      <c r="DI19" s="253"/>
      <c r="DJ19" s="253"/>
      <c r="DK19" s="253"/>
      <c r="DL19" s="253"/>
      <c r="DM19" s="253"/>
      <c r="DN19" s="253"/>
      <c r="DO19" s="253"/>
      <c r="DP19" s="253"/>
      <c r="DQ19" s="253"/>
      <c r="DR19" s="253"/>
      <c r="DS19" s="253"/>
      <c r="DT19" s="253"/>
      <c r="DU19" s="253"/>
      <c r="DV19" s="253"/>
      <c r="DW19" s="253"/>
      <c r="DX19" s="253"/>
      <c r="DY19" s="253"/>
      <c r="DZ19" s="253"/>
      <c r="EA19" s="253"/>
      <c r="EB19" s="253"/>
      <c r="EC19" s="253"/>
      <c r="ED19" s="253"/>
      <c r="EE19" s="253"/>
      <c r="EF19" s="253"/>
      <c r="EG19" s="253"/>
      <c r="EH19" s="253"/>
      <c r="EI19" s="253"/>
      <c r="EJ19" s="253"/>
      <c r="EK19" s="253"/>
      <c r="EL19" s="253"/>
      <c r="EM19" s="253"/>
      <c r="EN19" s="253"/>
      <c r="EO19" s="253"/>
      <c r="EP19" s="253"/>
      <c r="EQ19" s="253"/>
      <c r="ER19" s="253"/>
      <c r="ES19" s="253"/>
      <c r="ET19" s="253"/>
      <c r="EU19" s="253"/>
      <c r="EV19" s="253"/>
      <c r="EW19" s="253"/>
      <c r="EX19" s="253"/>
      <c r="EY19" s="253"/>
      <c r="EZ19" s="253"/>
      <c r="FA19" s="253"/>
      <c r="FB19" s="253"/>
      <c r="FC19" s="253"/>
      <c r="FD19" s="253"/>
      <c r="FE19" s="253"/>
      <c r="FF19" s="253"/>
      <c r="FG19" s="253"/>
      <c r="FH19" s="253"/>
      <c r="FI19" s="253"/>
      <c r="FJ19" s="253"/>
      <c r="FK19" s="253"/>
      <c r="FL19" s="253"/>
      <c r="FM19" s="253"/>
      <c r="FN19" s="253"/>
      <c r="FO19" s="253"/>
      <c r="FP19" s="256"/>
      <c r="FQ19" s="257" t="s">
        <v>1322</v>
      </c>
      <c r="FR19" s="258" t="s">
        <v>389</v>
      </c>
      <c r="FS19" s="258" t="s">
        <v>1152</v>
      </c>
      <c r="FT19" s="258" t="s">
        <v>397</v>
      </c>
      <c r="FU19" s="259">
        <f t="shared" si="0"/>
        <v>0</v>
      </c>
      <c r="FV19" s="260" t="s">
        <v>398</v>
      </c>
    </row>
    <row r="20" spans="1:178" s="260" customFormat="1" hidden="1">
      <c r="A20" s="251" t="s">
        <v>393</v>
      </c>
      <c r="B20" s="251" t="s">
        <v>385</v>
      </c>
      <c r="C20" s="251" t="s">
        <v>394</v>
      </c>
      <c r="D20" s="251" t="s">
        <v>291</v>
      </c>
      <c r="E20" s="252" t="s">
        <v>399</v>
      </c>
      <c r="F20" s="251" t="s">
        <v>388</v>
      </c>
      <c r="G20" s="251" t="s">
        <v>1330</v>
      </c>
      <c r="H20" s="253"/>
      <c r="I20" s="253"/>
      <c r="J20" s="253"/>
      <c r="K20" s="253"/>
      <c r="L20" s="253"/>
      <c r="M20" s="253"/>
      <c r="N20" s="253"/>
      <c r="O20" s="253"/>
      <c r="P20" s="253"/>
      <c r="Q20" s="253"/>
      <c r="R20" s="253"/>
      <c r="S20" s="253"/>
      <c r="T20" s="253"/>
      <c r="U20" s="253"/>
      <c r="V20" s="253"/>
      <c r="W20" s="253"/>
      <c r="X20" s="253"/>
      <c r="Y20" s="253"/>
      <c r="Z20" s="253"/>
      <c r="AA20" s="253"/>
      <c r="AB20" s="253"/>
      <c r="AC20" s="253"/>
      <c r="AD20" s="253"/>
      <c r="AE20" s="253"/>
      <c r="AF20" s="253"/>
      <c r="AG20" s="253"/>
      <c r="AH20" s="253"/>
      <c r="AI20" s="253"/>
      <c r="AJ20" s="253"/>
      <c r="AK20" s="253"/>
      <c r="AL20" s="253"/>
      <c r="AM20" s="253"/>
      <c r="AN20" s="253"/>
      <c r="AO20" s="253"/>
      <c r="AP20" s="253"/>
      <c r="AQ20" s="253"/>
      <c r="AR20" s="253"/>
      <c r="AS20" s="253"/>
      <c r="AT20" s="253"/>
      <c r="AU20" s="253"/>
      <c r="AV20" s="253"/>
      <c r="AW20" s="253"/>
      <c r="AX20" s="253"/>
      <c r="AY20" s="253"/>
      <c r="AZ20" s="253"/>
      <c r="BA20" s="253"/>
      <c r="BB20" s="253"/>
      <c r="BC20" s="253"/>
      <c r="BD20" s="253"/>
      <c r="BE20" s="253"/>
      <c r="BF20" s="253"/>
      <c r="BG20" s="253"/>
      <c r="BH20" s="253"/>
      <c r="BI20" s="253"/>
      <c r="BJ20" s="253"/>
      <c r="BK20" s="253"/>
      <c r="BL20" s="253"/>
      <c r="BM20" s="253"/>
      <c r="BN20" s="253"/>
      <c r="BO20" s="253"/>
      <c r="BP20" s="253"/>
      <c r="BQ20" s="253"/>
      <c r="BR20" s="253"/>
      <c r="BS20" s="253"/>
      <c r="BT20" s="253"/>
      <c r="BU20" s="253"/>
      <c r="BV20" s="253"/>
      <c r="BW20" s="253"/>
      <c r="BX20" s="253"/>
      <c r="BY20" s="253"/>
      <c r="BZ20" s="253"/>
      <c r="CA20" s="253"/>
      <c r="CB20" s="253"/>
      <c r="CC20" s="253"/>
      <c r="CD20" s="253"/>
      <c r="CE20" s="253"/>
      <c r="CF20" s="253"/>
      <c r="CG20" s="253"/>
      <c r="CH20" s="253"/>
      <c r="CI20" s="253"/>
      <c r="CJ20" s="253"/>
      <c r="CK20" s="253"/>
      <c r="CL20" s="253"/>
      <c r="CM20" s="253"/>
      <c r="CN20" s="400"/>
      <c r="CO20" s="253"/>
      <c r="CP20" s="253"/>
      <c r="CQ20" s="253"/>
      <c r="CR20" s="253"/>
      <c r="CS20" s="253"/>
      <c r="CT20" s="253"/>
      <c r="CU20" s="253"/>
      <c r="CV20" s="253"/>
      <c r="CW20" s="253"/>
      <c r="CX20" s="253"/>
      <c r="CY20" s="253"/>
      <c r="CZ20" s="253"/>
      <c r="DA20" s="253"/>
      <c r="DB20" s="253"/>
      <c r="DC20" s="253"/>
      <c r="DD20" s="253"/>
      <c r="DE20" s="253"/>
      <c r="DF20" s="253"/>
      <c r="DG20" s="253"/>
      <c r="DH20" s="253"/>
      <c r="DI20" s="253"/>
      <c r="DJ20" s="253"/>
      <c r="DK20" s="253"/>
      <c r="DL20" s="253"/>
      <c r="DM20" s="253"/>
      <c r="DN20" s="253"/>
      <c r="DO20" s="253"/>
      <c r="DP20" s="253"/>
      <c r="DQ20" s="253"/>
      <c r="DR20" s="253"/>
      <c r="DS20" s="253"/>
      <c r="DT20" s="253"/>
      <c r="DU20" s="253"/>
      <c r="DV20" s="253"/>
      <c r="DW20" s="253"/>
      <c r="DX20" s="253"/>
      <c r="DY20" s="253"/>
      <c r="DZ20" s="253"/>
      <c r="EA20" s="253"/>
      <c r="EB20" s="253"/>
      <c r="EC20" s="253"/>
      <c r="ED20" s="253"/>
      <c r="EE20" s="253"/>
      <c r="EF20" s="253"/>
      <c r="EG20" s="253"/>
      <c r="EH20" s="253"/>
      <c r="EI20" s="253"/>
      <c r="EJ20" s="255">
        <f>1500-1500</f>
        <v>0</v>
      </c>
      <c r="EK20" s="253"/>
      <c r="EL20" s="253"/>
      <c r="EM20" s="253"/>
      <c r="EN20" s="253"/>
      <c r="EO20" s="253"/>
      <c r="EP20" s="253"/>
      <c r="EQ20" s="253"/>
      <c r="ER20" s="253"/>
      <c r="ES20" s="253"/>
      <c r="ET20" s="253"/>
      <c r="EU20" s="253"/>
      <c r="EV20" s="253"/>
      <c r="EW20" s="253"/>
      <c r="EX20" s="253"/>
      <c r="EY20" s="253"/>
      <c r="EZ20" s="253"/>
      <c r="FA20" s="253"/>
      <c r="FB20" s="253"/>
      <c r="FC20" s="253"/>
      <c r="FD20" s="253"/>
      <c r="FE20" s="253"/>
      <c r="FF20" s="253"/>
      <c r="FG20" s="253"/>
      <c r="FH20" s="253"/>
      <c r="FI20" s="253"/>
      <c r="FJ20" s="253"/>
      <c r="FK20" s="253"/>
      <c r="FL20" s="253"/>
      <c r="FM20" s="253"/>
      <c r="FN20" s="253"/>
      <c r="FO20" s="253"/>
      <c r="FP20" s="256"/>
      <c r="FQ20" s="257" t="s">
        <v>1322</v>
      </c>
      <c r="FR20" s="258" t="s">
        <v>389</v>
      </c>
      <c r="FS20" s="258" t="s">
        <v>400</v>
      </c>
      <c r="FT20" s="258" t="s">
        <v>397</v>
      </c>
      <c r="FU20" s="259">
        <f t="shared" si="0"/>
        <v>0</v>
      </c>
      <c r="FV20" s="260" t="s">
        <v>398</v>
      </c>
    </row>
    <row r="21" spans="1:178" s="260" customFormat="1" hidden="1">
      <c r="A21" s="251" t="s">
        <v>393</v>
      </c>
      <c r="B21" s="251" t="s">
        <v>385</v>
      </c>
      <c r="C21" s="251" t="s">
        <v>394</v>
      </c>
      <c r="D21" s="251" t="s">
        <v>291</v>
      </c>
      <c r="E21" s="252" t="s">
        <v>401</v>
      </c>
      <c r="F21" s="251" t="s">
        <v>388</v>
      </c>
      <c r="G21" s="251"/>
      <c r="H21" s="253"/>
      <c r="I21" s="253"/>
      <c r="J21" s="253"/>
      <c r="K21" s="253"/>
      <c r="L21" s="253"/>
      <c r="M21" s="253"/>
      <c r="N21" s="253"/>
      <c r="O21" s="253"/>
      <c r="P21" s="253"/>
      <c r="Q21" s="253"/>
      <c r="R21" s="253"/>
      <c r="S21" s="253"/>
      <c r="T21" s="253"/>
      <c r="U21" s="253"/>
      <c r="V21" s="253"/>
      <c r="W21" s="253"/>
      <c r="X21" s="253"/>
      <c r="Y21" s="253"/>
      <c r="Z21" s="253"/>
      <c r="AA21" s="253"/>
      <c r="AB21" s="253"/>
      <c r="AC21" s="253"/>
      <c r="AD21" s="253"/>
      <c r="AE21" s="253"/>
      <c r="AF21" s="253"/>
      <c r="AG21" s="253"/>
      <c r="AH21" s="253"/>
      <c r="AI21" s="253"/>
      <c r="AJ21" s="253"/>
      <c r="AK21" s="253"/>
      <c r="AL21" s="253"/>
      <c r="AM21" s="253"/>
      <c r="AN21" s="253"/>
      <c r="AO21" s="253"/>
      <c r="AP21" s="253"/>
      <c r="AQ21" s="253"/>
      <c r="AR21" s="253"/>
      <c r="AS21" s="253"/>
      <c r="AT21" s="253"/>
      <c r="AU21" s="253"/>
      <c r="AV21" s="253"/>
      <c r="AW21" s="253"/>
      <c r="AX21" s="253"/>
      <c r="AY21" s="253"/>
      <c r="AZ21" s="253"/>
      <c r="BA21" s="253"/>
      <c r="BB21" s="253"/>
      <c r="BC21" s="253"/>
      <c r="BD21" s="253"/>
      <c r="BE21" s="253"/>
      <c r="BF21" s="253"/>
      <c r="BG21" s="253"/>
      <c r="BH21" s="253"/>
      <c r="BI21" s="253"/>
      <c r="BJ21" s="253"/>
      <c r="BK21" s="253"/>
      <c r="BL21" s="253"/>
      <c r="BM21" s="253"/>
      <c r="BN21" s="253"/>
      <c r="BO21" s="253"/>
      <c r="BP21" s="253"/>
      <c r="BQ21" s="253"/>
      <c r="BR21" s="253"/>
      <c r="BS21" s="253"/>
      <c r="BT21" s="253"/>
      <c r="BU21" s="253"/>
      <c r="BV21" s="253"/>
      <c r="BW21" s="253"/>
      <c r="BX21" s="253"/>
      <c r="BY21" s="253"/>
      <c r="BZ21" s="253"/>
      <c r="CA21" s="253"/>
      <c r="CB21" s="253"/>
      <c r="CC21" s="253"/>
      <c r="CD21" s="253"/>
      <c r="CE21" s="253"/>
      <c r="CF21" s="253"/>
      <c r="CG21" s="253"/>
      <c r="CH21" s="253"/>
      <c r="CI21" s="253"/>
      <c r="CJ21" s="253"/>
      <c r="CK21" s="253"/>
      <c r="CL21" s="253"/>
      <c r="CM21" s="253"/>
      <c r="CN21" s="400"/>
      <c r="CO21" s="253"/>
      <c r="CP21" s="253"/>
      <c r="CQ21" s="253"/>
      <c r="CR21" s="253"/>
      <c r="CS21" s="253"/>
      <c r="CT21" s="253"/>
      <c r="CU21" s="253"/>
      <c r="CV21" s="253"/>
      <c r="CW21" s="253"/>
      <c r="CX21" s="253"/>
      <c r="CY21" s="253"/>
      <c r="CZ21" s="253"/>
      <c r="DA21" s="253"/>
      <c r="DB21" s="253"/>
      <c r="DC21" s="253"/>
      <c r="DD21" s="253"/>
      <c r="DE21" s="253"/>
      <c r="DF21" s="253"/>
      <c r="DG21" s="253"/>
      <c r="DH21" s="253"/>
      <c r="DI21" s="254">
        <f>600-600+40</f>
        <v>40</v>
      </c>
      <c r="DJ21" s="253"/>
      <c r="DK21" s="253"/>
      <c r="DL21" s="253"/>
      <c r="DM21" s="253"/>
      <c r="DN21" s="253"/>
      <c r="DO21" s="253"/>
      <c r="DP21" s="253"/>
      <c r="DQ21" s="253"/>
      <c r="DR21" s="253"/>
      <c r="DS21" s="253"/>
      <c r="DT21" s="255">
        <f>600-600</f>
        <v>0</v>
      </c>
      <c r="DU21" s="253"/>
      <c r="DV21" s="253"/>
      <c r="DW21" s="253"/>
      <c r="DX21" s="255">
        <f>600-600</f>
        <v>0</v>
      </c>
      <c r="DY21" s="253"/>
      <c r="DZ21" s="253"/>
      <c r="EA21" s="253"/>
      <c r="EB21" s="253"/>
      <c r="EC21" s="253"/>
      <c r="ED21" s="253"/>
      <c r="EE21" s="253"/>
      <c r="EF21" s="255">
        <f>600-600</f>
        <v>0</v>
      </c>
      <c r="EG21" s="255">
        <f>600-600</f>
        <v>0</v>
      </c>
      <c r="EH21" s="253"/>
      <c r="EI21" s="253"/>
      <c r="EJ21" s="254">
        <f>40</f>
        <v>40</v>
      </c>
      <c r="EK21" s="253"/>
      <c r="EL21" s="253"/>
      <c r="EM21" s="253"/>
      <c r="EN21" s="253"/>
      <c r="EO21" s="253"/>
      <c r="EP21" s="253"/>
      <c r="EQ21" s="253"/>
      <c r="ER21" s="253"/>
      <c r="ES21" s="254">
        <f>20</f>
        <v>20</v>
      </c>
      <c r="ET21" s="253"/>
      <c r="EU21" s="253"/>
      <c r="EV21" s="253"/>
      <c r="EW21" s="253"/>
      <c r="EX21" s="253"/>
      <c r="EY21" s="253"/>
      <c r="EZ21" s="253"/>
      <c r="FA21" s="253"/>
      <c r="FB21" s="253"/>
      <c r="FC21" s="253"/>
      <c r="FD21" s="253"/>
      <c r="FE21" s="253"/>
      <c r="FF21" s="253"/>
      <c r="FG21" s="253"/>
      <c r="FH21" s="253"/>
      <c r="FI21" s="253"/>
      <c r="FJ21" s="253"/>
      <c r="FK21" s="253"/>
      <c r="FL21" s="253"/>
      <c r="FM21" s="253"/>
      <c r="FN21" s="253"/>
      <c r="FO21" s="253"/>
      <c r="FP21" s="256"/>
      <c r="FQ21" s="257" t="s">
        <v>1322</v>
      </c>
      <c r="FR21" s="258" t="s">
        <v>389</v>
      </c>
      <c r="FS21" s="258"/>
      <c r="FT21" s="258" t="s">
        <v>402</v>
      </c>
      <c r="FU21" s="259">
        <f t="shared" si="0"/>
        <v>100</v>
      </c>
      <c r="FV21" s="260" t="s">
        <v>403</v>
      </c>
    </row>
    <row r="22" spans="1:178" s="260" customFormat="1" hidden="1">
      <c r="A22" s="251" t="s">
        <v>393</v>
      </c>
      <c r="B22" s="251" t="s">
        <v>385</v>
      </c>
      <c r="C22" s="251" t="s">
        <v>394</v>
      </c>
      <c r="D22" s="251" t="s">
        <v>1</v>
      </c>
      <c r="E22" s="252" t="s">
        <v>401</v>
      </c>
      <c r="F22" s="251" t="s">
        <v>388</v>
      </c>
      <c r="G22" s="251"/>
      <c r="H22" s="253"/>
      <c r="I22" s="253"/>
      <c r="J22" s="253"/>
      <c r="K22" s="255">
        <f>50-50</f>
        <v>0</v>
      </c>
      <c r="L22" s="255">
        <f>50-50</f>
        <v>0</v>
      </c>
      <c r="M22" s="253"/>
      <c r="N22" s="255">
        <f>50-50</f>
        <v>0</v>
      </c>
      <c r="O22" s="255">
        <f>50-50</f>
        <v>0</v>
      </c>
      <c r="P22" s="255">
        <f>50-50</f>
        <v>0</v>
      </c>
      <c r="Q22" s="253"/>
      <c r="R22" s="255">
        <f>50-50</f>
        <v>0</v>
      </c>
      <c r="S22" s="255">
        <f>50-50</f>
        <v>0</v>
      </c>
      <c r="T22" s="253"/>
      <c r="U22" s="253"/>
      <c r="V22" s="255">
        <f>50-50</f>
        <v>0</v>
      </c>
      <c r="W22" s="255">
        <f>50-50</f>
        <v>0</v>
      </c>
      <c r="X22" s="253"/>
      <c r="Y22" s="253"/>
      <c r="Z22" s="253"/>
      <c r="AA22" s="255">
        <f>100-100</f>
        <v>0</v>
      </c>
      <c r="AB22" s="255">
        <f>100-100</f>
        <v>0</v>
      </c>
      <c r="AC22" s="255">
        <f>100-100</f>
        <v>0</v>
      </c>
      <c r="AD22" s="255">
        <f>100-100</f>
        <v>0</v>
      </c>
      <c r="AE22" s="255">
        <f>100-100</f>
        <v>0</v>
      </c>
      <c r="AF22" s="253"/>
      <c r="AG22" s="255">
        <f>100-100</f>
        <v>0</v>
      </c>
      <c r="AH22" s="253"/>
      <c r="AI22" s="253"/>
      <c r="AJ22" s="253"/>
      <c r="AK22" s="253"/>
      <c r="AL22" s="253"/>
      <c r="AM22" s="253"/>
      <c r="AN22" s="253"/>
      <c r="AO22" s="253"/>
      <c r="AP22" s="253"/>
      <c r="AQ22" s="253"/>
      <c r="AR22" s="253"/>
      <c r="AS22" s="253"/>
      <c r="AT22" s="253"/>
      <c r="AU22" s="253"/>
      <c r="AV22" s="253"/>
      <c r="AW22" s="253"/>
      <c r="AX22" s="253"/>
      <c r="AY22" s="253"/>
      <c r="AZ22" s="253"/>
      <c r="BA22" s="253"/>
      <c r="BB22" s="253"/>
      <c r="BC22" s="254">
        <v>2</v>
      </c>
      <c r="BD22" s="253"/>
      <c r="BE22" s="253"/>
      <c r="BF22" s="253"/>
      <c r="BG22" s="253"/>
      <c r="BH22" s="253"/>
      <c r="BI22" s="253"/>
      <c r="BJ22" s="253"/>
      <c r="BK22" s="253"/>
      <c r="BL22" s="253"/>
      <c r="BM22" s="253"/>
      <c r="BN22" s="253"/>
      <c r="BO22" s="253"/>
      <c r="BP22" s="253"/>
      <c r="BQ22" s="254">
        <v>8</v>
      </c>
      <c r="BR22" s="253"/>
      <c r="BS22" s="253"/>
      <c r="BT22" s="253"/>
      <c r="BU22" s="253"/>
      <c r="BV22" s="253"/>
      <c r="BW22" s="253"/>
      <c r="BX22" s="253"/>
      <c r="BY22" s="253"/>
      <c r="BZ22" s="253"/>
      <c r="CA22" s="253"/>
      <c r="CB22" s="253"/>
      <c r="CC22" s="254">
        <v>4</v>
      </c>
      <c r="CD22" s="254">
        <v>5</v>
      </c>
      <c r="CE22" s="253"/>
      <c r="CF22" s="253"/>
      <c r="CG22" s="254">
        <v>10</v>
      </c>
      <c r="CH22" s="254">
        <v>5</v>
      </c>
      <c r="CI22" s="254">
        <v>5</v>
      </c>
      <c r="CJ22" s="253"/>
      <c r="CK22" s="253"/>
      <c r="CL22" s="254">
        <v>5</v>
      </c>
      <c r="CM22" s="399">
        <v>5</v>
      </c>
      <c r="CN22" s="399">
        <v>10</v>
      </c>
      <c r="CO22" s="253"/>
      <c r="CP22" s="253"/>
      <c r="CQ22" s="399">
        <v>5</v>
      </c>
      <c r="CR22" s="399">
        <v>3</v>
      </c>
      <c r="CS22" s="253"/>
      <c r="CT22" s="253"/>
      <c r="CU22" s="253"/>
      <c r="CV22" s="253"/>
      <c r="CW22" s="253"/>
      <c r="CX22" s="253"/>
      <c r="CY22" s="253"/>
      <c r="CZ22" s="253"/>
      <c r="DA22" s="254">
        <v>10</v>
      </c>
      <c r="DB22" s="254">
        <v>30</v>
      </c>
      <c r="DC22" s="253"/>
      <c r="DD22" s="253"/>
      <c r="DE22" s="253"/>
      <c r="DF22" s="253"/>
      <c r="DG22" s="253"/>
      <c r="DH22" s="255">
        <f>600-600</f>
        <v>0</v>
      </c>
      <c r="DI22" s="253"/>
      <c r="DJ22" s="253"/>
      <c r="DK22" s="255">
        <f>600-600</f>
        <v>0</v>
      </c>
      <c r="DL22" s="254">
        <f>600-600+20</f>
        <v>20</v>
      </c>
      <c r="DM22" s="254">
        <f>75</f>
        <v>75</v>
      </c>
      <c r="DN22" s="253"/>
      <c r="DO22" s="253"/>
      <c r="DP22" s="253"/>
      <c r="DQ22" s="253"/>
      <c r="DR22" s="253"/>
      <c r="DS22" s="253"/>
      <c r="DT22" s="253"/>
      <c r="DU22" s="254">
        <f>600-600+20</f>
        <v>20</v>
      </c>
      <c r="DV22" s="254"/>
      <c r="DW22" s="254">
        <v>5</v>
      </c>
      <c r="DX22" s="254">
        <f>20</f>
        <v>20</v>
      </c>
      <c r="DY22" s="253"/>
      <c r="DZ22" s="253"/>
      <c r="EA22" s="253"/>
      <c r="EB22" s="255">
        <f>600-600</f>
        <v>0</v>
      </c>
      <c r="EC22" s="253"/>
      <c r="ED22" s="253"/>
      <c r="EE22" s="254">
        <f>600-600+10</f>
        <v>10</v>
      </c>
      <c r="EF22" s="253"/>
      <c r="EG22" s="253"/>
      <c r="EH22" s="255">
        <f>600-600</f>
        <v>0</v>
      </c>
      <c r="EI22" s="255">
        <f>600-600</f>
        <v>0</v>
      </c>
      <c r="EJ22" s="253"/>
      <c r="EK22" s="254">
        <f>600-600+40</f>
        <v>40</v>
      </c>
      <c r="EL22" s="254">
        <f>600-600+20</f>
        <v>20</v>
      </c>
      <c r="EM22" s="254">
        <f>600-600+20</f>
        <v>20</v>
      </c>
      <c r="EN22" s="254">
        <f>600-600+25</f>
        <v>25</v>
      </c>
      <c r="EO22" s="253"/>
      <c r="EP22" s="253"/>
      <c r="EQ22" s="254">
        <f>600-600+40</f>
        <v>40</v>
      </c>
      <c r="ER22" s="254">
        <f>600-600+20</f>
        <v>20</v>
      </c>
      <c r="ES22" s="254">
        <f>600-600</f>
        <v>0</v>
      </c>
      <c r="ET22" s="253"/>
      <c r="EU22" s="253"/>
      <c r="EV22" s="253"/>
      <c r="EW22" s="253"/>
      <c r="EX22" s="253"/>
      <c r="EY22" s="253"/>
      <c r="EZ22" s="253"/>
      <c r="FA22" s="253"/>
      <c r="FB22" s="253"/>
      <c r="FC22" s="253"/>
      <c r="FD22" s="253"/>
      <c r="FE22" s="253"/>
      <c r="FF22" s="253"/>
      <c r="FG22" s="253"/>
      <c r="FH22" s="253"/>
      <c r="FI22" s="253"/>
      <c r="FJ22" s="253"/>
      <c r="FK22" s="253"/>
      <c r="FL22" s="253"/>
      <c r="FM22" s="253"/>
      <c r="FN22" s="253"/>
      <c r="FO22" s="253"/>
      <c r="FP22" s="256"/>
      <c r="FQ22" s="257" t="s">
        <v>1322</v>
      </c>
      <c r="FR22" s="258" t="s">
        <v>389</v>
      </c>
      <c r="FS22" s="258"/>
      <c r="FT22" s="258" t="s">
        <v>402</v>
      </c>
      <c r="FU22" s="259">
        <f t="shared" si="0"/>
        <v>422</v>
      </c>
      <c r="FV22" s="260" t="s">
        <v>403</v>
      </c>
    </row>
    <row r="23" spans="1:178" s="260" customFormat="1" hidden="1">
      <c r="A23" s="251" t="s">
        <v>393</v>
      </c>
      <c r="B23" s="251" t="s">
        <v>385</v>
      </c>
      <c r="C23" s="251" t="s">
        <v>394</v>
      </c>
      <c r="D23" s="251" t="s">
        <v>293</v>
      </c>
      <c r="E23" s="252" t="s">
        <v>401</v>
      </c>
      <c r="F23" s="251" t="s">
        <v>388</v>
      </c>
      <c r="G23" s="251"/>
      <c r="H23" s="253"/>
      <c r="I23" s="255">
        <f>50-50</f>
        <v>0</v>
      </c>
      <c r="J23" s="253"/>
      <c r="K23" s="253"/>
      <c r="L23" s="253"/>
      <c r="M23" s="255">
        <f>50-50</f>
        <v>0</v>
      </c>
      <c r="N23" s="253"/>
      <c r="O23" s="253"/>
      <c r="P23" s="253"/>
      <c r="Q23" s="255">
        <f>50-50</f>
        <v>0</v>
      </c>
      <c r="R23" s="253"/>
      <c r="S23" s="253"/>
      <c r="T23" s="253"/>
      <c r="U23" s="253"/>
      <c r="V23" s="253"/>
      <c r="W23" s="253"/>
      <c r="X23" s="253"/>
      <c r="Y23" s="253"/>
      <c r="Z23" s="253"/>
      <c r="AA23" s="253"/>
      <c r="AB23" s="253"/>
      <c r="AC23" s="253"/>
      <c r="AD23" s="253"/>
      <c r="AE23" s="253"/>
      <c r="AF23" s="253"/>
      <c r="AG23" s="253"/>
      <c r="AH23" s="253"/>
      <c r="AI23" s="253"/>
      <c r="AJ23" s="253"/>
      <c r="AK23" s="253"/>
      <c r="AL23" s="253"/>
      <c r="AM23" s="253"/>
      <c r="AN23" s="253"/>
      <c r="AO23" s="253"/>
      <c r="AP23" s="253"/>
      <c r="AQ23" s="253"/>
      <c r="AR23" s="253"/>
      <c r="AS23" s="253"/>
      <c r="AT23" s="253"/>
      <c r="AU23" s="253"/>
      <c r="AV23" s="253"/>
      <c r="AW23" s="253"/>
      <c r="AX23" s="253"/>
      <c r="AY23" s="253"/>
      <c r="AZ23" s="253"/>
      <c r="BA23" s="253"/>
      <c r="BB23" s="253"/>
      <c r="BC23" s="253"/>
      <c r="BD23" s="253"/>
      <c r="BE23" s="253"/>
      <c r="BF23" s="253"/>
      <c r="BG23" s="253"/>
      <c r="BH23" s="253"/>
      <c r="BI23" s="253"/>
      <c r="BJ23" s="253"/>
      <c r="BK23" s="253"/>
      <c r="BL23" s="253"/>
      <c r="BM23" s="253"/>
      <c r="BN23" s="253"/>
      <c r="BO23" s="253"/>
      <c r="BP23" s="253"/>
      <c r="BQ23" s="253"/>
      <c r="BR23" s="253"/>
      <c r="BS23" s="253"/>
      <c r="BT23" s="253"/>
      <c r="BU23" s="253"/>
      <c r="BV23" s="253"/>
      <c r="BW23" s="253"/>
      <c r="BX23" s="253"/>
      <c r="BY23" s="253"/>
      <c r="BZ23" s="253"/>
      <c r="CA23" s="253"/>
      <c r="CB23" s="253"/>
      <c r="CC23" s="253"/>
      <c r="CD23" s="253"/>
      <c r="CE23" s="254">
        <v>5</v>
      </c>
      <c r="CF23" s="253"/>
      <c r="CG23" s="253"/>
      <c r="CH23" s="253"/>
      <c r="CI23" s="253"/>
      <c r="CJ23" s="253"/>
      <c r="CK23" s="253"/>
      <c r="CL23" s="253"/>
      <c r="CM23" s="253"/>
      <c r="CN23" s="253"/>
      <c r="CO23" s="253"/>
      <c r="CP23" s="253"/>
      <c r="CQ23" s="253"/>
      <c r="CR23" s="253"/>
      <c r="CS23" s="253"/>
      <c r="CT23" s="253"/>
      <c r="CU23" s="253"/>
      <c r="CV23" s="253"/>
      <c r="CW23" s="253"/>
      <c r="CX23" s="253"/>
      <c r="CY23" s="253"/>
      <c r="CZ23" s="253"/>
      <c r="DA23" s="253"/>
      <c r="DB23" s="253"/>
      <c r="DC23" s="253"/>
      <c r="DD23" s="253"/>
      <c r="DE23" s="253"/>
      <c r="DF23" s="253"/>
      <c r="DG23" s="253"/>
      <c r="DH23" s="253"/>
      <c r="DI23" s="253"/>
      <c r="DJ23" s="253"/>
      <c r="DK23" s="253"/>
      <c r="DL23" s="253"/>
      <c r="DM23" s="253"/>
      <c r="DN23" s="253"/>
      <c r="DO23" s="253"/>
      <c r="DP23" s="253"/>
      <c r="DQ23" s="253"/>
      <c r="DR23" s="253"/>
      <c r="DS23" s="253"/>
      <c r="DT23" s="253"/>
      <c r="DU23" s="253"/>
      <c r="DV23" s="253"/>
      <c r="DW23" s="253"/>
      <c r="DX23" s="253"/>
      <c r="DY23" s="253"/>
      <c r="DZ23" s="253"/>
      <c r="EA23" s="253"/>
      <c r="EB23" s="253"/>
      <c r="EC23" s="253"/>
      <c r="ED23" s="253"/>
      <c r="EE23" s="253"/>
      <c r="EF23" s="253"/>
      <c r="EG23" s="253"/>
      <c r="EH23" s="253"/>
      <c r="EI23" s="253"/>
      <c r="EJ23" s="253"/>
      <c r="EK23" s="253"/>
      <c r="EL23" s="253"/>
      <c r="EM23" s="253"/>
      <c r="EN23" s="253"/>
      <c r="EO23" s="253"/>
      <c r="EP23" s="253"/>
      <c r="EQ23" s="253"/>
      <c r="ER23" s="253"/>
      <c r="ES23" s="253"/>
      <c r="ET23" s="253"/>
      <c r="EU23" s="253"/>
      <c r="EV23" s="253"/>
      <c r="EW23" s="253"/>
      <c r="EX23" s="253"/>
      <c r="EY23" s="253"/>
      <c r="EZ23" s="253"/>
      <c r="FA23" s="253"/>
      <c r="FB23" s="253"/>
      <c r="FC23" s="253"/>
      <c r="FD23" s="253"/>
      <c r="FE23" s="253"/>
      <c r="FF23" s="253"/>
      <c r="FG23" s="253"/>
      <c r="FH23" s="253"/>
      <c r="FI23" s="253"/>
      <c r="FJ23" s="253"/>
      <c r="FK23" s="253"/>
      <c r="FL23" s="253"/>
      <c r="FM23" s="253"/>
      <c r="FN23" s="253"/>
      <c r="FO23" s="253"/>
      <c r="FP23" s="256"/>
      <c r="FQ23" s="257" t="s">
        <v>1322</v>
      </c>
      <c r="FR23" s="258" t="s">
        <v>389</v>
      </c>
      <c r="FS23" s="258"/>
      <c r="FT23" s="258" t="s">
        <v>402</v>
      </c>
      <c r="FU23" s="259">
        <f t="shared" si="0"/>
        <v>5</v>
      </c>
      <c r="FV23" s="260" t="s">
        <v>403</v>
      </c>
    </row>
    <row r="24" spans="1:178" s="260" customFormat="1" hidden="1">
      <c r="A24" s="251" t="s">
        <v>393</v>
      </c>
      <c r="B24" s="251" t="s">
        <v>385</v>
      </c>
      <c r="C24" s="251" t="s">
        <v>394</v>
      </c>
      <c r="D24" s="251" t="s">
        <v>291</v>
      </c>
      <c r="E24" s="252" t="s">
        <v>821</v>
      </c>
      <c r="F24" s="251" t="s">
        <v>388</v>
      </c>
      <c r="G24" s="251"/>
      <c r="H24" s="253"/>
      <c r="I24" s="253"/>
      <c r="J24" s="253"/>
      <c r="K24" s="253"/>
      <c r="L24" s="253"/>
      <c r="M24" s="253"/>
      <c r="N24" s="253"/>
      <c r="O24" s="253"/>
      <c r="P24" s="253"/>
      <c r="Q24" s="253"/>
      <c r="R24" s="253"/>
      <c r="S24" s="253"/>
      <c r="T24" s="253"/>
      <c r="U24" s="253"/>
      <c r="V24" s="253"/>
      <c r="W24" s="253"/>
      <c r="X24" s="253"/>
      <c r="Y24" s="253"/>
      <c r="Z24" s="253"/>
      <c r="AA24" s="253"/>
      <c r="AB24" s="253"/>
      <c r="AC24" s="253"/>
      <c r="AD24" s="253"/>
      <c r="AE24" s="253"/>
      <c r="AF24" s="253"/>
      <c r="AG24" s="253"/>
      <c r="AH24" s="253"/>
      <c r="AI24" s="253"/>
      <c r="AJ24" s="253"/>
      <c r="AK24" s="253"/>
      <c r="AL24" s="253"/>
      <c r="AM24" s="253"/>
      <c r="AN24" s="253"/>
      <c r="AO24" s="253"/>
      <c r="AP24" s="253"/>
      <c r="AQ24" s="253"/>
      <c r="AR24" s="253"/>
      <c r="AS24" s="253"/>
      <c r="AT24" s="253"/>
      <c r="AU24" s="253"/>
      <c r="AV24" s="253"/>
      <c r="AW24" s="253"/>
      <c r="AX24" s="253"/>
      <c r="AY24" s="253"/>
      <c r="AZ24" s="253"/>
      <c r="BA24" s="253"/>
      <c r="BB24" s="253"/>
      <c r="BC24" s="253"/>
      <c r="BD24" s="253"/>
      <c r="BE24" s="253"/>
      <c r="BF24" s="253"/>
      <c r="BG24" s="253"/>
      <c r="BH24" s="253"/>
      <c r="BI24" s="253"/>
      <c r="BJ24" s="253"/>
      <c r="BK24" s="253"/>
      <c r="BL24" s="253"/>
      <c r="BM24" s="253"/>
      <c r="BN24" s="253"/>
      <c r="BO24" s="253"/>
      <c r="BP24" s="253"/>
      <c r="BQ24" s="253"/>
      <c r="BR24" s="253"/>
      <c r="BS24" s="253"/>
      <c r="BT24" s="253"/>
      <c r="BU24" s="253"/>
      <c r="BV24" s="253"/>
      <c r="BW24" s="253"/>
      <c r="BX24" s="253"/>
      <c r="BY24" s="253"/>
      <c r="BZ24" s="253"/>
      <c r="CA24" s="253"/>
      <c r="CB24" s="253"/>
      <c r="CC24" s="253"/>
      <c r="CD24" s="253"/>
      <c r="CE24" s="253"/>
      <c r="CF24" s="253"/>
      <c r="CG24" s="253"/>
      <c r="CH24" s="253"/>
      <c r="CI24" s="253"/>
      <c r="CJ24" s="253"/>
      <c r="CK24" s="253"/>
      <c r="CL24" s="253"/>
      <c r="CM24" s="253"/>
      <c r="CN24" s="253"/>
      <c r="CO24" s="253"/>
      <c r="CP24" s="253"/>
      <c r="CQ24" s="253"/>
      <c r="CR24" s="253"/>
      <c r="CS24" s="253"/>
      <c r="CT24" s="253"/>
      <c r="CU24" s="253"/>
      <c r="CV24" s="253"/>
      <c r="CW24" s="253"/>
      <c r="CX24" s="253"/>
      <c r="CY24" s="253"/>
      <c r="CZ24" s="253"/>
      <c r="DA24" s="253"/>
      <c r="DB24" s="253"/>
      <c r="DC24" s="253"/>
      <c r="DD24" s="253"/>
      <c r="DE24" s="253"/>
      <c r="DF24" s="253"/>
      <c r="DG24" s="253"/>
      <c r="DH24" s="253"/>
      <c r="DI24" s="255">
        <f>50-50</f>
        <v>0</v>
      </c>
      <c r="DJ24" s="253"/>
      <c r="DK24" s="253"/>
      <c r="DL24" s="253"/>
      <c r="DM24" s="253"/>
      <c r="DN24" s="253"/>
      <c r="DO24" s="253"/>
      <c r="DP24" s="253"/>
      <c r="DQ24" s="253"/>
      <c r="DR24" s="253"/>
      <c r="DS24" s="253"/>
      <c r="DT24" s="253"/>
      <c r="DU24" s="253"/>
      <c r="DV24" s="253"/>
      <c r="DW24" s="253"/>
      <c r="DX24" s="253"/>
      <c r="DY24" s="253"/>
      <c r="DZ24" s="253"/>
      <c r="EA24" s="253"/>
      <c r="EB24" s="253"/>
      <c r="EC24" s="253"/>
      <c r="ED24" s="253"/>
      <c r="EE24" s="253"/>
      <c r="EF24" s="255">
        <f>50-50</f>
        <v>0</v>
      </c>
      <c r="EG24" s="253"/>
      <c r="EH24" s="253"/>
      <c r="EI24" s="253"/>
      <c r="EJ24" s="255">
        <f>50-50</f>
        <v>0</v>
      </c>
      <c r="EK24" s="253"/>
      <c r="EL24" s="253"/>
      <c r="EM24" s="253"/>
      <c r="EN24" s="253"/>
      <c r="EO24" s="253"/>
      <c r="EP24" s="253"/>
      <c r="EQ24" s="253"/>
      <c r="ER24" s="253"/>
      <c r="ES24" s="253"/>
      <c r="ET24" s="253"/>
      <c r="EU24" s="253"/>
      <c r="EV24" s="253"/>
      <c r="EW24" s="253"/>
      <c r="EX24" s="253"/>
      <c r="EY24" s="253"/>
      <c r="EZ24" s="253"/>
      <c r="FA24" s="253"/>
      <c r="FB24" s="253"/>
      <c r="FC24" s="253"/>
      <c r="FD24" s="253"/>
      <c r="FE24" s="253"/>
      <c r="FF24" s="253"/>
      <c r="FG24" s="253"/>
      <c r="FH24" s="253"/>
      <c r="FI24" s="253"/>
      <c r="FJ24" s="253"/>
      <c r="FK24" s="253"/>
      <c r="FL24" s="253"/>
      <c r="FM24" s="253"/>
      <c r="FN24" s="253"/>
      <c r="FO24" s="253"/>
      <c r="FP24" s="256"/>
      <c r="FQ24" s="257" t="s">
        <v>1322</v>
      </c>
      <c r="FR24" s="258" t="s">
        <v>389</v>
      </c>
      <c r="FS24" s="258"/>
      <c r="FT24" s="258" t="s">
        <v>822</v>
      </c>
      <c r="FU24" s="259">
        <f t="shared" si="0"/>
        <v>0</v>
      </c>
      <c r="FV24" s="260" t="s">
        <v>820</v>
      </c>
    </row>
    <row r="25" spans="1:178" s="260" customFormat="1" hidden="1">
      <c r="A25" s="251" t="s">
        <v>393</v>
      </c>
      <c r="B25" s="251" t="s">
        <v>385</v>
      </c>
      <c r="C25" s="251" t="s">
        <v>394</v>
      </c>
      <c r="D25" s="251" t="s">
        <v>1</v>
      </c>
      <c r="E25" s="252" t="s">
        <v>821</v>
      </c>
      <c r="F25" s="251" t="s">
        <v>388</v>
      </c>
      <c r="G25" s="251"/>
      <c r="H25" s="253"/>
      <c r="I25" s="253"/>
      <c r="J25" s="253"/>
      <c r="K25" s="253"/>
      <c r="L25" s="253"/>
      <c r="M25" s="253"/>
      <c r="N25" s="253"/>
      <c r="O25" s="253"/>
      <c r="P25" s="253"/>
      <c r="Q25" s="253"/>
      <c r="R25" s="253"/>
      <c r="S25" s="253"/>
      <c r="T25" s="253"/>
      <c r="U25" s="253"/>
      <c r="V25" s="253"/>
      <c r="W25" s="253"/>
      <c r="X25" s="253"/>
      <c r="Y25" s="253"/>
      <c r="Z25" s="253"/>
      <c r="AA25" s="253"/>
      <c r="AB25" s="253"/>
      <c r="AC25" s="253"/>
      <c r="AD25" s="253"/>
      <c r="AE25" s="253"/>
      <c r="AF25" s="253"/>
      <c r="AG25" s="253"/>
      <c r="AH25" s="253"/>
      <c r="AI25" s="253"/>
      <c r="AJ25" s="253"/>
      <c r="AK25" s="253"/>
      <c r="AL25" s="253"/>
      <c r="AM25" s="253"/>
      <c r="AN25" s="253"/>
      <c r="AO25" s="253"/>
      <c r="AP25" s="253"/>
      <c r="AQ25" s="253"/>
      <c r="AR25" s="253"/>
      <c r="AS25" s="253"/>
      <c r="AT25" s="253"/>
      <c r="AU25" s="253"/>
      <c r="AV25" s="253"/>
      <c r="AW25" s="253"/>
      <c r="AX25" s="253"/>
      <c r="AY25" s="253"/>
      <c r="AZ25" s="253"/>
      <c r="BA25" s="253"/>
      <c r="BB25" s="253"/>
      <c r="BC25" s="253"/>
      <c r="BD25" s="253"/>
      <c r="BE25" s="253"/>
      <c r="BF25" s="253"/>
      <c r="BG25" s="253"/>
      <c r="BH25" s="253"/>
      <c r="BI25" s="253"/>
      <c r="BJ25" s="253"/>
      <c r="BK25" s="253"/>
      <c r="BL25" s="253"/>
      <c r="BM25" s="253"/>
      <c r="BN25" s="253"/>
      <c r="BO25" s="253"/>
      <c r="BP25" s="253"/>
      <c r="BQ25" s="253"/>
      <c r="BR25" s="253"/>
      <c r="BS25" s="253"/>
      <c r="BT25" s="253"/>
      <c r="BU25" s="253"/>
      <c r="BV25" s="253"/>
      <c r="BW25" s="253"/>
      <c r="BX25" s="253"/>
      <c r="BY25" s="253"/>
      <c r="BZ25" s="253"/>
      <c r="CA25" s="253"/>
      <c r="CB25" s="253"/>
      <c r="CC25" s="253"/>
      <c r="CD25" s="253"/>
      <c r="CE25" s="253"/>
      <c r="CF25" s="253"/>
      <c r="CG25" s="253"/>
      <c r="CH25" s="253"/>
      <c r="CI25" s="253"/>
      <c r="CJ25" s="253"/>
      <c r="CK25" s="253"/>
      <c r="CL25" s="253"/>
      <c r="CM25" s="253"/>
      <c r="CN25" s="253"/>
      <c r="CO25" s="253"/>
      <c r="CP25" s="253"/>
      <c r="CQ25" s="253"/>
      <c r="CR25" s="253"/>
      <c r="CS25" s="253"/>
      <c r="CT25" s="253"/>
      <c r="CU25" s="253"/>
      <c r="CV25" s="253"/>
      <c r="CW25" s="253"/>
      <c r="CX25" s="253"/>
      <c r="CY25" s="253"/>
      <c r="CZ25" s="253"/>
      <c r="DA25" s="253"/>
      <c r="DB25" s="253"/>
      <c r="DC25" s="253"/>
      <c r="DD25" s="253"/>
      <c r="DE25" s="253"/>
      <c r="DF25" s="253"/>
      <c r="DG25" s="253"/>
      <c r="DH25" s="253"/>
      <c r="DI25" s="253"/>
      <c r="DJ25" s="253"/>
      <c r="DK25" s="253"/>
      <c r="DL25" s="253"/>
      <c r="DM25" s="253"/>
      <c r="DN25" s="253"/>
      <c r="DO25" s="253"/>
      <c r="DP25" s="253"/>
      <c r="DQ25" s="253"/>
      <c r="DR25" s="253"/>
      <c r="DS25" s="253"/>
      <c r="DT25" s="253"/>
      <c r="DU25" s="255">
        <f>100-100</f>
        <v>0</v>
      </c>
      <c r="DV25" s="253"/>
      <c r="DW25" s="253"/>
      <c r="DX25" s="253"/>
      <c r="DY25" s="253"/>
      <c r="DZ25" s="253"/>
      <c r="EA25" s="253"/>
      <c r="EB25" s="255">
        <f>50-50</f>
        <v>0</v>
      </c>
      <c r="EC25" s="253"/>
      <c r="ED25" s="253"/>
      <c r="EE25" s="253"/>
      <c r="EF25" s="253"/>
      <c r="EG25" s="253"/>
      <c r="EH25" s="253"/>
      <c r="EI25" s="253"/>
      <c r="EJ25" s="253"/>
      <c r="EK25" s="255">
        <f>100-100</f>
        <v>0</v>
      </c>
      <c r="EL25" s="253"/>
      <c r="EM25" s="253"/>
      <c r="EN25" s="253"/>
      <c r="EO25" s="253"/>
      <c r="EP25" s="253"/>
      <c r="EQ25" s="253"/>
      <c r="ER25" s="253"/>
      <c r="ES25" s="253"/>
      <c r="ET25" s="253"/>
      <c r="EU25" s="253"/>
      <c r="EV25" s="253"/>
      <c r="EW25" s="253"/>
      <c r="EX25" s="253"/>
      <c r="EY25" s="253"/>
      <c r="EZ25" s="253"/>
      <c r="FA25" s="253"/>
      <c r="FB25" s="253"/>
      <c r="FC25" s="253"/>
      <c r="FD25" s="253"/>
      <c r="FE25" s="253"/>
      <c r="FF25" s="253"/>
      <c r="FG25" s="253"/>
      <c r="FH25" s="253"/>
      <c r="FI25" s="253"/>
      <c r="FJ25" s="253"/>
      <c r="FK25" s="253"/>
      <c r="FL25" s="253"/>
      <c r="FM25" s="253"/>
      <c r="FN25" s="253"/>
      <c r="FO25" s="253"/>
      <c r="FP25" s="256"/>
      <c r="FQ25" s="257" t="s">
        <v>1322</v>
      </c>
      <c r="FR25" s="258" t="s">
        <v>389</v>
      </c>
      <c r="FS25" s="258"/>
      <c r="FT25" s="258" t="s">
        <v>822</v>
      </c>
      <c r="FU25" s="259">
        <f t="shared" si="0"/>
        <v>0</v>
      </c>
      <c r="FV25" s="260" t="s">
        <v>820</v>
      </c>
    </row>
    <row r="26" spans="1:178" s="260" customFormat="1" hidden="1">
      <c r="A26" s="251" t="s">
        <v>393</v>
      </c>
      <c r="B26" s="251" t="s">
        <v>385</v>
      </c>
      <c r="C26" s="251" t="s">
        <v>394</v>
      </c>
      <c r="D26" s="251" t="s">
        <v>291</v>
      </c>
      <c r="E26" s="252" t="s">
        <v>823</v>
      </c>
      <c r="F26" s="251" t="s">
        <v>388</v>
      </c>
      <c r="G26" s="251"/>
      <c r="H26" s="253"/>
      <c r="I26" s="253"/>
      <c r="J26" s="253"/>
      <c r="K26" s="253"/>
      <c r="L26" s="253"/>
      <c r="M26" s="253"/>
      <c r="N26" s="253"/>
      <c r="O26" s="253"/>
      <c r="P26" s="253"/>
      <c r="Q26" s="253"/>
      <c r="R26" s="253"/>
      <c r="S26" s="253"/>
      <c r="T26" s="253"/>
      <c r="U26" s="253"/>
      <c r="V26" s="253"/>
      <c r="W26" s="253"/>
      <c r="X26" s="253"/>
      <c r="Y26" s="253"/>
      <c r="Z26" s="253"/>
      <c r="AA26" s="253"/>
      <c r="AB26" s="253"/>
      <c r="AC26" s="253"/>
      <c r="AD26" s="253"/>
      <c r="AE26" s="253"/>
      <c r="AF26" s="253"/>
      <c r="AG26" s="253"/>
      <c r="AH26" s="253"/>
      <c r="AI26" s="253"/>
      <c r="AJ26" s="253"/>
      <c r="AK26" s="253"/>
      <c r="AL26" s="253"/>
      <c r="AM26" s="253"/>
      <c r="AN26" s="253"/>
      <c r="AO26" s="253"/>
      <c r="AP26" s="253"/>
      <c r="AQ26" s="253"/>
      <c r="AR26" s="253"/>
      <c r="AS26" s="253"/>
      <c r="AT26" s="253"/>
      <c r="AU26" s="253"/>
      <c r="AV26" s="253"/>
      <c r="AW26" s="253"/>
      <c r="AX26" s="253"/>
      <c r="AY26" s="253"/>
      <c r="AZ26" s="253"/>
      <c r="BA26" s="253"/>
      <c r="BB26" s="253"/>
      <c r="BC26" s="253"/>
      <c r="BD26" s="253"/>
      <c r="BE26" s="253"/>
      <c r="BF26" s="253"/>
      <c r="BG26" s="253"/>
      <c r="BH26" s="253"/>
      <c r="BI26" s="253"/>
      <c r="BJ26" s="253"/>
      <c r="BK26" s="253"/>
      <c r="BL26" s="253"/>
      <c r="BM26" s="253"/>
      <c r="BN26" s="253"/>
      <c r="BO26" s="253"/>
      <c r="BP26" s="253"/>
      <c r="BQ26" s="253"/>
      <c r="BR26" s="253"/>
      <c r="BS26" s="253"/>
      <c r="BT26" s="253"/>
      <c r="BU26" s="253"/>
      <c r="BV26" s="253"/>
      <c r="BW26" s="253"/>
      <c r="BX26" s="253"/>
      <c r="BY26" s="253"/>
      <c r="BZ26" s="253"/>
      <c r="CA26" s="253"/>
      <c r="CB26" s="253"/>
      <c r="CC26" s="253"/>
      <c r="CD26" s="253"/>
      <c r="CE26" s="253"/>
      <c r="CF26" s="253"/>
      <c r="CG26" s="253"/>
      <c r="CH26" s="253"/>
      <c r="CI26" s="253"/>
      <c r="CJ26" s="253"/>
      <c r="CK26" s="253"/>
      <c r="CL26" s="253"/>
      <c r="CM26" s="253"/>
      <c r="CN26" s="253"/>
      <c r="CO26" s="253"/>
      <c r="CP26" s="253"/>
      <c r="CQ26" s="253"/>
      <c r="CR26" s="253"/>
      <c r="CS26" s="253"/>
      <c r="CT26" s="253"/>
      <c r="CU26" s="253"/>
      <c r="CV26" s="253"/>
      <c r="CW26" s="253"/>
      <c r="CX26" s="253"/>
      <c r="CY26" s="253"/>
      <c r="CZ26" s="253"/>
      <c r="DA26" s="253"/>
      <c r="DB26" s="253"/>
      <c r="DC26" s="253"/>
      <c r="DD26" s="253"/>
      <c r="DE26" s="253"/>
      <c r="DF26" s="253"/>
      <c r="DG26" s="253"/>
      <c r="DH26" s="253"/>
      <c r="DI26" s="255">
        <f>50-50</f>
        <v>0</v>
      </c>
      <c r="DJ26" s="253"/>
      <c r="DK26" s="253"/>
      <c r="DL26" s="253"/>
      <c r="DM26" s="253"/>
      <c r="DN26" s="253"/>
      <c r="DO26" s="253"/>
      <c r="DP26" s="253"/>
      <c r="DQ26" s="253"/>
      <c r="DR26" s="253"/>
      <c r="DS26" s="253"/>
      <c r="DT26" s="253"/>
      <c r="DU26" s="253"/>
      <c r="DV26" s="253"/>
      <c r="DW26" s="253"/>
      <c r="DX26" s="253"/>
      <c r="DY26" s="253"/>
      <c r="DZ26" s="253"/>
      <c r="EA26" s="253"/>
      <c r="EB26" s="253"/>
      <c r="EC26" s="253"/>
      <c r="ED26" s="253"/>
      <c r="EE26" s="253"/>
      <c r="EF26" s="255">
        <f>50-50</f>
        <v>0</v>
      </c>
      <c r="EG26" s="253"/>
      <c r="EH26" s="253"/>
      <c r="EI26" s="253"/>
      <c r="EJ26" s="255">
        <f>50-50</f>
        <v>0</v>
      </c>
      <c r="EK26" s="253"/>
      <c r="EL26" s="253"/>
      <c r="EM26" s="253"/>
      <c r="EN26" s="253"/>
      <c r="EO26" s="253"/>
      <c r="EP26" s="253"/>
      <c r="EQ26" s="253"/>
      <c r="ER26" s="253"/>
      <c r="ES26" s="253"/>
      <c r="ET26" s="253"/>
      <c r="EU26" s="253"/>
      <c r="EV26" s="253"/>
      <c r="EW26" s="253"/>
      <c r="EX26" s="253"/>
      <c r="EY26" s="253"/>
      <c r="EZ26" s="253"/>
      <c r="FA26" s="253"/>
      <c r="FB26" s="253"/>
      <c r="FC26" s="253"/>
      <c r="FD26" s="253"/>
      <c r="FE26" s="253"/>
      <c r="FF26" s="253"/>
      <c r="FG26" s="253"/>
      <c r="FH26" s="253"/>
      <c r="FI26" s="253"/>
      <c r="FJ26" s="253"/>
      <c r="FK26" s="253"/>
      <c r="FL26" s="253"/>
      <c r="FM26" s="253"/>
      <c r="FN26" s="253"/>
      <c r="FO26" s="253"/>
      <c r="FP26" s="256"/>
      <c r="FQ26" s="257" t="s">
        <v>1322</v>
      </c>
      <c r="FR26" s="258" t="s">
        <v>389</v>
      </c>
      <c r="FS26" s="258"/>
      <c r="FT26" s="258" t="s">
        <v>824</v>
      </c>
      <c r="FU26" s="259">
        <f t="shared" si="0"/>
        <v>0</v>
      </c>
      <c r="FV26" s="260" t="s">
        <v>820</v>
      </c>
    </row>
    <row r="27" spans="1:178" s="260" customFormat="1" hidden="1">
      <c r="A27" s="251" t="s">
        <v>393</v>
      </c>
      <c r="B27" s="251" t="s">
        <v>385</v>
      </c>
      <c r="C27" s="251" t="s">
        <v>394</v>
      </c>
      <c r="D27" s="251" t="s">
        <v>1</v>
      </c>
      <c r="E27" s="252" t="s">
        <v>823</v>
      </c>
      <c r="F27" s="251" t="s">
        <v>388</v>
      </c>
      <c r="G27" s="251"/>
      <c r="H27" s="253"/>
      <c r="I27" s="253"/>
      <c r="J27" s="253"/>
      <c r="K27" s="253"/>
      <c r="L27" s="253"/>
      <c r="M27" s="253"/>
      <c r="N27" s="253"/>
      <c r="O27" s="253"/>
      <c r="P27" s="253"/>
      <c r="Q27" s="253"/>
      <c r="R27" s="253"/>
      <c r="S27" s="253"/>
      <c r="T27" s="253"/>
      <c r="U27" s="253"/>
      <c r="V27" s="253"/>
      <c r="W27" s="253"/>
      <c r="X27" s="253"/>
      <c r="Y27" s="253"/>
      <c r="Z27" s="253"/>
      <c r="AA27" s="253"/>
      <c r="AB27" s="253"/>
      <c r="AC27" s="253"/>
      <c r="AD27" s="253"/>
      <c r="AE27" s="253"/>
      <c r="AF27" s="253"/>
      <c r="AG27" s="253"/>
      <c r="AH27" s="253"/>
      <c r="AI27" s="253"/>
      <c r="AJ27" s="253"/>
      <c r="AK27" s="253"/>
      <c r="AL27" s="253"/>
      <c r="AM27" s="253"/>
      <c r="AN27" s="253"/>
      <c r="AO27" s="253"/>
      <c r="AP27" s="253"/>
      <c r="AQ27" s="253"/>
      <c r="AR27" s="253"/>
      <c r="AS27" s="253"/>
      <c r="AT27" s="253"/>
      <c r="AU27" s="253"/>
      <c r="AV27" s="253"/>
      <c r="AW27" s="253"/>
      <c r="AX27" s="253"/>
      <c r="AY27" s="253"/>
      <c r="AZ27" s="253"/>
      <c r="BA27" s="253"/>
      <c r="BB27" s="253"/>
      <c r="BC27" s="253"/>
      <c r="BD27" s="253"/>
      <c r="BE27" s="253"/>
      <c r="BF27" s="253"/>
      <c r="BG27" s="253"/>
      <c r="BH27" s="253"/>
      <c r="BI27" s="253"/>
      <c r="BJ27" s="253"/>
      <c r="BK27" s="253"/>
      <c r="BL27" s="253"/>
      <c r="BM27" s="253"/>
      <c r="BN27" s="253"/>
      <c r="BO27" s="253"/>
      <c r="BP27" s="253"/>
      <c r="BQ27" s="253"/>
      <c r="BR27" s="253"/>
      <c r="BS27" s="253"/>
      <c r="BT27" s="253"/>
      <c r="BU27" s="253"/>
      <c r="BV27" s="253"/>
      <c r="BW27" s="253"/>
      <c r="BX27" s="253"/>
      <c r="BY27" s="253"/>
      <c r="BZ27" s="253"/>
      <c r="CA27" s="253"/>
      <c r="CB27" s="253"/>
      <c r="CC27" s="253"/>
      <c r="CD27" s="253"/>
      <c r="CE27" s="253"/>
      <c r="CF27" s="253"/>
      <c r="CG27" s="253"/>
      <c r="CH27" s="253"/>
      <c r="CI27" s="253"/>
      <c r="CJ27" s="253"/>
      <c r="CK27" s="253"/>
      <c r="CL27" s="253"/>
      <c r="CM27" s="253"/>
      <c r="CN27" s="253"/>
      <c r="CO27" s="253"/>
      <c r="CP27" s="253"/>
      <c r="CQ27" s="253"/>
      <c r="CR27" s="253"/>
      <c r="CS27" s="253"/>
      <c r="CT27" s="253"/>
      <c r="CU27" s="253"/>
      <c r="CV27" s="253"/>
      <c r="CW27" s="253"/>
      <c r="CX27" s="253"/>
      <c r="CY27" s="253"/>
      <c r="CZ27" s="253"/>
      <c r="DA27" s="253"/>
      <c r="DB27" s="253"/>
      <c r="DC27" s="253"/>
      <c r="DD27" s="253"/>
      <c r="DE27" s="253"/>
      <c r="DF27" s="253"/>
      <c r="DG27" s="253"/>
      <c r="DH27" s="253"/>
      <c r="DI27" s="253"/>
      <c r="DJ27" s="253"/>
      <c r="DK27" s="253"/>
      <c r="DL27" s="253"/>
      <c r="DM27" s="253"/>
      <c r="DN27" s="253"/>
      <c r="DO27" s="253"/>
      <c r="DP27" s="253"/>
      <c r="DQ27" s="253"/>
      <c r="DR27" s="253"/>
      <c r="DS27" s="253"/>
      <c r="DT27" s="253"/>
      <c r="DU27" s="255">
        <f>100-100</f>
        <v>0</v>
      </c>
      <c r="DV27" s="253"/>
      <c r="DW27" s="253"/>
      <c r="DX27" s="253"/>
      <c r="DY27" s="253"/>
      <c r="DZ27" s="253"/>
      <c r="EA27" s="253"/>
      <c r="EB27" s="255">
        <f>50-50</f>
        <v>0</v>
      </c>
      <c r="EC27" s="253"/>
      <c r="ED27" s="253"/>
      <c r="EE27" s="253"/>
      <c r="EF27" s="253"/>
      <c r="EG27" s="253"/>
      <c r="EH27" s="253"/>
      <c r="EI27" s="253"/>
      <c r="EJ27" s="253"/>
      <c r="EK27" s="255">
        <f>100-100</f>
        <v>0</v>
      </c>
      <c r="EL27" s="253"/>
      <c r="EM27" s="253"/>
      <c r="EN27" s="253"/>
      <c r="EO27" s="253"/>
      <c r="EP27" s="253"/>
      <c r="EQ27" s="253"/>
      <c r="ER27" s="253"/>
      <c r="ES27" s="253"/>
      <c r="ET27" s="253"/>
      <c r="EU27" s="253"/>
      <c r="EV27" s="253"/>
      <c r="EW27" s="253"/>
      <c r="EX27" s="253"/>
      <c r="EY27" s="253"/>
      <c r="EZ27" s="253"/>
      <c r="FA27" s="253"/>
      <c r="FB27" s="253"/>
      <c r="FC27" s="253"/>
      <c r="FD27" s="253"/>
      <c r="FE27" s="253"/>
      <c r="FF27" s="253"/>
      <c r="FG27" s="253"/>
      <c r="FH27" s="253"/>
      <c r="FI27" s="253"/>
      <c r="FJ27" s="253"/>
      <c r="FK27" s="253"/>
      <c r="FL27" s="253"/>
      <c r="FM27" s="253"/>
      <c r="FN27" s="253"/>
      <c r="FO27" s="253"/>
      <c r="FP27" s="256"/>
      <c r="FQ27" s="257" t="s">
        <v>1322</v>
      </c>
      <c r="FR27" s="258" t="s">
        <v>389</v>
      </c>
      <c r="FS27" s="258"/>
      <c r="FT27" s="258" t="s">
        <v>824</v>
      </c>
      <c r="FU27" s="259">
        <f t="shared" si="0"/>
        <v>0</v>
      </c>
      <c r="FV27" s="260" t="s">
        <v>820</v>
      </c>
    </row>
    <row r="28" spans="1:178" s="260" customFormat="1" hidden="1">
      <c r="A28" s="251" t="s">
        <v>393</v>
      </c>
      <c r="B28" s="251" t="s">
        <v>385</v>
      </c>
      <c r="C28" s="251" t="s">
        <v>394</v>
      </c>
      <c r="D28" s="251" t="s">
        <v>1</v>
      </c>
      <c r="E28" s="252" t="s">
        <v>1331</v>
      </c>
      <c r="F28" s="251" t="s">
        <v>388</v>
      </c>
      <c r="G28" s="251"/>
      <c r="H28" s="253"/>
      <c r="I28" s="253"/>
      <c r="J28" s="253"/>
      <c r="K28" s="253"/>
      <c r="L28" s="253"/>
      <c r="M28" s="253"/>
      <c r="N28" s="253"/>
      <c r="O28" s="253"/>
      <c r="P28" s="253"/>
      <c r="Q28" s="253"/>
      <c r="R28" s="253"/>
      <c r="S28" s="253"/>
      <c r="T28" s="253"/>
      <c r="U28" s="253"/>
      <c r="V28" s="253"/>
      <c r="W28" s="253"/>
      <c r="X28" s="253"/>
      <c r="Y28" s="253"/>
      <c r="Z28" s="253"/>
      <c r="AA28" s="253"/>
      <c r="AB28" s="253"/>
      <c r="AC28" s="253"/>
      <c r="AD28" s="253"/>
      <c r="AE28" s="253"/>
      <c r="AF28" s="253"/>
      <c r="AG28" s="253"/>
      <c r="AH28" s="253"/>
      <c r="AI28" s="253"/>
      <c r="AJ28" s="253"/>
      <c r="AK28" s="253"/>
      <c r="AL28" s="253"/>
      <c r="AM28" s="253"/>
      <c r="AN28" s="253"/>
      <c r="AO28" s="253"/>
      <c r="AP28" s="253"/>
      <c r="AQ28" s="253"/>
      <c r="AR28" s="253"/>
      <c r="AS28" s="253"/>
      <c r="AT28" s="253"/>
      <c r="AU28" s="253"/>
      <c r="AV28" s="253"/>
      <c r="AW28" s="253"/>
      <c r="AX28" s="253"/>
      <c r="AY28" s="253"/>
      <c r="AZ28" s="253"/>
      <c r="BA28" s="253"/>
      <c r="BB28" s="253"/>
      <c r="BC28" s="253"/>
      <c r="BD28" s="253"/>
      <c r="BE28" s="253"/>
      <c r="BF28" s="253"/>
      <c r="BG28" s="253"/>
      <c r="BH28" s="253"/>
      <c r="BI28" s="253"/>
      <c r="BJ28" s="253"/>
      <c r="BK28" s="253"/>
      <c r="BL28" s="253"/>
      <c r="BM28" s="253"/>
      <c r="BN28" s="253"/>
      <c r="BO28" s="253"/>
      <c r="BP28" s="253"/>
      <c r="BQ28" s="253"/>
      <c r="BR28" s="253"/>
      <c r="BS28" s="253"/>
      <c r="BT28" s="253"/>
      <c r="BU28" s="253"/>
      <c r="BV28" s="253"/>
      <c r="BW28" s="253"/>
      <c r="BX28" s="253"/>
      <c r="BY28" s="253"/>
      <c r="BZ28" s="253"/>
      <c r="CA28" s="253"/>
      <c r="CB28" s="253"/>
      <c r="CC28" s="253"/>
      <c r="CD28" s="253"/>
      <c r="CE28" s="253"/>
      <c r="CF28" s="253"/>
      <c r="CG28" s="253"/>
      <c r="CH28" s="253"/>
      <c r="CI28" s="253"/>
      <c r="CJ28" s="253"/>
      <c r="CK28" s="253"/>
      <c r="CL28" s="253"/>
      <c r="CM28" s="253"/>
      <c r="CN28" s="253"/>
      <c r="CO28" s="253"/>
      <c r="CP28" s="253"/>
      <c r="CQ28" s="253"/>
      <c r="CR28" s="253"/>
      <c r="CS28" s="253"/>
      <c r="CT28" s="253"/>
      <c r="CU28" s="253"/>
      <c r="CV28" s="253"/>
      <c r="CW28" s="253"/>
      <c r="CX28" s="253"/>
      <c r="CY28" s="253"/>
      <c r="CZ28" s="253"/>
      <c r="DA28" s="253"/>
      <c r="DB28" s="253"/>
      <c r="DC28" s="253"/>
      <c r="DD28" s="253"/>
      <c r="DE28" s="253"/>
      <c r="DF28" s="253"/>
      <c r="DG28" s="253"/>
      <c r="DH28" s="253"/>
      <c r="DI28" s="253"/>
      <c r="DJ28" s="253"/>
      <c r="DK28" s="253"/>
      <c r="DL28" s="253"/>
      <c r="DM28" s="253"/>
      <c r="DN28" s="253"/>
      <c r="DO28" s="253"/>
      <c r="DP28" s="253"/>
      <c r="DQ28" s="253"/>
      <c r="DR28" s="253"/>
      <c r="DS28" s="253"/>
      <c r="DT28" s="253"/>
      <c r="DU28" s="253"/>
      <c r="DV28" s="253"/>
      <c r="DW28" s="253"/>
      <c r="DX28" s="253"/>
      <c r="DY28" s="253"/>
      <c r="DZ28" s="253"/>
      <c r="EA28" s="253"/>
      <c r="EB28" s="253"/>
      <c r="EC28" s="253"/>
      <c r="ED28" s="253"/>
      <c r="EE28" s="253"/>
      <c r="EF28" s="253"/>
      <c r="EG28" s="253"/>
      <c r="EH28" s="253"/>
      <c r="EI28" s="253"/>
      <c r="EJ28" s="253"/>
      <c r="EK28" s="253"/>
      <c r="EL28" s="253"/>
      <c r="EM28" s="253"/>
      <c r="EN28" s="253"/>
      <c r="EO28" s="253"/>
      <c r="EP28" s="253"/>
      <c r="EQ28" s="253"/>
      <c r="ER28" s="253"/>
      <c r="ES28" s="253"/>
      <c r="ET28" s="253"/>
      <c r="EU28" s="253"/>
      <c r="EV28" s="253"/>
      <c r="EW28" s="253"/>
      <c r="EX28" s="253"/>
      <c r="EY28" s="253"/>
      <c r="EZ28" s="253"/>
      <c r="FA28" s="253"/>
      <c r="FB28" s="253"/>
      <c r="FC28" s="254">
        <f>500-500+200</f>
        <v>200</v>
      </c>
      <c r="FD28" s="253"/>
      <c r="FE28" s="253"/>
      <c r="FF28" s="253"/>
      <c r="FG28" s="253"/>
      <c r="FH28" s="253"/>
      <c r="FI28" s="253"/>
      <c r="FJ28" s="253"/>
      <c r="FK28" s="253"/>
      <c r="FL28" s="253"/>
      <c r="FM28" s="253"/>
      <c r="FN28" s="253"/>
      <c r="FO28" s="253"/>
      <c r="FP28" s="256"/>
      <c r="FQ28" s="257" t="s">
        <v>1322</v>
      </c>
      <c r="FR28" s="258" t="s">
        <v>389</v>
      </c>
      <c r="FS28" s="258"/>
      <c r="FT28" s="258" t="s">
        <v>1332</v>
      </c>
      <c r="FU28" s="259">
        <f t="shared" si="0"/>
        <v>200</v>
      </c>
      <c r="FV28" s="260" t="s">
        <v>403</v>
      </c>
    </row>
    <row r="29" spans="1:178" s="260" customFormat="1" hidden="1">
      <c r="A29" s="251" t="s">
        <v>393</v>
      </c>
      <c r="B29" s="251" t="s">
        <v>385</v>
      </c>
      <c r="C29" s="251" t="s">
        <v>394</v>
      </c>
      <c r="D29" s="251" t="s">
        <v>291</v>
      </c>
      <c r="E29" s="252" t="s">
        <v>825</v>
      </c>
      <c r="F29" s="251" t="s">
        <v>388</v>
      </c>
      <c r="G29" s="251"/>
      <c r="H29" s="253"/>
      <c r="I29" s="253"/>
      <c r="J29" s="253"/>
      <c r="K29" s="253"/>
      <c r="L29" s="253"/>
      <c r="M29" s="253"/>
      <c r="N29" s="253"/>
      <c r="O29" s="253"/>
      <c r="P29" s="253"/>
      <c r="Q29" s="253"/>
      <c r="R29" s="253"/>
      <c r="S29" s="253"/>
      <c r="T29" s="253"/>
      <c r="U29" s="253"/>
      <c r="V29" s="253"/>
      <c r="W29" s="253"/>
      <c r="X29" s="253"/>
      <c r="Y29" s="253"/>
      <c r="Z29" s="253"/>
      <c r="AA29" s="253"/>
      <c r="AB29" s="253"/>
      <c r="AC29" s="253"/>
      <c r="AD29" s="253"/>
      <c r="AE29" s="253"/>
      <c r="AF29" s="253"/>
      <c r="AG29" s="253"/>
      <c r="AH29" s="253"/>
      <c r="AI29" s="253"/>
      <c r="AJ29" s="253"/>
      <c r="AK29" s="253"/>
      <c r="AL29" s="253"/>
      <c r="AM29" s="253"/>
      <c r="AN29" s="253"/>
      <c r="AO29" s="253"/>
      <c r="AP29" s="253"/>
      <c r="AQ29" s="253"/>
      <c r="AR29" s="253"/>
      <c r="AS29" s="253"/>
      <c r="AT29" s="253"/>
      <c r="AU29" s="253"/>
      <c r="AV29" s="253"/>
      <c r="AW29" s="253"/>
      <c r="AX29" s="253"/>
      <c r="AY29" s="253"/>
      <c r="AZ29" s="253"/>
      <c r="BA29" s="253"/>
      <c r="BB29" s="253"/>
      <c r="BC29" s="253"/>
      <c r="BD29" s="253"/>
      <c r="BE29" s="253"/>
      <c r="BF29" s="253"/>
      <c r="BG29" s="253"/>
      <c r="BH29" s="253"/>
      <c r="BI29" s="253"/>
      <c r="BJ29" s="253"/>
      <c r="BK29" s="253"/>
      <c r="BL29" s="253"/>
      <c r="BM29" s="253"/>
      <c r="BN29" s="253"/>
      <c r="BO29" s="253"/>
      <c r="BP29" s="253"/>
      <c r="BQ29" s="253"/>
      <c r="BR29" s="253"/>
      <c r="BS29" s="253"/>
      <c r="BT29" s="253"/>
      <c r="BU29" s="253"/>
      <c r="BV29" s="253"/>
      <c r="BW29" s="253"/>
      <c r="BX29" s="253"/>
      <c r="BY29" s="253"/>
      <c r="BZ29" s="253"/>
      <c r="CA29" s="253"/>
      <c r="CB29" s="253"/>
      <c r="CC29" s="253"/>
      <c r="CD29" s="253"/>
      <c r="CE29" s="253"/>
      <c r="CF29" s="253"/>
      <c r="CG29" s="253"/>
      <c r="CH29" s="253"/>
      <c r="CI29" s="253"/>
      <c r="CJ29" s="253"/>
      <c r="CK29" s="253"/>
      <c r="CL29" s="253"/>
      <c r="CM29" s="253"/>
      <c r="CN29" s="253"/>
      <c r="CO29" s="253"/>
      <c r="CP29" s="253"/>
      <c r="CQ29" s="253"/>
      <c r="CR29" s="253"/>
      <c r="CS29" s="253"/>
      <c r="CT29" s="253"/>
      <c r="CU29" s="253"/>
      <c r="CV29" s="253"/>
      <c r="CW29" s="253"/>
      <c r="CX29" s="253"/>
      <c r="CY29" s="253"/>
      <c r="CZ29" s="253"/>
      <c r="DA29" s="253"/>
      <c r="DB29" s="253"/>
      <c r="DC29" s="253"/>
      <c r="DD29" s="253"/>
      <c r="DE29" s="253"/>
      <c r="DF29" s="253"/>
      <c r="DG29" s="253"/>
      <c r="DH29" s="253"/>
      <c r="DI29" s="255">
        <f>20-20</f>
        <v>0</v>
      </c>
      <c r="DJ29" s="253"/>
      <c r="DK29" s="253"/>
      <c r="DL29" s="253"/>
      <c r="DM29" s="253"/>
      <c r="DN29" s="253"/>
      <c r="DO29" s="253"/>
      <c r="DP29" s="253"/>
      <c r="DQ29" s="253"/>
      <c r="DR29" s="253"/>
      <c r="DS29" s="253"/>
      <c r="DT29" s="253"/>
      <c r="DU29" s="253"/>
      <c r="DV29" s="253"/>
      <c r="DW29" s="253"/>
      <c r="DX29" s="253"/>
      <c r="DY29" s="253"/>
      <c r="DZ29" s="253"/>
      <c r="EA29" s="253"/>
      <c r="EB29" s="253"/>
      <c r="EC29" s="253"/>
      <c r="ED29" s="253"/>
      <c r="EE29" s="253"/>
      <c r="EF29" s="253"/>
      <c r="EG29" s="253"/>
      <c r="EH29" s="253"/>
      <c r="EI29" s="253"/>
      <c r="EJ29" s="253"/>
      <c r="EK29" s="253"/>
      <c r="EL29" s="253"/>
      <c r="EM29" s="253"/>
      <c r="EN29" s="253"/>
      <c r="EO29" s="253"/>
      <c r="EP29" s="253"/>
      <c r="EQ29" s="253"/>
      <c r="ER29" s="253"/>
      <c r="ES29" s="253"/>
      <c r="ET29" s="253"/>
      <c r="EU29" s="253"/>
      <c r="EV29" s="253"/>
      <c r="EW29" s="253"/>
      <c r="EX29" s="253"/>
      <c r="EY29" s="253"/>
      <c r="EZ29" s="253"/>
      <c r="FA29" s="253"/>
      <c r="FB29" s="253"/>
      <c r="FC29" s="253"/>
      <c r="FD29" s="253"/>
      <c r="FE29" s="253"/>
      <c r="FF29" s="253"/>
      <c r="FG29" s="253"/>
      <c r="FH29" s="253"/>
      <c r="FI29" s="253"/>
      <c r="FJ29" s="253"/>
      <c r="FK29" s="253"/>
      <c r="FL29" s="253"/>
      <c r="FM29" s="253"/>
      <c r="FN29" s="253"/>
      <c r="FO29" s="253"/>
      <c r="FP29" s="256"/>
      <c r="FQ29" s="257" t="s">
        <v>1322</v>
      </c>
      <c r="FR29" s="258" t="s">
        <v>389</v>
      </c>
      <c r="FS29" s="258"/>
      <c r="FT29" s="258" t="s">
        <v>826</v>
      </c>
      <c r="FU29" s="259">
        <f t="shared" si="0"/>
        <v>0</v>
      </c>
      <c r="FV29" s="260" t="s">
        <v>820</v>
      </c>
    </row>
    <row r="30" spans="1:178" s="260" customFormat="1" hidden="1">
      <c r="A30" s="251" t="s">
        <v>393</v>
      </c>
      <c r="B30" s="251" t="s">
        <v>385</v>
      </c>
      <c r="C30" s="251" t="s">
        <v>394</v>
      </c>
      <c r="D30" s="251" t="s">
        <v>1</v>
      </c>
      <c r="E30" s="252" t="s">
        <v>825</v>
      </c>
      <c r="F30" s="251" t="s">
        <v>388</v>
      </c>
      <c r="G30" s="251"/>
      <c r="H30" s="253"/>
      <c r="I30" s="253"/>
      <c r="J30" s="253"/>
      <c r="K30" s="253"/>
      <c r="L30" s="253"/>
      <c r="M30" s="253"/>
      <c r="N30" s="253"/>
      <c r="O30" s="253"/>
      <c r="P30" s="253"/>
      <c r="Q30" s="253"/>
      <c r="R30" s="253"/>
      <c r="S30" s="253"/>
      <c r="T30" s="253"/>
      <c r="U30" s="253"/>
      <c r="V30" s="253"/>
      <c r="W30" s="253"/>
      <c r="X30" s="253"/>
      <c r="Y30" s="253"/>
      <c r="Z30" s="253"/>
      <c r="AA30" s="253"/>
      <c r="AB30" s="253"/>
      <c r="AC30" s="253"/>
      <c r="AD30" s="253"/>
      <c r="AE30" s="253"/>
      <c r="AF30" s="253"/>
      <c r="AG30" s="253"/>
      <c r="AH30" s="253"/>
      <c r="AI30" s="253"/>
      <c r="AJ30" s="253"/>
      <c r="AK30" s="253"/>
      <c r="AL30" s="253"/>
      <c r="AM30" s="253"/>
      <c r="AN30" s="253"/>
      <c r="AO30" s="253"/>
      <c r="AP30" s="253"/>
      <c r="AQ30" s="253"/>
      <c r="AR30" s="253"/>
      <c r="AS30" s="253"/>
      <c r="AT30" s="253"/>
      <c r="AU30" s="253"/>
      <c r="AV30" s="253"/>
      <c r="AW30" s="253"/>
      <c r="AX30" s="253"/>
      <c r="AY30" s="253"/>
      <c r="AZ30" s="253"/>
      <c r="BA30" s="253"/>
      <c r="BB30" s="253"/>
      <c r="BC30" s="253"/>
      <c r="BD30" s="253"/>
      <c r="BE30" s="253"/>
      <c r="BF30" s="253"/>
      <c r="BG30" s="253"/>
      <c r="BH30" s="253"/>
      <c r="BI30" s="253"/>
      <c r="BJ30" s="253"/>
      <c r="BK30" s="253"/>
      <c r="BL30" s="253"/>
      <c r="BM30" s="253"/>
      <c r="BN30" s="253"/>
      <c r="BO30" s="253"/>
      <c r="BP30" s="253"/>
      <c r="BQ30" s="253"/>
      <c r="BR30" s="253"/>
      <c r="BS30" s="253"/>
      <c r="BT30" s="253"/>
      <c r="BU30" s="253"/>
      <c r="BV30" s="253"/>
      <c r="BW30" s="253"/>
      <c r="BX30" s="253"/>
      <c r="BY30" s="253"/>
      <c r="BZ30" s="253"/>
      <c r="CA30" s="253"/>
      <c r="CB30" s="253"/>
      <c r="CC30" s="253"/>
      <c r="CD30" s="253"/>
      <c r="CE30" s="253"/>
      <c r="CF30" s="253"/>
      <c r="CG30" s="253"/>
      <c r="CH30" s="253"/>
      <c r="CI30" s="253"/>
      <c r="CJ30" s="253"/>
      <c r="CK30" s="253"/>
      <c r="CL30" s="253"/>
      <c r="CM30" s="253"/>
      <c r="CN30" s="253"/>
      <c r="CO30" s="253"/>
      <c r="CP30" s="253"/>
      <c r="CQ30" s="253"/>
      <c r="CR30" s="253"/>
      <c r="CS30" s="253"/>
      <c r="CT30" s="253"/>
      <c r="CU30" s="253"/>
      <c r="CV30" s="253"/>
      <c r="CW30" s="253"/>
      <c r="CX30" s="253"/>
      <c r="CY30" s="253"/>
      <c r="CZ30" s="253"/>
      <c r="DA30" s="253"/>
      <c r="DB30" s="253"/>
      <c r="DC30" s="253"/>
      <c r="DD30" s="253"/>
      <c r="DE30" s="253"/>
      <c r="DF30" s="253"/>
      <c r="DG30" s="253"/>
      <c r="DH30" s="253"/>
      <c r="DI30" s="253"/>
      <c r="DJ30" s="253"/>
      <c r="DK30" s="253"/>
      <c r="DL30" s="253"/>
      <c r="DM30" s="253"/>
      <c r="DN30" s="253"/>
      <c r="DO30" s="253"/>
      <c r="DP30" s="253"/>
      <c r="DQ30" s="253"/>
      <c r="DR30" s="253"/>
      <c r="DS30" s="253"/>
      <c r="DT30" s="253"/>
      <c r="DU30" s="255">
        <f>20-20</f>
        <v>0</v>
      </c>
      <c r="DV30" s="253"/>
      <c r="DW30" s="253"/>
      <c r="DX30" s="253"/>
      <c r="DY30" s="253"/>
      <c r="DZ30" s="253"/>
      <c r="EA30" s="253"/>
      <c r="EB30" s="255">
        <f>20-20</f>
        <v>0</v>
      </c>
      <c r="EC30" s="253"/>
      <c r="ED30" s="253"/>
      <c r="EE30" s="253"/>
      <c r="EF30" s="253"/>
      <c r="EG30" s="253"/>
      <c r="EH30" s="253"/>
      <c r="EI30" s="253"/>
      <c r="EJ30" s="253"/>
      <c r="EK30" s="253"/>
      <c r="EL30" s="253"/>
      <c r="EM30" s="253"/>
      <c r="EN30" s="253"/>
      <c r="EO30" s="253"/>
      <c r="EP30" s="253"/>
      <c r="EQ30" s="253"/>
      <c r="ER30" s="253"/>
      <c r="ES30" s="253"/>
      <c r="ET30" s="253"/>
      <c r="EU30" s="253"/>
      <c r="EV30" s="253"/>
      <c r="EW30" s="253"/>
      <c r="EX30" s="253"/>
      <c r="EY30" s="253"/>
      <c r="EZ30" s="253"/>
      <c r="FA30" s="253"/>
      <c r="FB30" s="253"/>
      <c r="FC30" s="253"/>
      <c r="FD30" s="253"/>
      <c r="FE30" s="253"/>
      <c r="FF30" s="253"/>
      <c r="FG30" s="253"/>
      <c r="FH30" s="253"/>
      <c r="FI30" s="253"/>
      <c r="FJ30" s="253"/>
      <c r="FK30" s="253"/>
      <c r="FL30" s="253"/>
      <c r="FM30" s="253"/>
      <c r="FN30" s="253"/>
      <c r="FO30" s="253"/>
      <c r="FP30" s="256"/>
      <c r="FQ30" s="257" t="s">
        <v>1322</v>
      </c>
      <c r="FR30" s="258" t="s">
        <v>389</v>
      </c>
      <c r="FS30" s="258"/>
      <c r="FT30" s="258" t="s">
        <v>826</v>
      </c>
      <c r="FU30" s="259">
        <f t="shared" si="0"/>
        <v>0</v>
      </c>
      <c r="FV30" s="260" t="s">
        <v>820</v>
      </c>
    </row>
    <row r="31" spans="1:178" s="260" customFormat="1" hidden="1">
      <c r="A31" s="251" t="s">
        <v>393</v>
      </c>
      <c r="B31" s="251" t="s">
        <v>385</v>
      </c>
      <c r="C31" s="251" t="s">
        <v>394</v>
      </c>
      <c r="D31" s="251" t="s">
        <v>291</v>
      </c>
      <c r="E31" s="252" t="s">
        <v>827</v>
      </c>
      <c r="F31" s="251" t="s">
        <v>388</v>
      </c>
      <c r="G31" s="251" t="s">
        <v>1333</v>
      </c>
      <c r="H31" s="253"/>
      <c r="I31" s="253"/>
      <c r="J31" s="253"/>
      <c r="K31" s="253"/>
      <c r="L31" s="253"/>
      <c r="M31" s="253"/>
      <c r="N31" s="253"/>
      <c r="O31" s="253"/>
      <c r="P31" s="253"/>
      <c r="Q31" s="253"/>
      <c r="R31" s="253"/>
      <c r="S31" s="253"/>
      <c r="T31" s="253"/>
      <c r="U31" s="253"/>
      <c r="V31" s="253"/>
      <c r="W31" s="253"/>
      <c r="X31" s="253"/>
      <c r="Y31" s="253"/>
      <c r="Z31" s="253"/>
      <c r="AA31" s="253"/>
      <c r="AB31" s="253"/>
      <c r="AC31" s="253"/>
      <c r="AD31" s="253"/>
      <c r="AE31" s="253"/>
      <c r="AF31" s="253"/>
      <c r="AG31" s="253"/>
      <c r="AH31" s="253"/>
      <c r="AI31" s="253"/>
      <c r="AJ31" s="253"/>
      <c r="AK31" s="253"/>
      <c r="AL31" s="253"/>
      <c r="AM31" s="253"/>
      <c r="AN31" s="253"/>
      <c r="AO31" s="253"/>
      <c r="AP31" s="253"/>
      <c r="AQ31" s="253"/>
      <c r="AR31" s="253"/>
      <c r="AS31" s="253"/>
      <c r="AT31" s="253"/>
      <c r="AU31" s="253"/>
      <c r="AV31" s="253"/>
      <c r="AW31" s="253"/>
      <c r="AX31" s="253"/>
      <c r="AY31" s="253"/>
      <c r="AZ31" s="253"/>
      <c r="BA31" s="253"/>
      <c r="BB31" s="253"/>
      <c r="BC31" s="253"/>
      <c r="BD31" s="253"/>
      <c r="BE31" s="253"/>
      <c r="BF31" s="253"/>
      <c r="BG31" s="253"/>
      <c r="BH31" s="253"/>
      <c r="BI31" s="253"/>
      <c r="BJ31" s="253"/>
      <c r="BK31" s="253"/>
      <c r="BL31" s="253"/>
      <c r="BM31" s="253"/>
      <c r="BN31" s="253"/>
      <c r="BO31" s="253"/>
      <c r="BP31" s="253"/>
      <c r="BQ31" s="253"/>
      <c r="BR31" s="253"/>
      <c r="BS31" s="253"/>
      <c r="BT31" s="253"/>
      <c r="BU31" s="253"/>
      <c r="BV31" s="253"/>
      <c r="BW31" s="253"/>
      <c r="BX31" s="253"/>
      <c r="BY31" s="253"/>
      <c r="BZ31" s="253"/>
      <c r="CA31" s="253"/>
      <c r="CB31" s="253"/>
      <c r="CC31" s="253"/>
      <c r="CD31" s="253"/>
      <c r="CE31" s="253"/>
      <c r="CF31" s="253"/>
      <c r="CG31" s="253"/>
      <c r="CH31" s="253"/>
      <c r="CI31" s="253"/>
      <c r="CJ31" s="253"/>
      <c r="CK31" s="253"/>
      <c r="CL31" s="253"/>
      <c r="CM31" s="253"/>
      <c r="CN31" s="253"/>
      <c r="CO31" s="253"/>
      <c r="CP31" s="253"/>
      <c r="CQ31" s="253"/>
      <c r="CR31" s="253"/>
      <c r="CS31" s="253"/>
      <c r="CT31" s="253"/>
      <c r="CU31" s="253"/>
      <c r="CV31" s="253"/>
      <c r="CW31" s="253"/>
      <c r="CX31" s="253"/>
      <c r="CY31" s="253"/>
      <c r="CZ31" s="253"/>
      <c r="DA31" s="253"/>
      <c r="DB31" s="253"/>
      <c r="DC31" s="253"/>
      <c r="DD31" s="253"/>
      <c r="DE31" s="253"/>
      <c r="DF31" s="253"/>
      <c r="DG31" s="253"/>
      <c r="DH31" s="253"/>
      <c r="DI31" s="253"/>
      <c r="DJ31" s="253"/>
      <c r="DK31" s="253"/>
      <c r="DL31" s="253"/>
      <c r="DM31" s="253"/>
      <c r="DN31" s="253"/>
      <c r="DO31" s="253"/>
      <c r="DP31" s="253"/>
      <c r="DQ31" s="253"/>
      <c r="DR31" s="253"/>
      <c r="DS31" s="253"/>
      <c r="DT31" s="255">
        <f>1000-1000</f>
        <v>0</v>
      </c>
      <c r="DU31" s="253"/>
      <c r="DV31" s="253"/>
      <c r="DW31" s="255">
        <f>1000-1000</f>
        <v>0</v>
      </c>
      <c r="DX31" s="253"/>
      <c r="DY31" s="253"/>
      <c r="DZ31" s="253"/>
      <c r="EA31" s="253"/>
      <c r="EB31" s="253"/>
      <c r="EC31" s="253"/>
      <c r="ED31" s="253"/>
      <c r="EE31" s="253"/>
      <c r="EF31" s="255">
        <f>1000-1000</f>
        <v>0</v>
      </c>
      <c r="EG31" s="253"/>
      <c r="EH31" s="253"/>
      <c r="EI31" s="253"/>
      <c r="EJ31" s="253"/>
      <c r="EK31" s="253"/>
      <c r="EL31" s="253"/>
      <c r="EM31" s="253"/>
      <c r="EN31" s="253"/>
      <c r="EO31" s="253"/>
      <c r="EP31" s="253"/>
      <c r="EQ31" s="253"/>
      <c r="ER31" s="253"/>
      <c r="ES31" s="253"/>
      <c r="ET31" s="253"/>
      <c r="EU31" s="253"/>
      <c r="EV31" s="253"/>
      <c r="EW31" s="253"/>
      <c r="EX31" s="253"/>
      <c r="EY31" s="253"/>
      <c r="EZ31" s="253"/>
      <c r="FA31" s="253"/>
      <c r="FB31" s="253"/>
      <c r="FC31" s="253"/>
      <c r="FD31" s="253"/>
      <c r="FE31" s="253"/>
      <c r="FF31" s="253"/>
      <c r="FG31" s="253"/>
      <c r="FH31" s="253"/>
      <c r="FI31" s="253"/>
      <c r="FJ31" s="253"/>
      <c r="FK31" s="253"/>
      <c r="FL31" s="253"/>
      <c r="FM31" s="253"/>
      <c r="FN31" s="253"/>
      <c r="FO31" s="253"/>
      <c r="FP31" s="256"/>
      <c r="FQ31" s="257" t="s">
        <v>1322</v>
      </c>
      <c r="FR31" s="258" t="s">
        <v>389</v>
      </c>
      <c r="FS31" s="258" t="s">
        <v>828</v>
      </c>
      <c r="FT31" s="258" t="s">
        <v>397</v>
      </c>
      <c r="FU31" s="259">
        <f t="shared" si="0"/>
        <v>0</v>
      </c>
      <c r="FV31" s="260" t="s">
        <v>398</v>
      </c>
    </row>
    <row r="32" spans="1:178" s="260" customFormat="1" hidden="1">
      <c r="A32" s="251" t="s">
        <v>393</v>
      </c>
      <c r="B32" s="251" t="s">
        <v>385</v>
      </c>
      <c r="C32" s="251" t="s">
        <v>394</v>
      </c>
      <c r="D32" s="251" t="s">
        <v>1</v>
      </c>
      <c r="E32" s="252" t="s">
        <v>827</v>
      </c>
      <c r="F32" s="251" t="s">
        <v>388</v>
      </c>
      <c r="G32" s="251" t="s">
        <v>1333</v>
      </c>
      <c r="H32" s="253"/>
      <c r="I32" s="253"/>
      <c r="J32" s="253"/>
      <c r="K32" s="253"/>
      <c r="L32" s="253"/>
      <c r="M32" s="253"/>
      <c r="N32" s="253"/>
      <c r="O32" s="253"/>
      <c r="P32" s="253"/>
      <c r="Q32" s="253"/>
      <c r="R32" s="253"/>
      <c r="S32" s="253"/>
      <c r="T32" s="253"/>
      <c r="U32" s="253"/>
      <c r="V32" s="253"/>
      <c r="W32" s="253"/>
      <c r="X32" s="253"/>
      <c r="Y32" s="253"/>
      <c r="Z32" s="253"/>
      <c r="AA32" s="255">
        <f>500-500</f>
        <v>0</v>
      </c>
      <c r="AB32" s="255">
        <f>500-500</f>
        <v>0</v>
      </c>
      <c r="AC32" s="253"/>
      <c r="AD32" s="253"/>
      <c r="AE32" s="253"/>
      <c r="AF32" s="255">
        <f>500-500</f>
        <v>0</v>
      </c>
      <c r="AG32" s="255">
        <f>500-500</f>
        <v>0</v>
      </c>
      <c r="AH32" s="253"/>
      <c r="AI32" s="255">
        <f>500-500</f>
        <v>0</v>
      </c>
      <c r="AJ32" s="255">
        <f>500-500</f>
        <v>0</v>
      </c>
      <c r="AK32" s="253"/>
      <c r="AL32" s="255">
        <f>500-500</f>
        <v>0</v>
      </c>
      <c r="AM32" s="253"/>
      <c r="AN32" s="253"/>
      <c r="AO32" s="253"/>
      <c r="AP32" s="255">
        <f>500-500</f>
        <v>0</v>
      </c>
      <c r="AQ32" s="253"/>
      <c r="AR32" s="253"/>
      <c r="AS32" s="253"/>
      <c r="AT32" s="253"/>
      <c r="AU32" s="253"/>
      <c r="AV32" s="253"/>
      <c r="AW32" s="253"/>
      <c r="AX32" s="253"/>
      <c r="AY32" s="253"/>
      <c r="AZ32" s="253"/>
      <c r="BA32" s="253"/>
      <c r="BB32" s="253"/>
      <c r="BC32" s="253"/>
      <c r="BD32" s="253"/>
      <c r="BE32" s="253"/>
      <c r="BF32" s="253"/>
      <c r="BG32" s="253"/>
      <c r="BH32" s="253"/>
      <c r="BI32" s="253"/>
      <c r="BJ32" s="253"/>
      <c r="BK32" s="253"/>
      <c r="BL32" s="253"/>
      <c r="BM32" s="253"/>
      <c r="BN32" s="253"/>
      <c r="BO32" s="253"/>
      <c r="BP32" s="253"/>
      <c r="BQ32" s="253"/>
      <c r="BR32" s="253"/>
      <c r="BS32" s="253"/>
      <c r="BT32" s="253"/>
      <c r="BU32" s="253"/>
      <c r="BV32" s="253"/>
      <c r="BW32" s="253"/>
      <c r="BX32" s="253"/>
      <c r="BY32" s="253"/>
      <c r="BZ32" s="253"/>
      <c r="CA32" s="253"/>
      <c r="CB32" s="253"/>
      <c r="CC32" s="253"/>
      <c r="CD32" s="253"/>
      <c r="CE32" s="253"/>
      <c r="CF32" s="253"/>
      <c r="CG32" s="253"/>
      <c r="CH32" s="253"/>
      <c r="CI32" s="253"/>
      <c r="CJ32" s="253"/>
      <c r="CK32" s="253"/>
      <c r="CL32" s="253"/>
      <c r="CM32" s="253"/>
      <c r="CN32" s="253"/>
      <c r="CO32" s="253"/>
      <c r="CP32" s="253"/>
      <c r="CQ32" s="253"/>
      <c r="CR32" s="253"/>
      <c r="CS32" s="253"/>
      <c r="CT32" s="253"/>
      <c r="CU32" s="253"/>
      <c r="CV32" s="253"/>
      <c r="CW32" s="253"/>
      <c r="CX32" s="253"/>
      <c r="CY32" s="253"/>
      <c r="CZ32" s="253"/>
      <c r="DA32" s="253"/>
      <c r="DB32" s="253"/>
      <c r="DC32" s="253"/>
      <c r="DD32" s="253"/>
      <c r="DE32" s="253"/>
      <c r="DF32" s="253"/>
      <c r="DG32" s="253"/>
      <c r="DH32" s="253"/>
      <c r="DI32" s="253"/>
      <c r="DJ32" s="253"/>
      <c r="DK32" s="253"/>
      <c r="DL32" s="253"/>
      <c r="DM32" s="253"/>
      <c r="DN32" s="253"/>
      <c r="DO32" s="253"/>
      <c r="DP32" s="253"/>
      <c r="DQ32" s="253"/>
      <c r="DR32" s="253"/>
      <c r="DS32" s="253"/>
      <c r="DT32" s="253"/>
      <c r="DU32" s="253"/>
      <c r="DV32" s="253"/>
      <c r="DW32" s="253"/>
      <c r="DX32" s="253"/>
      <c r="DY32" s="253"/>
      <c r="DZ32" s="253"/>
      <c r="EA32" s="253"/>
      <c r="EB32" s="255">
        <f>1000-1000</f>
        <v>0</v>
      </c>
      <c r="EC32" s="253"/>
      <c r="ED32" s="253"/>
      <c r="EE32" s="253"/>
      <c r="EF32" s="253"/>
      <c r="EG32" s="253"/>
      <c r="EH32" s="253"/>
      <c r="EI32" s="255">
        <f>1000-1000</f>
        <v>0</v>
      </c>
      <c r="EJ32" s="253"/>
      <c r="EK32" s="255">
        <f>1000-1000</f>
        <v>0</v>
      </c>
      <c r="EL32" s="253"/>
      <c r="EM32" s="253"/>
      <c r="EN32" s="253"/>
      <c r="EO32" s="253"/>
      <c r="EP32" s="253"/>
      <c r="EQ32" s="253"/>
      <c r="ER32" s="253"/>
      <c r="ES32" s="253"/>
      <c r="ET32" s="253"/>
      <c r="EU32" s="253"/>
      <c r="EV32" s="253"/>
      <c r="EW32" s="255">
        <f>500-500</f>
        <v>0</v>
      </c>
      <c r="EX32" s="253"/>
      <c r="EY32" s="253"/>
      <c r="EZ32" s="253"/>
      <c r="FA32" s="253"/>
      <c r="FB32" s="253"/>
      <c r="FC32" s="254">
        <f>200-200+80</f>
        <v>80</v>
      </c>
      <c r="FD32" s="253"/>
      <c r="FE32" s="253"/>
      <c r="FF32" s="253"/>
      <c r="FG32" s="253"/>
      <c r="FH32" s="253"/>
      <c r="FI32" s="253"/>
      <c r="FJ32" s="253"/>
      <c r="FK32" s="253"/>
      <c r="FL32" s="253"/>
      <c r="FM32" s="253"/>
      <c r="FN32" s="253"/>
      <c r="FO32" s="253"/>
      <c r="FP32" s="256"/>
      <c r="FQ32" s="257" t="s">
        <v>1322</v>
      </c>
      <c r="FR32" s="258" t="s">
        <v>389</v>
      </c>
      <c r="FS32" s="258" t="s">
        <v>828</v>
      </c>
      <c r="FT32" s="258" t="s">
        <v>397</v>
      </c>
      <c r="FU32" s="259">
        <f t="shared" si="0"/>
        <v>80</v>
      </c>
      <c r="FV32" s="260" t="s">
        <v>398</v>
      </c>
    </row>
    <row r="33" spans="1:178" s="260" customFormat="1" hidden="1">
      <c r="A33" s="251" t="s">
        <v>417</v>
      </c>
      <c r="B33" s="251" t="s">
        <v>385</v>
      </c>
      <c r="C33" s="251" t="s">
        <v>394</v>
      </c>
      <c r="D33" s="251" t="s">
        <v>291</v>
      </c>
      <c r="E33" s="252" t="s">
        <v>829</v>
      </c>
      <c r="F33" s="251" t="s">
        <v>388</v>
      </c>
      <c r="G33" s="251"/>
      <c r="H33" s="253"/>
      <c r="I33" s="253"/>
      <c r="J33" s="253"/>
      <c r="K33" s="253"/>
      <c r="L33" s="253"/>
      <c r="M33" s="253"/>
      <c r="N33" s="253"/>
      <c r="O33" s="253"/>
      <c r="P33" s="253"/>
      <c r="Q33" s="253"/>
      <c r="R33" s="253"/>
      <c r="S33" s="253"/>
      <c r="T33" s="253"/>
      <c r="U33" s="253"/>
      <c r="V33" s="253"/>
      <c r="W33" s="253"/>
      <c r="X33" s="253"/>
      <c r="Y33" s="253"/>
      <c r="Z33" s="253"/>
      <c r="AA33" s="253"/>
      <c r="AB33" s="253"/>
      <c r="AC33" s="253"/>
      <c r="AD33" s="253"/>
      <c r="AE33" s="253"/>
      <c r="AF33" s="253"/>
      <c r="AG33" s="253"/>
      <c r="AH33" s="253"/>
      <c r="AI33" s="253"/>
      <c r="AJ33" s="253"/>
      <c r="AK33" s="253"/>
      <c r="AL33" s="253"/>
      <c r="AM33" s="253"/>
      <c r="AN33" s="253"/>
      <c r="AO33" s="253"/>
      <c r="AP33" s="253"/>
      <c r="AQ33" s="253"/>
      <c r="AR33" s="253"/>
      <c r="AS33" s="253"/>
      <c r="AT33" s="253"/>
      <c r="AU33" s="253"/>
      <c r="AV33" s="253"/>
      <c r="AW33" s="253"/>
      <c r="AX33" s="253"/>
      <c r="AY33" s="253"/>
      <c r="AZ33" s="253"/>
      <c r="BA33" s="253"/>
      <c r="BB33" s="253"/>
      <c r="BC33" s="253"/>
      <c r="BD33" s="253"/>
      <c r="BE33" s="253"/>
      <c r="BF33" s="253"/>
      <c r="BG33" s="253"/>
      <c r="BH33" s="253"/>
      <c r="BI33" s="253"/>
      <c r="BJ33" s="253"/>
      <c r="BK33" s="253"/>
      <c r="BL33" s="253"/>
      <c r="BM33" s="253"/>
      <c r="BN33" s="253"/>
      <c r="BO33" s="253"/>
      <c r="BP33" s="253"/>
      <c r="BQ33" s="253"/>
      <c r="BR33" s="253"/>
      <c r="BS33" s="253"/>
      <c r="BT33" s="253"/>
      <c r="BU33" s="253"/>
      <c r="BV33" s="253"/>
      <c r="BW33" s="253"/>
      <c r="BX33" s="253"/>
      <c r="BY33" s="253"/>
      <c r="BZ33" s="253"/>
      <c r="CA33" s="253"/>
      <c r="CB33" s="253"/>
      <c r="CC33" s="253"/>
      <c r="CD33" s="253"/>
      <c r="CE33" s="253"/>
      <c r="CF33" s="253"/>
      <c r="CG33" s="253"/>
      <c r="CH33" s="253"/>
      <c r="CI33" s="253"/>
      <c r="CJ33" s="253"/>
      <c r="CK33" s="253"/>
      <c r="CL33" s="253"/>
      <c r="CM33" s="253"/>
      <c r="CN33" s="253"/>
      <c r="CO33" s="253"/>
      <c r="CP33" s="253"/>
      <c r="CQ33" s="253"/>
      <c r="CR33" s="253"/>
      <c r="CS33" s="253"/>
      <c r="CT33" s="253"/>
      <c r="CU33" s="253"/>
      <c r="CV33" s="253"/>
      <c r="CW33" s="253"/>
      <c r="CX33" s="253"/>
      <c r="CY33" s="253"/>
      <c r="CZ33" s="253"/>
      <c r="DA33" s="253"/>
      <c r="DB33" s="253"/>
      <c r="DC33" s="253"/>
      <c r="DD33" s="253"/>
      <c r="DE33" s="253"/>
      <c r="DF33" s="253"/>
      <c r="DG33" s="253"/>
      <c r="DH33" s="253"/>
      <c r="DI33" s="255">
        <f>200-200</f>
        <v>0</v>
      </c>
      <c r="DJ33" s="253"/>
      <c r="DK33" s="253"/>
      <c r="DL33" s="253"/>
      <c r="DM33" s="253"/>
      <c r="DN33" s="253"/>
      <c r="DO33" s="253"/>
      <c r="DP33" s="253"/>
      <c r="DQ33" s="253"/>
      <c r="DR33" s="253"/>
      <c r="DS33" s="253"/>
      <c r="DT33" s="253"/>
      <c r="DU33" s="253"/>
      <c r="DV33" s="253"/>
      <c r="DW33" s="253"/>
      <c r="DX33" s="253"/>
      <c r="DY33" s="253"/>
      <c r="DZ33" s="253"/>
      <c r="EA33" s="253"/>
      <c r="EB33" s="253"/>
      <c r="EC33" s="253"/>
      <c r="ED33" s="253"/>
      <c r="EE33" s="253"/>
      <c r="EF33" s="255">
        <f>50-50</f>
        <v>0</v>
      </c>
      <c r="EG33" s="253"/>
      <c r="EH33" s="253"/>
      <c r="EI33" s="253"/>
      <c r="EJ33" s="255">
        <f>100-100</f>
        <v>0</v>
      </c>
      <c r="EK33" s="253"/>
      <c r="EL33" s="253"/>
      <c r="EM33" s="253"/>
      <c r="EN33" s="253"/>
      <c r="EO33" s="253"/>
      <c r="EP33" s="253"/>
      <c r="EQ33" s="253"/>
      <c r="ER33" s="253"/>
      <c r="ES33" s="253"/>
      <c r="ET33" s="253"/>
      <c r="EU33" s="253"/>
      <c r="EV33" s="253"/>
      <c r="EW33" s="253"/>
      <c r="EX33" s="253"/>
      <c r="EY33" s="253"/>
      <c r="EZ33" s="253"/>
      <c r="FA33" s="253"/>
      <c r="FB33" s="253"/>
      <c r="FC33" s="253"/>
      <c r="FD33" s="253"/>
      <c r="FE33" s="253"/>
      <c r="FF33" s="253"/>
      <c r="FG33" s="253"/>
      <c r="FH33" s="253"/>
      <c r="FI33" s="253"/>
      <c r="FJ33" s="253"/>
      <c r="FK33" s="253"/>
      <c r="FL33" s="253"/>
      <c r="FM33" s="253"/>
      <c r="FN33" s="253"/>
      <c r="FO33" s="253"/>
      <c r="FP33" s="256"/>
      <c r="FQ33" s="257" t="s">
        <v>1322</v>
      </c>
      <c r="FR33" s="258" t="s">
        <v>389</v>
      </c>
      <c r="FS33" s="258"/>
      <c r="FT33" s="258" t="s">
        <v>824</v>
      </c>
      <c r="FU33" s="259">
        <f t="shared" si="0"/>
        <v>0</v>
      </c>
      <c r="FV33" s="260" t="s">
        <v>820</v>
      </c>
    </row>
    <row r="34" spans="1:178" s="260" customFormat="1" hidden="1">
      <c r="A34" s="251" t="s">
        <v>417</v>
      </c>
      <c r="B34" s="251" t="s">
        <v>385</v>
      </c>
      <c r="C34" s="251" t="s">
        <v>394</v>
      </c>
      <c r="D34" s="251" t="s">
        <v>1</v>
      </c>
      <c r="E34" s="252" t="s">
        <v>829</v>
      </c>
      <c r="F34" s="251" t="s">
        <v>388</v>
      </c>
      <c r="G34" s="251"/>
      <c r="H34" s="253"/>
      <c r="I34" s="253"/>
      <c r="J34" s="253"/>
      <c r="K34" s="253"/>
      <c r="L34" s="253"/>
      <c r="M34" s="253"/>
      <c r="N34" s="253"/>
      <c r="O34" s="253"/>
      <c r="P34" s="253"/>
      <c r="Q34" s="253"/>
      <c r="R34" s="253"/>
      <c r="S34" s="253"/>
      <c r="T34" s="253"/>
      <c r="U34" s="253"/>
      <c r="V34" s="253"/>
      <c r="W34" s="253"/>
      <c r="X34" s="253"/>
      <c r="Y34" s="253"/>
      <c r="Z34" s="253"/>
      <c r="AA34" s="253"/>
      <c r="AB34" s="253"/>
      <c r="AC34" s="253"/>
      <c r="AD34" s="253"/>
      <c r="AE34" s="253"/>
      <c r="AF34" s="253"/>
      <c r="AG34" s="253"/>
      <c r="AH34" s="253"/>
      <c r="AI34" s="253"/>
      <c r="AJ34" s="253"/>
      <c r="AK34" s="253"/>
      <c r="AL34" s="253"/>
      <c r="AM34" s="253"/>
      <c r="AN34" s="253"/>
      <c r="AO34" s="253"/>
      <c r="AP34" s="253"/>
      <c r="AQ34" s="253"/>
      <c r="AR34" s="253"/>
      <c r="AS34" s="253"/>
      <c r="AT34" s="253"/>
      <c r="AU34" s="253"/>
      <c r="AV34" s="253"/>
      <c r="AW34" s="253"/>
      <c r="AX34" s="253"/>
      <c r="AY34" s="253"/>
      <c r="AZ34" s="253"/>
      <c r="BA34" s="253"/>
      <c r="BB34" s="253"/>
      <c r="BC34" s="253"/>
      <c r="BD34" s="253"/>
      <c r="BE34" s="253"/>
      <c r="BF34" s="253"/>
      <c r="BG34" s="253"/>
      <c r="BH34" s="253"/>
      <c r="BI34" s="253"/>
      <c r="BJ34" s="253"/>
      <c r="BK34" s="253"/>
      <c r="BL34" s="253"/>
      <c r="BM34" s="253"/>
      <c r="BN34" s="253"/>
      <c r="BO34" s="253"/>
      <c r="BP34" s="253"/>
      <c r="BQ34" s="253"/>
      <c r="BR34" s="253"/>
      <c r="BS34" s="253"/>
      <c r="BT34" s="253"/>
      <c r="BU34" s="253"/>
      <c r="BV34" s="253"/>
      <c r="BW34" s="253"/>
      <c r="BX34" s="253"/>
      <c r="BY34" s="253"/>
      <c r="BZ34" s="253"/>
      <c r="CA34" s="253"/>
      <c r="CB34" s="253"/>
      <c r="CC34" s="253"/>
      <c r="CD34" s="253"/>
      <c r="CE34" s="253"/>
      <c r="CF34" s="253"/>
      <c r="CG34" s="253"/>
      <c r="CH34" s="253"/>
      <c r="CI34" s="253"/>
      <c r="CJ34" s="253"/>
      <c r="CK34" s="253"/>
      <c r="CL34" s="253"/>
      <c r="CM34" s="253"/>
      <c r="CN34" s="253"/>
      <c r="CO34" s="253"/>
      <c r="CP34" s="253"/>
      <c r="CQ34" s="253"/>
      <c r="CR34" s="253"/>
      <c r="CS34" s="253"/>
      <c r="CT34" s="253"/>
      <c r="CU34" s="253"/>
      <c r="CV34" s="253"/>
      <c r="CW34" s="253"/>
      <c r="CX34" s="253"/>
      <c r="CY34" s="253"/>
      <c r="CZ34" s="253"/>
      <c r="DA34" s="253"/>
      <c r="DB34" s="253"/>
      <c r="DC34" s="253"/>
      <c r="DD34" s="253"/>
      <c r="DE34" s="253"/>
      <c r="DF34" s="253"/>
      <c r="DG34" s="253"/>
      <c r="DH34" s="253"/>
      <c r="DI34" s="253"/>
      <c r="DJ34" s="253"/>
      <c r="DK34" s="253"/>
      <c r="DL34" s="253"/>
      <c r="DM34" s="253"/>
      <c r="DN34" s="253"/>
      <c r="DO34" s="253"/>
      <c r="DP34" s="253"/>
      <c r="DQ34" s="253"/>
      <c r="DR34" s="253"/>
      <c r="DS34" s="253"/>
      <c r="DT34" s="253"/>
      <c r="DU34" s="255">
        <f>150-150</f>
        <v>0</v>
      </c>
      <c r="DV34" s="253"/>
      <c r="DW34" s="253"/>
      <c r="DX34" s="253"/>
      <c r="DY34" s="253"/>
      <c r="DZ34" s="253"/>
      <c r="EA34" s="253"/>
      <c r="EB34" s="255">
        <f>100-100</f>
        <v>0</v>
      </c>
      <c r="EC34" s="253"/>
      <c r="ED34" s="253"/>
      <c r="EE34" s="253"/>
      <c r="EF34" s="253"/>
      <c r="EG34" s="253"/>
      <c r="EH34" s="253"/>
      <c r="EI34" s="253"/>
      <c r="EJ34" s="253"/>
      <c r="EK34" s="255">
        <f>100-100</f>
        <v>0</v>
      </c>
      <c r="EL34" s="253"/>
      <c r="EM34" s="253"/>
      <c r="EN34" s="253"/>
      <c r="EO34" s="253"/>
      <c r="EP34" s="253"/>
      <c r="EQ34" s="253"/>
      <c r="ER34" s="253"/>
      <c r="ES34" s="253"/>
      <c r="ET34" s="253"/>
      <c r="EU34" s="253"/>
      <c r="EV34" s="253"/>
      <c r="EW34" s="253"/>
      <c r="EX34" s="253"/>
      <c r="EY34" s="253"/>
      <c r="EZ34" s="253"/>
      <c r="FA34" s="253"/>
      <c r="FB34" s="253"/>
      <c r="FC34" s="253"/>
      <c r="FD34" s="253"/>
      <c r="FE34" s="253"/>
      <c r="FF34" s="253"/>
      <c r="FG34" s="253"/>
      <c r="FH34" s="253"/>
      <c r="FI34" s="253"/>
      <c r="FJ34" s="253"/>
      <c r="FK34" s="253"/>
      <c r="FL34" s="253"/>
      <c r="FM34" s="253"/>
      <c r="FN34" s="253"/>
      <c r="FO34" s="253"/>
      <c r="FP34" s="256"/>
      <c r="FQ34" s="257" t="s">
        <v>1322</v>
      </c>
      <c r="FR34" s="258" t="s">
        <v>389</v>
      </c>
      <c r="FS34" s="258"/>
      <c r="FT34" s="258" t="s">
        <v>824</v>
      </c>
      <c r="FU34" s="259">
        <f t="shared" si="0"/>
        <v>0</v>
      </c>
      <c r="FV34" s="260" t="s">
        <v>820</v>
      </c>
    </row>
    <row r="35" spans="1:178" s="260" customFormat="1" hidden="1">
      <c r="A35" s="251" t="s">
        <v>385</v>
      </c>
      <c r="B35" s="251" t="s">
        <v>385</v>
      </c>
      <c r="C35" s="251" t="s">
        <v>394</v>
      </c>
      <c r="D35" s="251" t="s">
        <v>291</v>
      </c>
      <c r="E35" s="252" t="s">
        <v>404</v>
      </c>
      <c r="F35" s="251" t="s">
        <v>388</v>
      </c>
      <c r="G35" s="251"/>
      <c r="H35" s="253"/>
      <c r="I35" s="253"/>
      <c r="J35" s="253"/>
      <c r="K35" s="253"/>
      <c r="L35" s="253"/>
      <c r="M35" s="253"/>
      <c r="N35" s="253"/>
      <c r="O35" s="253"/>
      <c r="P35" s="253"/>
      <c r="Q35" s="253"/>
      <c r="R35" s="253"/>
      <c r="S35" s="253"/>
      <c r="T35" s="253"/>
      <c r="U35" s="253"/>
      <c r="V35" s="253"/>
      <c r="W35" s="253"/>
      <c r="X35" s="253"/>
      <c r="Y35" s="253"/>
      <c r="Z35" s="253"/>
      <c r="AA35" s="253"/>
      <c r="AB35" s="253"/>
      <c r="AC35" s="253"/>
      <c r="AD35" s="253"/>
      <c r="AE35" s="253"/>
      <c r="AF35" s="253"/>
      <c r="AG35" s="253"/>
      <c r="AH35" s="253"/>
      <c r="AI35" s="253"/>
      <c r="AJ35" s="253"/>
      <c r="AK35" s="253"/>
      <c r="AL35" s="253"/>
      <c r="AM35" s="253"/>
      <c r="AN35" s="253"/>
      <c r="AO35" s="253"/>
      <c r="AP35" s="253"/>
      <c r="AQ35" s="253"/>
      <c r="AR35" s="253"/>
      <c r="AS35" s="253"/>
      <c r="AT35" s="253"/>
      <c r="AU35" s="253"/>
      <c r="AV35" s="253"/>
      <c r="AW35" s="253"/>
      <c r="AX35" s="253"/>
      <c r="AY35" s="253"/>
      <c r="AZ35" s="253"/>
      <c r="BA35" s="253"/>
      <c r="BB35" s="253"/>
      <c r="BC35" s="253"/>
      <c r="BD35" s="253"/>
      <c r="BE35" s="253"/>
      <c r="BF35" s="253"/>
      <c r="BG35" s="253"/>
      <c r="BH35" s="253"/>
      <c r="BI35" s="253"/>
      <c r="BJ35" s="253"/>
      <c r="BK35" s="253"/>
      <c r="BL35" s="253"/>
      <c r="BM35" s="253"/>
      <c r="BN35" s="253"/>
      <c r="BO35" s="253"/>
      <c r="BP35" s="253"/>
      <c r="BQ35" s="253"/>
      <c r="BR35" s="253"/>
      <c r="BS35" s="253"/>
      <c r="BT35" s="253"/>
      <c r="BU35" s="253"/>
      <c r="BV35" s="253"/>
      <c r="BW35" s="253"/>
      <c r="BX35" s="253"/>
      <c r="BY35" s="253"/>
      <c r="BZ35" s="253"/>
      <c r="CA35" s="253"/>
      <c r="CB35" s="253"/>
      <c r="CC35" s="253"/>
      <c r="CD35" s="253"/>
      <c r="CE35" s="253"/>
      <c r="CF35" s="253"/>
      <c r="CG35" s="253"/>
      <c r="CH35" s="253"/>
      <c r="CI35" s="253"/>
      <c r="CJ35" s="253"/>
      <c r="CK35" s="253"/>
      <c r="CL35" s="253"/>
      <c r="CM35" s="253"/>
      <c r="CN35" s="253"/>
      <c r="CO35" s="253"/>
      <c r="CP35" s="253"/>
      <c r="CQ35" s="253"/>
      <c r="CR35" s="253"/>
      <c r="CS35" s="253"/>
      <c r="CT35" s="253"/>
      <c r="CU35" s="253"/>
      <c r="CV35" s="253"/>
      <c r="CW35" s="253"/>
      <c r="CX35" s="253"/>
      <c r="CY35" s="253"/>
      <c r="CZ35" s="253"/>
      <c r="DA35" s="253"/>
      <c r="DB35" s="253"/>
      <c r="DC35" s="253"/>
      <c r="DD35" s="253"/>
      <c r="DE35" s="253"/>
      <c r="DF35" s="253"/>
      <c r="DG35" s="253"/>
      <c r="DH35" s="253"/>
      <c r="DI35" s="255">
        <f>500-500</f>
        <v>0</v>
      </c>
      <c r="DJ35" s="253"/>
      <c r="DK35" s="253"/>
      <c r="DL35" s="253"/>
      <c r="DM35" s="253"/>
      <c r="DN35" s="253"/>
      <c r="DO35" s="253"/>
      <c r="DP35" s="253"/>
      <c r="DQ35" s="253"/>
      <c r="DR35" s="253"/>
      <c r="DS35" s="253"/>
      <c r="DT35" s="253"/>
      <c r="DU35" s="253"/>
      <c r="DV35" s="253"/>
      <c r="DW35" s="253"/>
      <c r="DX35" s="255">
        <f>500-500</f>
        <v>0</v>
      </c>
      <c r="DY35" s="253"/>
      <c r="DZ35" s="253"/>
      <c r="EA35" s="253"/>
      <c r="EB35" s="253"/>
      <c r="EC35" s="253"/>
      <c r="ED35" s="253"/>
      <c r="EE35" s="253"/>
      <c r="EF35" s="255">
        <f>500-500</f>
        <v>0</v>
      </c>
      <c r="EG35" s="255">
        <f>500-500</f>
        <v>0</v>
      </c>
      <c r="EH35" s="253"/>
      <c r="EI35" s="253"/>
      <c r="EJ35" s="253"/>
      <c r="EK35" s="253"/>
      <c r="EL35" s="253"/>
      <c r="EM35" s="253"/>
      <c r="EN35" s="253"/>
      <c r="EO35" s="253"/>
      <c r="EP35" s="253"/>
      <c r="EQ35" s="253"/>
      <c r="ER35" s="253"/>
      <c r="ES35" s="253"/>
      <c r="ET35" s="253"/>
      <c r="EU35" s="253"/>
      <c r="EV35" s="253"/>
      <c r="EW35" s="253"/>
      <c r="EX35" s="255">
        <f>100-100</f>
        <v>0</v>
      </c>
      <c r="EY35" s="253"/>
      <c r="EZ35" s="255">
        <f>100-100</f>
        <v>0</v>
      </c>
      <c r="FA35" s="255">
        <f>100-100</f>
        <v>0</v>
      </c>
      <c r="FB35" s="253"/>
      <c r="FC35" s="253"/>
      <c r="FD35" s="253"/>
      <c r="FE35" s="253"/>
      <c r="FF35" s="253"/>
      <c r="FG35" s="253"/>
      <c r="FH35" s="253"/>
      <c r="FI35" s="253"/>
      <c r="FJ35" s="253"/>
      <c r="FK35" s="253"/>
      <c r="FL35" s="253"/>
      <c r="FM35" s="253"/>
      <c r="FN35" s="253"/>
      <c r="FO35" s="253"/>
      <c r="FP35" s="256"/>
      <c r="FQ35" s="257" t="s">
        <v>1322</v>
      </c>
      <c r="FR35" s="258" t="s">
        <v>389</v>
      </c>
      <c r="FS35" s="258"/>
      <c r="FT35" s="258" t="s">
        <v>402</v>
      </c>
      <c r="FU35" s="259">
        <f t="shared" si="0"/>
        <v>0</v>
      </c>
      <c r="FV35" s="260" t="s">
        <v>403</v>
      </c>
    </row>
    <row r="36" spans="1:178" s="260" customFormat="1" hidden="1">
      <c r="A36" s="251" t="s">
        <v>385</v>
      </c>
      <c r="B36" s="251" t="s">
        <v>385</v>
      </c>
      <c r="C36" s="251" t="s">
        <v>394</v>
      </c>
      <c r="D36" s="251" t="s">
        <v>1</v>
      </c>
      <c r="E36" s="252" t="s">
        <v>404</v>
      </c>
      <c r="F36" s="251" t="s">
        <v>388</v>
      </c>
      <c r="G36" s="251"/>
      <c r="H36" s="253"/>
      <c r="I36" s="253"/>
      <c r="J36" s="253"/>
      <c r="K36" s="253"/>
      <c r="L36" s="253"/>
      <c r="M36" s="253"/>
      <c r="N36" s="253"/>
      <c r="O36" s="253"/>
      <c r="P36" s="253"/>
      <c r="Q36" s="253"/>
      <c r="R36" s="253"/>
      <c r="S36" s="253"/>
      <c r="T36" s="253"/>
      <c r="U36" s="253"/>
      <c r="V36" s="253"/>
      <c r="W36" s="253"/>
      <c r="X36" s="253"/>
      <c r="Y36" s="253"/>
      <c r="Z36" s="253"/>
      <c r="AA36" s="255">
        <f>100-100</f>
        <v>0</v>
      </c>
      <c r="AB36" s="255">
        <f>100-100</f>
        <v>0</v>
      </c>
      <c r="AC36" s="255">
        <f>100-100</f>
        <v>0</v>
      </c>
      <c r="AD36" s="255">
        <f>100-100</f>
        <v>0</v>
      </c>
      <c r="AE36" s="255">
        <f>100-100</f>
        <v>0</v>
      </c>
      <c r="AF36" s="253"/>
      <c r="AG36" s="255">
        <f>100-100</f>
        <v>0</v>
      </c>
      <c r="AH36" s="253"/>
      <c r="AI36" s="253"/>
      <c r="AJ36" s="253"/>
      <c r="AK36" s="253"/>
      <c r="AL36" s="253"/>
      <c r="AM36" s="253"/>
      <c r="AN36" s="253"/>
      <c r="AO36" s="253"/>
      <c r="AP36" s="255">
        <f>50-50</f>
        <v>0</v>
      </c>
      <c r="AQ36" s="253"/>
      <c r="AR36" s="255">
        <f>50-50</f>
        <v>0</v>
      </c>
      <c r="AS36" s="253"/>
      <c r="AT36" s="253"/>
      <c r="AU36" s="253"/>
      <c r="AV36" s="253"/>
      <c r="AW36" s="253"/>
      <c r="AX36" s="253"/>
      <c r="AY36" s="253"/>
      <c r="AZ36" s="253"/>
      <c r="BA36" s="253"/>
      <c r="BB36" s="253"/>
      <c r="BC36" s="253"/>
      <c r="BD36" s="253"/>
      <c r="BE36" s="253"/>
      <c r="BF36" s="253"/>
      <c r="BG36" s="253"/>
      <c r="BH36" s="253"/>
      <c r="BI36" s="253"/>
      <c r="BJ36" s="253"/>
      <c r="BK36" s="253"/>
      <c r="BL36" s="253"/>
      <c r="BM36" s="253"/>
      <c r="BN36" s="253"/>
      <c r="BO36" s="253"/>
      <c r="BP36" s="253"/>
      <c r="BQ36" s="253"/>
      <c r="BR36" s="253"/>
      <c r="BS36" s="253"/>
      <c r="BT36" s="253"/>
      <c r="BU36" s="253"/>
      <c r="BV36" s="253"/>
      <c r="BW36" s="253"/>
      <c r="BX36" s="253"/>
      <c r="BY36" s="253"/>
      <c r="BZ36" s="253"/>
      <c r="CA36" s="253"/>
      <c r="CB36" s="253"/>
      <c r="CC36" s="253"/>
      <c r="CD36" s="253"/>
      <c r="CE36" s="253"/>
      <c r="CF36" s="253"/>
      <c r="CG36" s="253"/>
      <c r="CH36" s="253"/>
      <c r="CI36" s="253"/>
      <c r="CJ36" s="253"/>
      <c r="CK36" s="253"/>
      <c r="CL36" s="253"/>
      <c r="CM36" s="253"/>
      <c r="CN36" s="253"/>
      <c r="CO36" s="253"/>
      <c r="CP36" s="253"/>
      <c r="CQ36" s="253"/>
      <c r="CR36" s="253"/>
      <c r="CS36" s="253"/>
      <c r="CT36" s="253"/>
      <c r="CU36" s="253"/>
      <c r="CV36" s="253"/>
      <c r="CW36" s="253"/>
      <c r="CX36" s="253"/>
      <c r="CY36" s="253"/>
      <c r="CZ36" s="253"/>
      <c r="DA36" s="253"/>
      <c r="DB36" s="253"/>
      <c r="DC36" s="253"/>
      <c r="DD36" s="253"/>
      <c r="DE36" s="253"/>
      <c r="DF36" s="253"/>
      <c r="DG36" s="253"/>
      <c r="DH36" s="253"/>
      <c r="DI36" s="253"/>
      <c r="DJ36" s="253"/>
      <c r="DK36" s="253"/>
      <c r="DL36" s="253"/>
      <c r="DM36" s="253"/>
      <c r="DN36" s="253"/>
      <c r="DO36" s="253"/>
      <c r="DP36" s="253"/>
      <c r="DQ36" s="253"/>
      <c r="DR36" s="253"/>
      <c r="DS36" s="253"/>
      <c r="DT36" s="253"/>
      <c r="DU36" s="255">
        <f>500-500</f>
        <v>0</v>
      </c>
      <c r="DV36" s="253"/>
      <c r="DW36" s="253"/>
      <c r="DX36" s="253"/>
      <c r="DY36" s="253"/>
      <c r="DZ36" s="253"/>
      <c r="EA36" s="253"/>
      <c r="EB36" s="255">
        <f>500-500</f>
        <v>0</v>
      </c>
      <c r="EC36" s="253"/>
      <c r="ED36" s="253"/>
      <c r="EE36" s="255">
        <f>500-500</f>
        <v>0</v>
      </c>
      <c r="EF36" s="253"/>
      <c r="EG36" s="253"/>
      <c r="EH36" s="255">
        <f>500-500</f>
        <v>0</v>
      </c>
      <c r="EI36" s="255">
        <f>500-500</f>
        <v>0</v>
      </c>
      <c r="EJ36" s="253"/>
      <c r="EK36" s="255">
        <f>500-500</f>
        <v>0</v>
      </c>
      <c r="EL36" s="255">
        <f>500-500</f>
        <v>0</v>
      </c>
      <c r="EM36" s="255">
        <f>500-500</f>
        <v>0</v>
      </c>
      <c r="EN36" s="255">
        <f>500-500</f>
        <v>0</v>
      </c>
      <c r="EO36" s="253"/>
      <c r="EP36" s="253"/>
      <c r="EQ36" s="255">
        <f>500-500</f>
        <v>0</v>
      </c>
      <c r="ER36" s="255">
        <f>500-500</f>
        <v>0</v>
      </c>
      <c r="ES36" s="255">
        <f>500-500</f>
        <v>0</v>
      </c>
      <c r="ET36" s="253"/>
      <c r="EU36" s="253"/>
      <c r="EV36" s="253"/>
      <c r="EW36" s="255">
        <f>100-100</f>
        <v>0</v>
      </c>
      <c r="EX36" s="253"/>
      <c r="EY36" s="254">
        <f>100-100+20</f>
        <v>20</v>
      </c>
      <c r="EZ36" s="254">
        <f>40</f>
        <v>40</v>
      </c>
      <c r="FA36" s="253"/>
      <c r="FB36" s="253"/>
      <c r="FC36" s="253"/>
      <c r="FD36" s="253"/>
      <c r="FE36" s="253"/>
      <c r="FF36" s="253"/>
      <c r="FG36" s="253"/>
      <c r="FH36" s="253"/>
      <c r="FI36" s="253"/>
      <c r="FJ36" s="253"/>
      <c r="FK36" s="253"/>
      <c r="FL36" s="253"/>
      <c r="FM36" s="253"/>
      <c r="FN36" s="253"/>
      <c r="FO36" s="253"/>
      <c r="FP36" s="256"/>
      <c r="FQ36" s="257" t="s">
        <v>1322</v>
      </c>
      <c r="FR36" s="258" t="s">
        <v>389</v>
      </c>
      <c r="FS36" s="258"/>
      <c r="FT36" s="258" t="s">
        <v>402</v>
      </c>
      <c r="FU36" s="259">
        <f t="shared" si="0"/>
        <v>60</v>
      </c>
      <c r="FV36" s="260" t="s">
        <v>403</v>
      </c>
    </row>
    <row r="37" spans="1:178" s="260" customFormat="1" hidden="1">
      <c r="A37" s="251" t="s">
        <v>385</v>
      </c>
      <c r="B37" s="251" t="s">
        <v>385</v>
      </c>
      <c r="C37" s="251" t="s">
        <v>394</v>
      </c>
      <c r="D37" s="251" t="s">
        <v>293</v>
      </c>
      <c r="E37" s="252" t="s">
        <v>404</v>
      </c>
      <c r="F37" s="251" t="s">
        <v>388</v>
      </c>
      <c r="G37" s="251"/>
      <c r="H37" s="253"/>
      <c r="I37" s="253"/>
      <c r="J37" s="253"/>
      <c r="K37" s="253"/>
      <c r="L37" s="253"/>
      <c r="M37" s="253"/>
      <c r="N37" s="253"/>
      <c r="O37" s="253"/>
      <c r="P37" s="253"/>
      <c r="Q37" s="253"/>
      <c r="R37" s="253"/>
      <c r="S37" s="253"/>
      <c r="T37" s="253"/>
      <c r="U37" s="253"/>
      <c r="V37" s="253"/>
      <c r="W37" s="253"/>
      <c r="X37" s="253"/>
      <c r="Y37" s="253"/>
      <c r="Z37" s="253"/>
      <c r="AA37" s="253"/>
      <c r="AB37" s="253"/>
      <c r="AC37" s="253"/>
      <c r="AD37" s="253"/>
      <c r="AE37" s="253"/>
      <c r="AF37" s="253"/>
      <c r="AG37" s="253"/>
      <c r="AH37" s="253"/>
      <c r="AI37" s="253"/>
      <c r="AJ37" s="253"/>
      <c r="AK37" s="253"/>
      <c r="AL37" s="253"/>
      <c r="AM37" s="253"/>
      <c r="AN37" s="253"/>
      <c r="AO37" s="253"/>
      <c r="AP37" s="253"/>
      <c r="AQ37" s="253"/>
      <c r="AR37" s="253"/>
      <c r="AS37" s="253"/>
      <c r="AT37" s="253"/>
      <c r="AU37" s="253"/>
      <c r="AV37" s="253"/>
      <c r="AW37" s="253"/>
      <c r="AX37" s="253"/>
      <c r="AY37" s="253"/>
      <c r="AZ37" s="253"/>
      <c r="BA37" s="253"/>
      <c r="BB37" s="253"/>
      <c r="BC37" s="253"/>
      <c r="BD37" s="253"/>
      <c r="BE37" s="253"/>
      <c r="BF37" s="253"/>
      <c r="BG37" s="253"/>
      <c r="BH37" s="253"/>
      <c r="BI37" s="253"/>
      <c r="BJ37" s="253"/>
      <c r="BK37" s="253"/>
      <c r="BL37" s="253"/>
      <c r="BM37" s="253"/>
      <c r="BN37" s="253"/>
      <c r="BO37" s="253"/>
      <c r="BP37" s="253"/>
      <c r="BQ37" s="253"/>
      <c r="BR37" s="253"/>
      <c r="BS37" s="253"/>
      <c r="BT37" s="253"/>
      <c r="BU37" s="253"/>
      <c r="BV37" s="253"/>
      <c r="BW37" s="253"/>
      <c r="BX37" s="253"/>
      <c r="BY37" s="253"/>
      <c r="BZ37" s="253"/>
      <c r="CA37" s="253"/>
      <c r="CB37" s="253"/>
      <c r="CC37" s="253"/>
      <c r="CD37" s="253"/>
      <c r="CE37" s="253"/>
      <c r="CF37" s="253"/>
      <c r="CG37" s="253"/>
      <c r="CH37" s="253"/>
      <c r="CI37" s="253"/>
      <c r="CJ37" s="253"/>
      <c r="CK37" s="253"/>
      <c r="CL37" s="253"/>
      <c r="CM37" s="253"/>
      <c r="CN37" s="253"/>
      <c r="CO37" s="253"/>
      <c r="CP37" s="253"/>
      <c r="CQ37" s="253"/>
      <c r="CR37" s="253"/>
      <c r="CS37" s="253"/>
      <c r="CT37" s="253"/>
      <c r="CU37" s="253"/>
      <c r="CV37" s="253"/>
      <c r="CW37" s="253"/>
      <c r="CX37" s="253"/>
      <c r="CY37" s="253"/>
      <c r="CZ37" s="253"/>
      <c r="DA37" s="253"/>
      <c r="DB37" s="253"/>
      <c r="DC37" s="253"/>
      <c r="DD37" s="253"/>
      <c r="DE37" s="253"/>
      <c r="DF37" s="253"/>
      <c r="DG37" s="253"/>
      <c r="DH37" s="253"/>
      <c r="DI37" s="253"/>
      <c r="DJ37" s="253"/>
      <c r="DK37" s="253"/>
      <c r="DL37" s="253"/>
      <c r="DM37" s="253"/>
      <c r="DN37" s="253"/>
      <c r="DO37" s="253"/>
      <c r="DP37" s="253"/>
      <c r="DQ37" s="253"/>
      <c r="DR37" s="253"/>
      <c r="DS37" s="253"/>
      <c r="DT37" s="253"/>
      <c r="DU37" s="253"/>
      <c r="DV37" s="253"/>
      <c r="DW37" s="253"/>
      <c r="DX37" s="253"/>
      <c r="DY37" s="253"/>
      <c r="DZ37" s="253"/>
      <c r="EA37" s="253"/>
      <c r="EB37" s="253"/>
      <c r="EC37" s="253"/>
      <c r="ED37" s="253"/>
      <c r="EE37" s="253"/>
      <c r="EF37" s="253"/>
      <c r="EG37" s="253"/>
      <c r="EH37" s="253"/>
      <c r="EI37" s="253"/>
      <c r="EJ37" s="253"/>
      <c r="EK37" s="253"/>
      <c r="EL37" s="253"/>
      <c r="EM37" s="253"/>
      <c r="EN37" s="253"/>
      <c r="EO37" s="253"/>
      <c r="EP37" s="253"/>
      <c r="EQ37" s="253"/>
      <c r="ER37" s="253"/>
      <c r="ES37" s="253"/>
      <c r="ET37" s="253"/>
      <c r="EU37" s="253"/>
      <c r="EV37" s="253"/>
      <c r="EW37" s="253"/>
      <c r="EX37" s="253"/>
      <c r="EY37" s="253"/>
      <c r="EZ37" s="253"/>
      <c r="FA37" s="253"/>
      <c r="FB37" s="255">
        <f>100-100</f>
        <v>0</v>
      </c>
      <c r="FC37" s="253"/>
      <c r="FD37" s="253"/>
      <c r="FE37" s="253"/>
      <c r="FF37" s="253"/>
      <c r="FG37" s="253"/>
      <c r="FH37" s="253"/>
      <c r="FI37" s="253"/>
      <c r="FJ37" s="253"/>
      <c r="FK37" s="253"/>
      <c r="FL37" s="253"/>
      <c r="FM37" s="253"/>
      <c r="FN37" s="253"/>
      <c r="FO37" s="253"/>
      <c r="FP37" s="256"/>
      <c r="FQ37" s="257" t="s">
        <v>1322</v>
      </c>
      <c r="FR37" s="258" t="s">
        <v>389</v>
      </c>
      <c r="FS37" s="258"/>
      <c r="FT37" s="258" t="s">
        <v>402</v>
      </c>
      <c r="FU37" s="259">
        <f t="shared" si="0"/>
        <v>0</v>
      </c>
      <c r="FV37" s="260" t="s">
        <v>403</v>
      </c>
    </row>
    <row r="38" spans="1:178" s="260" customFormat="1" hidden="1">
      <c r="A38" s="251" t="s">
        <v>417</v>
      </c>
      <c r="B38" s="251" t="s">
        <v>385</v>
      </c>
      <c r="C38" s="251" t="s">
        <v>394</v>
      </c>
      <c r="D38" s="251" t="s">
        <v>1</v>
      </c>
      <c r="E38" s="252" t="s">
        <v>1155</v>
      </c>
      <c r="F38" s="251" t="s">
        <v>388</v>
      </c>
      <c r="G38" s="251"/>
      <c r="H38" s="253"/>
      <c r="I38" s="253"/>
      <c r="J38" s="253"/>
      <c r="K38" s="253"/>
      <c r="L38" s="253"/>
      <c r="M38" s="253"/>
      <c r="N38" s="253"/>
      <c r="O38" s="253"/>
      <c r="P38" s="253"/>
      <c r="Q38" s="253"/>
      <c r="R38" s="253"/>
      <c r="S38" s="253"/>
      <c r="T38" s="253"/>
      <c r="U38" s="253"/>
      <c r="V38" s="253"/>
      <c r="W38" s="253"/>
      <c r="X38" s="253"/>
      <c r="Y38" s="253"/>
      <c r="Z38" s="253"/>
      <c r="AA38" s="253"/>
      <c r="AB38" s="253"/>
      <c r="AC38" s="253"/>
      <c r="AD38" s="253"/>
      <c r="AE38" s="253"/>
      <c r="AF38" s="253"/>
      <c r="AG38" s="253"/>
      <c r="AH38" s="253"/>
      <c r="AI38" s="253"/>
      <c r="AJ38" s="253"/>
      <c r="AK38" s="253"/>
      <c r="AL38" s="253"/>
      <c r="AM38" s="253"/>
      <c r="AN38" s="253"/>
      <c r="AO38" s="253"/>
      <c r="AP38" s="253"/>
      <c r="AQ38" s="253"/>
      <c r="AR38" s="253"/>
      <c r="AS38" s="253"/>
      <c r="AT38" s="253"/>
      <c r="AU38" s="253"/>
      <c r="AV38" s="253"/>
      <c r="AW38" s="253"/>
      <c r="AX38" s="253"/>
      <c r="AY38" s="253"/>
      <c r="AZ38" s="253"/>
      <c r="BA38" s="253"/>
      <c r="BB38" s="253"/>
      <c r="BC38" s="253"/>
      <c r="BD38" s="253"/>
      <c r="BE38" s="253"/>
      <c r="BF38" s="253"/>
      <c r="BG38" s="253"/>
      <c r="BH38" s="253"/>
      <c r="BI38" s="253"/>
      <c r="BJ38" s="253"/>
      <c r="BK38" s="253"/>
      <c r="BL38" s="253"/>
      <c r="BM38" s="253"/>
      <c r="BN38" s="253"/>
      <c r="BO38" s="253"/>
      <c r="BP38" s="253"/>
      <c r="BQ38" s="253"/>
      <c r="BR38" s="253"/>
      <c r="BS38" s="253"/>
      <c r="BT38" s="253"/>
      <c r="BU38" s="253"/>
      <c r="BV38" s="253"/>
      <c r="BW38" s="253"/>
      <c r="BX38" s="253"/>
      <c r="BY38" s="253"/>
      <c r="BZ38" s="253"/>
      <c r="CA38" s="253"/>
      <c r="CB38" s="253"/>
      <c r="CC38" s="253"/>
      <c r="CD38" s="253"/>
      <c r="CE38" s="253"/>
      <c r="CF38" s="253"/>
      <c r="CG38" s="253"/>
      <c r="CH38" s="253"/>
      <c r="CI38" s="253"/>
      <c r="CJ38" s="253"/>
      <c r="CK38" s="253"/>
      <c r="CL38" s="253"/>
      <c r="CM38" s="253"/>
      <c r="CN38" s="253"/>
      <c r="CO38" s="253"/>
      <c r="CP38" s="253"/>
      <c r="CQ38" s="253"/>
      <c r="CR38" s="253"/>
      <c r="CS38" s="253"/>
      <c r="CT38" s="253"/>
      <c r="CU38" s="253"/>
      <c r="CV38" s="253"/>
      <c r="CW38" s="253"/>
      <c r="CX38" s="253"/>
      <c r="CY38" s="253"/>
      <c r="CZ38" s="253"/>
      <c r="DA38" s="253"/>
      <c r="DB38" s="253"/>
      <c r="DC38" s="253"/>
      <c r="DD38" s="253"/>
      <c r="DE38" s="253"/>
      <c r="DF38" s="253"/>
      <c r="DG38" s="253"/>
      <c r="DH38" s="253"/>
      <c r="DI38" s="253"/>
      <c r="DJ38" s="253"/>
      <c r="DK38" s="253"/>
      <c r="DL38" s="253"/>
      <c r="DM38" s="253"/>
      <c r="DN38" s="253"/>
      <c r="DO38" s="253"/>
      <c r="DP38" s="253"/>
      <c r="DQ38" s="253"/>
      <c r="DR38" s="253"/>
      <c r="DS38" s="253"/>
      <c r="DT38" s="253"/>
      <c r="DU38" s="255">
        <f>10-10</f>
        <v>0</v>
      </c>
      <c r="DV38" s="253"/>
      <c r="DW38" s="253"/>
      <c r="DX38" s="253"/>
      <c r="DY38" s="253"/>
      <c r="DZ38" s="253"/>
      <c r="EA38" s="253"/>
      <c r="EB38" s="253"/>
      <c r="EC38" s="253"/>
      <c r="ED38" s="253"/>
      <c r="EE38" s="253"/>
      <c r="EF38" s="253"/>
      <c r="EG38" s="253"/>
      <c r="EH38" s="253"/>
      <c r="EI38" s="253"/>
      <c r="EJ38" s="253"/>
      <c r="EK38" s="253"/>
      <c r="EL38" s="255">
        <f>30-30</f>
        <v>0</v>
      </c>
      <c r="EM38" s="253"/>
      <c r="EN38" s="255">
        <f>30-30</f>
        <v>0</v>
      </c>
      <c r="EO38" s="253"/>
      <c r="EP38" s="253"/>
      <c r="EQ38" s="253"/>
      <c r="ER38" s="253"/>
      <c r="ES38" s="253"/>
      <c r="ET38" s="253"/>
      <c r="EU38" s="253"/>
      <c r="EV38" s="253"/>
      <c r="EW38" s="253"/>
      <c r="EX38" s="253"/>
      <c r="EY38" s="253"/>
      <c r="EZ38" s="253"/>
      <c r="FA38" s="253"/>
      <c r="FB38" s="253"/>
      <c r="FC38" s="253"/>
      <c r="FD38" s="253"/>
      <c r="FE38" s="253"/>
      <c r="FF38" s="253"/>
      <c r="FG38" s="253"/>
      <c r="FH38" s="253"/>
      <c r="FI38" s="253"/>
      <c r="FJ38" s="253"/>
      <c r="FK38" s="253"/>
      <c r="FL38" s="253"/>
      <c r="FM38" s="253"/>
      <c r="FN38" s="253"/>
      <c r="FO38" s="253"/>
      <c r="FP38" s="256"/>
      <c r="FQ38" s="257" t="s">
        <v>1322</v>
      </c>
      <c r="FR38" s="258" t="s">
        <v>389</v>
      </c>
      <c r="FS38" s="258"/>
      <c r="FT38" s="258" t="s">
        <v>1156</v>
      </c>
      <c r="FU38" s="259">
        <f t="shared" si="0"/>
        <v>0</v>
      </c>
      <c r="FV38" s="260" t="s">
        <v>820</v>
      </c>
    </row>
    <row r="39" spans="1:178" s="260" customFormat="1" hidden="1">
      <c r="A39" s="251" t="s">
        <v>393</v>
      </c>
      <c r="B39" s="251" t="s">
        <v>385</v>
      </c>
      <c r="C39" s="251" t="s">
        <v>394</v>
      </c>
      <c r="D39" s="251" t="s">
        <v>291</v>
      </c>
      <c r="E39" s="252" t="s">
        <v>830</v>
      </c>
      <c r="F39" s="251" t="s">
        <v>388</v>
      </c>
      <c r="G39" s="251"/>
      <c r="H39" s="253"/>
      <c r="I39" s="253"/>
      <c r="J39" s="253"/>
      <c r="K39" s="253"/>
      <c r="L39" s="253"/>
      <c r="M39" s="253"/>
      <c r="N39" s="253"/>
      <c r="O39" s="253"/>
      <c r="P39" s="253"/>
      <c r="Q39" s="253"/>
      <c r="R39" s="253"/>
      <c r="S39" s="253"/>
      <c r="T39" s="253"/>
      <c r="U39" s="253"/>
      <c r="V39" s="253"/>
      <c r="W39" s="253"/>
      <c r="X39" s="253"/>
      <c r="Y39" s="253"/>
      <c r="Z39" s="253"/>
      <c r="AA39" s="253"/>
      <c r="AB39" s="253"/>
      <c r="AC39" s="253"/>
      <c r="AD39" s="253"/>
      <c r="AE39" s="253"/>
      <c r="AF39" s="253"/>
      <c r="AG39" s="253"/>
      <c r="AH39" s="253"/>
      <c r="AI39" s="253"/>
      <c r="AJ39" s="253"/>
      <c r="AK39" s="253"/>
      <c r="AL39" s="253"/>
      <c r="AM39" s="253"/>
      <c r="AN39" s="253"/>
      <c r="AO39" s="253"/>
      <c r="AP39" s="253"/>
      <c r="AQ39" s="253"/>
      <c r="AR39" s="253"/>
      <c r="AS39" s="253"/>
      <c r="AT39" s="253"/>
      <c r="AU39" s="253"/>
      <c r="AV39" s="253"/>
      <c r="AW39" s="253"/>
      <c r="AX39" s="253"/>
      <c r="AY39" s="253"/>
      <c r="AZ39" s="253"/>
      <c r="BA39" s="253"/>
      <c r="BB39" s="253"/>
      <c r="BC39" s="253"/>
      <c r="BD39" s="253"/>
      <c r="BE39" s="253"/>
      <c r="BF39" s="253"/>
      <c r="BG39" s="253"/>
      <c r="BH39" s="253"/>
      <c r="BI39" s="253"/>
      <c r="BJ39" s="253"/>
      <c r="BK39" s="253"/>
      <c r="BL39" s="253"/>
      <c r="BM39" s="253"/>
      <c r="BN39" s="253"/>
      <c r="BO39" s="253"/>
      <c r="BP39" s="253"/>
      <c r="BQ39" s="253"/>
      <c r="BR39" s="253"/>
      <c r="BS39" s="253"/>
      <c r="BT39" s="253"/>
      <c r="BU39" s="253"/>
      <c r="BV39" s="253"/>
      <c r="BW39" s="253"/>
      <c r="BX39" s="253"/>
      <c r="BY39" s="253"/>
      <c r="BZ39" s="253"/>
      <c r="CA39" s="253"/>
      <c r="CB39" s="253"/>
      <c r="CC39" s="253"/>
      <c r="CD39" s="253"/>
      <c r="CE39" s="253"/>
      <c r="CF39" s="253"/>
      <c r="CG39" s="253"/>
      <c r="CH39" s="253"/>
      <c r="CI39" s="253"/>
      <c r="CJ39" s="253"/>
      <c r="CK39" s="253"/>
      <c r="CL39" s="253"/>
      <c r="CM39" s="253"/>
      <c r="CN39" s="253"/>
      <c r="CO39" s="253"/>
      <c r="CP39" s="253"/>
      <c r="CQ39" s="253"/>
      <c r="CR39" s="253"/>
      <c r="CS39" s="253"/>
      <c r="CT39" s="253"/>
      <c r="CU39" s="253"/>
      <c r="CV39" s="253"/>
      <c r="CW39" s="253"/>
      <c r="CX39" s="253"/>
      <c r="CY39" s="253"/>
      <c r="CZ39" s="253"/>
      <c r="DA39" s="253"/>
      <c r="DB39" s="253"/>
      <c r="DC39" s="253"/>
      <c r="DD39" s="253"/>
      <c r="DE39" s="253"/>
      <c r="DF39" s="253"/>
      <c r="DG39" s="253"/>
      <c r="DH39" s="253"/>
      <c r="DI39" s="255">
        <f>50-50</f>
        <v>0</v>
      </c>
      <c r="DJ39" s="253"/>
      <c r="DK39" s="253"/>
      <c r="DL39" s="253"/>
      <c r="DM39" s="253"/>
      <c r="DN39" s="253"/>
      <c r="DO39" s="253"/>
      <c r="DP39" s="253"/>
      <c r="DQ39" s="253"/>
      <c r="DR39" s="253"/>
      <c r="DS39" s="253"/>
      <c r="DT39" s="253"/>
      <c r="DU39" s="253"/>
      <c r="DV39" s="253"/>
      <c r="DW39" s="253"/>
      <c r="DX39" s="253"/>
      <c r="DY39" s="253"/>
      <c r="DZ39" s="253"/>
      <c r="EA39" s="253"/>
      <c r="EB39" s="253"/>
      <c r="EC39" s="253"/>
      <c r="ED39" s="253"/>
      <c r="EE39" s="253"/>
      <c r="EF39" s="255">
        <f>50-50</f>
        <v>0</v>
      </c>
      <c r="EG39" s="253"/>
      <c r="EH39" s="253"/>
      <c r="EI39" s="253"/>
      <c r="EJ39" s="255">
        <f>50-50</f>
        <v>0</v>
      </c>
      <c r="EK39" s="253"/>
      <c r="EL39" s="253"/>
      <c r="EM39" s="253"/>
      <c r="EN39" s="253"/>
      <c r="EO39" s="253"/>
      <c r="EP39" s="253"/>
      <c r="EQ39" s="253"/>
      <c r="ER39" s="253"/>
      <c r="ES39" s="253"/>
      <c r="ET39" s="253"/>
      <c r="EU39" s="253"/>
      <c r="EV39" s="253"/>
      <c r="EW39" s="253"/>
      <c r="EX39" s="253"/>
      <c r="EY39" s="253"/>
      <c r="EZ39" s="253"/>
      <c r="FA39" s="253"/>
      <c r="FB39" s="253"/>
      <c r="FC39" s="253"/>
      <c r="FD39" s="253"/>
      <c r="FE39" s="253"/>
      <c r="FF39" s="253"/>
      <c r="FG39" s="253"/>
      <c r="FH39" s="253"/>
      <c r="FI39" s="253"/>
      <c r="FJ39" s="253"/>
      <c r="FK39" s="253"/>
      <c r="FL39" s="253"/>
      <c r="FM39" s="253"/>
      <c r="FN39" s="253"/>
      <c r="FO39" s="253"/>
      <c r="FP39" s="256"/>
      <c r="FQ39" s="257" t="s">
        <v>1322</v>
      </c>
      <c r="FR39" s="258" t="s">
        <v>389</v>
      </c>
      <c r="FS39" s="258"/>
      <c r="FT39" s="258" t="s">
        <v>824</v>
      </c>
      <c r="FU39" s="259">
        <f t="shared" si="0"/>
        <v>0</v>
      </c>
      <c r="FV39" s="260" t="s">
        <v>820</v>
      </c>
    </row>
    <row r="40" spans="1:178" s="260" customFormat="1" hidden="1">
      <c r="A40" s="251" t="s">
        <v>393</v>
      </c>
      <c r="B40" s="251" t="s">
        <v>385</v>
      </c>
      <c r="C40" s="251" t="s">
        <v>394</v>
      </c>
      <c r="D40" s="251" t="s">
        <v>1</v>
      </c>
      <c r="E40" s="252" t="s">
        <v>830</v>
      </c>
      <c r="F40" s="251" t="s">
        <v>388</v>
      </c>
      <c r="G40" s="251"/>
      <c r="H40" s="253"/>
      <c r="I40" s="253"/>
      <c r="J40" s="253"/>
      <c r="K40" s="253"/>
      <c r="L40" s="253"/>
      <c r="M40" s="253"/>
      <c r="N40" s="253"/>
      <c r="O40" s="253"/>
      <c r="P40" s="253"/>
      <c r="Q40" s="253"/>
      <c r="R40" s="253"/>
      <c r="S40" s="253"/>
      <c r="T40" s="253"/>
      <c r="U40" s="253"/>
      <c r="V40" s="253"/>
      <c r="W40" s="253"/>
      <c r="X40" s="253"/>
      <c r="Y40" s="253"/>
      <c r="Z40" s="253"/>
      <c r="AA40" s="253"/>
      <c r="AB40" s="253"/>
      <c r="AC40" s="253"/>
      <c r="AD40" s="253"/>
      <c r="AE40" s="253"/>
      <c r="AF40" s="253"/>
      <c r="AG40" s="253"/>
      <c r="AH40" s="253"/>
      <c r="AI40" s="253"/>
      <c r="AJ40" s="253"/>
      <c r="AK40" s="253"/>
      <c r="AL40" s="253"/>
      <c r="AM40" s="253"/>
      <c r="AN40" s="253"/>
      <c r="AO40" s="253"/>
      <c r="AP40" s="253"/>
      <c r="AQ40" s="253"/>
      <c r="AR40" s="253"/>
      <c r="AS40" s="253"/>
      <c r="AT40" s="253"/>
      <c r="AU40" s="253"/>
      <c r="AV40" s="253"/>
      <c r="AW40" s="253"/>
      <c r="AX40" s="253"/>
      <c r="AY40" s="253"/>
      <c r="AZ40" s="253"/>
      <c r="BA40" s="253"/>
      <c r="BB40" s="253"/>
      <c r="BC40" s="253"/>
      <c r="BD40" s="253"/>
      <c r="BE40" s="253"/>
      <c r="BF40" s="253"/>
      <c r="BG40" s="253"/>
      <c r="BH40" s="253"/>
      <c r="BI40" s="253"/>
      <c r="BJ40" s="253"/>
      <c r="BK40" s="253"/>
      <c r="BL40" s="253"/>
      <c r="BM40" s="253"/>
      <c r="BN40" s="253"/>
      <c r="BO40" s="253"/>
      <c r="BP40" s="253"/>
      <c r="BQ40" s="253"/>
      <c r="BR40" s="253"/>
      <c r="BS40" s="253"/>
      <c r="BT40" s="253"/>
      <c r="BU40" s="253"/>
      <c r="BV40" s="253"/>
      <c r="BW40" s="253"/>
      <c r="BX40" s="253"/>
      <c r="BY40" s="253"/>
      <c r="BZ40" s="253"/>
      <c r="CA40" s="253"/>
      <c r="CB40" s="253"/>
      <c r="CC40" s="253"/>
      <c r="CD40" s="253"/>
      <c r="CE40" s="253"/>
      <c r="CF40" s="253"/>
      <c r="CG40" s="253"/>
      <c r="CH40" s="253"/>
      <c r="CI40" s="253"/>
      <c r="CJ40" s="253"/>
      <c r="CK40" s="253"/>
      <c r="CL40" s="253"/>
      <c r="CM40" s="253"/>
      <c r="CN40" s="253"/>
      <c r="CO40" s="253"/>
      <c r="CP40" s="253"/>
      <c r="CQ40" s="253"/>
      <c r="CR40" s="253"/>
      <c r="CS40" s="253"/>
      <c r="CT40" s="253"/>
      <c r="CU40" s="253"/>
      <c r="CV40" s="253"/>
      <c r="CW40" s="253"/>
      <c r="CX40" s="253"/>
      <c r="CY40" s="253"/>
      <c r="CZ40" s="253"/>
      <c r="DA40" s="253"/>
      <c r="DB40" s="253"/>
      <c r="DC40" s="253"/>
      <c r="DD40" s="253"/>
      <c r="DE40" s="253"/>
      <c r="DF40" s="253"/>
      <c r="DG40" s="253"/>
      <c r="DH40" s="253"/>
      <c r="DI40" s="253"/>
      <c r="DJ40" s="253"/>
      <c r="DK40" s="253"/>
      <c r="DL40" s="253"/>
      <c r="DM40" s="253"/>
      <c r="DN40" s="253"/>
      <c r="DO40" s="253"/>
      <c r="DP40" s="253"/>
      <c r="DQ40" s="253"/>
      <c r="DR40" s="253"/>
      <c r="DS40" s="253"/>
      <c r="DT40" s="253"/>
      <c r="DU40" s="255">
        <f>50-50</f>
        <v>0</v>
      </c>
      <c r="DV40" s="253"/>
      <c r="DW40" s="253"/>
      <c r="DX40" s="253"/>
      <c r="DY40" s="253"/>
      <c r="DZ40" s="253"/>
      <c r="EA40" s="253"/>
      <c r="EB40" s="255">
        <f>30-30</f>
        <v>0</v>
      </c>
      <c r="EC40" s="253"/>
      <c r="ED40" s="253"/>
      <c r="EE40" s="253"/>
      <c r="EF40" s="253"/>
      <c r="EG40" s="253"/>
      <c r="EH40" s="253"/>
      <c r="EI40" s="253"/>
      <c r="EJ40" s="253"/>
      <c r="EK40" s="255">
        <f>50-50</f>
        <v>0</v>
      </c>
      <c r="EL40" s="253"/>
      <c r="EM40" s="253"/>
      <c r="EN40" s="253"/>
      <c r="EO40" s="253"/>
      <c r="EP40" s="253"/>
      <c r="EQ40" s="253"/>
      <c r="ER40" s="253"/>
      <c r="ES40" s="253"/>
      <c r="ET40" s="253"/>
      <c r="EU40" s="253"/>
      <c r="EV40" s="253"/>
      <c r="EW40" s="253"/>
      <c r="EX40" s="253"/>
      <c r="EY40" s="253"/>
      <c r="EZ40" s="253"/>
      <c r="FA40" s="253"/>
      <c r="FB40" s="253"/>
      <c r="FC40" s="253"/>
      <c r="FD40" s="253"/>
      <c r="FE40" s="253"/>
      <c r="FF40" s="253"/>
      <c r="FG40" s="253"/>
      <c r="FH40" s="253"/>
      <c r="FI40" s="253"/>
      <c r="FJ40" s="253"/>
      <c r="FK40" s="253"/>
      <c r="FL40" s="253"/>
      <c r="FM40" s="253"/>
      <c r="FN40" s="253"/>
      <c r="FO40" s="253"/>
      <c r="FP40" s="256"/>
      <c r="FQ40" s="257" t="s">
        <v>1322</v>
      </c>
      <c r="FR40" s="258" t="s">
        <v>389</v>
      </c>
      <c r="FS40" s="258"/>
      <c r="FT40" s="258" t="s">
        <v>824</v>
      </c>
      <c r="FU40" s="259">
        <f t="shared" ref="FU40:FU71" si="1">SUM(H40:FO40)</f>
        <v>0</v>
      </c>
      <c r="FV40" s="260" t="s">
        <v>820</v>
      </c>
    </row>
    <row r="41" spans="1:178" s="260" customFormat="1" hidden="1">
      <c r="A41" s="251" t="s">
        <v>393</v>
      </c>
      <c r="B41" s="251" t="s">
        <v>385</v>
      </c>
      <c r="C41" s="251" t="s">
        <v>394</v>
      </c>
      <c r="D41" s="251" t="s">
        <v>291</v>
      </c>
      <c r="E41" s="252" t="s">
        <v>405</v>
      </c>
      <c r="F41" s="251" t="s">
        <v>388</v>
      </c>
      <c r="G41" s="251" t="s">
        <v>1334</v>
      </c>
      <c r="H41" s="253"/>
      <c r="I41" s="253"/>
      <c r="J41" s="253"/>
      <c r="K41" s="253"/>
      <c r="L41" s="253"/>
      <c r="M41" s="253"/>
      <c r="N41" s="253"/>
      <c r="O41" s="253"/>
      <c r="P41" s="253"/>
      <c r="Q41" s="253"/>
      <c r="R41" s="253"/>
      <c r="S41" s="253"/>
      <c r="T41" s="253"/>
      <c r="U41" s="253"/>
      <c r="V41" s="253"/>
      <c r="W41" s="253"/>
      <c r="X41" s="253"/>
      <c r="Y41" s="253"/>
      <c r="Z41" s="253"/>
      <c r="AA41" s="253"/>
      <c r="AB41" s="253"/>
      <c r="AC41" s="253"/>
      <c r="AD41" s="253"/>
      <c r="AE41" s="253"/>
      <c r="AF41" s="253"/>
      <c r="AG41" s="253"/>
      <c r="AH41" s="253"/>
      <c r="AI41" s="253"/>
      <c r="AJ41" s="253"/>
      <c r="AK41" s="253"/>
      <c r="AL41" s="253"/>
      <c r="AM41" s="253"/>
      <c r="AN41" s="253"/>
      <c r="AO41" s="253"/>
      <c r="AP41" s="253"/>
      <c r="AQ41" s="253"/>
      <c r="AR41" s="253"/>
      <c r="AS41" s="253"/>
      <c r="AT41" s="253"/>
      <c r="AU41" s="253"/>
      <c r="AV41" s="253"/>
      <c r="AW41" s="253"/>
      <c r="AX41" s="253"/>
      <c r="AY41" s="253"/>
      <c r="AZ41" s="253"/>
      <c r="BA41" s="253"/>
      <c r="BB41" s="253"/>
      <c r="BC41" s="253"/>
      <c r="BD41" s="253"/>
      <c r="BE41" s="253"/>
      <c r="BF41" s="253"/>
      <c r="BG41" s="253"/>
      <c r="BH41" s="253"/>
      <c r="BI41" s="253"/>
      <c r="BJ41" s="253"/>
      <c r="BK41" s="253"/>
      <c r="BL41" s="253"/>
      <c r="BM41" s="253"/>
      <c r="BN41" s="253"/>
      <c r="BO41" s="253"/>
      <c r="BP41" s="253"/>
      <c r="BQ41" s="253"/>
      <c r="BR41" s="253"/>
      <c r="BS41" s="253"/>
      <c r="BT41" s="253"/>
      <c r="BU41" s="253"/>
      <c r="BV41" s="253"/>
      <c r="BW41" s="253"/>
      <c r="BX41" s="253"/>
      <c r="BY41" s="253"/>
      <c r="BZ41" s="253"/>
      <c r="CA41" s="253"/>
      <c r="CB41" s="253"/>
      <c r="CC41" s="253"/>
      <c r="CD41" s="253"/>
      <c r="CE41" s="253"/>
      <c r="CF41" s="253"/>
      <c r="CG41" s="253"/>
      <c r="CH41" s="253"/>
      <c r="CI41" s="253"/>
      <c r="CJ41" s="253"/>
      <c r="CK41" s="253"/>
      <c r="CL41" s="253"/>
      <c r="CM41" s="253"/>
      <c r="CN41" s="253"/>
      <c r="CO41" s="253"/>
      <c r="CP41" s="253"/>
      <c r="CQ41" s="253"/>
      <c r="CR41" s="253"/>
      <c r="CS41" s="253"/>
      <c r="CT41" s="253"/>
      <c r="CU41" s="253"/>
      <c r="CV41" s="253"/>
      <c r="CW41" s="253"/>
      <c r="CX41" s="253"/>
      <c r="CY41" s="253"/>
      <c r="CZ41" s="253"/>
      <c r="DA41" s="253"/>
      <c r="DB41" s="253"/>
      <c r="DC41" s="253"/>
      <c r="DD41" s="253"/>
      <c r="DE41" s="253"/>
      <c r="DF41" s="253"/>
      <c r="DG41" s="253"/>
      <c r="DH41" s="253"/>
      <c r="DI41" s="253"/>
      <c r="DJ41" s="253"/>
      <c r="DK41" s="253"/>
      <c r="DL41" s="253"/>
      <c r="DM41" s="253"/>
      <c r="DN41" s="253"/>
      <c r="DO41" s="253"/>
      <c r="DP41" s="253"/>
      <c r="DQ41" s="253"/>
      <c r="DR41" s="253"/>
      <c r="DS41" s="253"/>
      <c r="DT41" s="253"/>
      <c r="DU41" s="253"/>
      <c r="DV41" s="253"/>
      <c r="DW41" s="253"/>
      <c r="DX41" s="255">
        <f>100-100</f>
        <v>0</v>
      </c>
      <c r="DY41" s="253"/>
      <c r="DZ41" s="253"/>
      <c r="EA41" s="253"/>
      <c r="EB41" s="253"/>
      <c r="EC41" s="253"/>
      <c r="ED41" s="253"/>
      <c r="EE41" s="253"/>
      <c r="EF41" s="255">
        <f>50-50</f>
        <v>0</v>
      </c>
      <c r="EG41" s="255">
        <f>50-50</f>
        <v>0</v>
      </c>
      <c r="EH41" s="253"/>
      <c r="EI41" s="253"/>
      <c r="EJ41" s="255">
        <f>50-50</f>
        <v>0</v>
      </c>
      <c r="EK41" s="253"/>
      <c r="EL41" s="253"/>
      <c r="EM41" s="253"/>
      <c r="EN41" s="253"/>
      <c r="EO41" s="253"/>
      <c r="EP41" s="253"/>
      <c r="EQ41" s="253"/>
      <c r="ER41" s="253"/>
      <c r="ES41" s="253"/>
      <c r="ET41" s="253"/>
      <c r="EU41" s="253"/>
      <c r="EV41" s="253"/>
      <c r="EW41" s="253"/>
      <c r="EX41" s="253"/>
      <c r="EY41" s="253"/>
      <c r="EZ41" s="253"/>
      <c r="FA41" s="253"/>
      <c r="FB41" s="253"/>
      <c r="FC41" s="253"/>
      <c r="FD41" s="253"/>
      <c r="FE41" s="253"/>
      <c r="FF41" s="253"/>
      <c r="FG41" s="253"/>
      <c r="FH41" s="253"/>
      <c r="FI41" s="253"/>
      <c r="FJ41" s="253"/>
      <c r="FK41" s="253"/>
      <c r="FL41" s="253"/>
      <c r="FM41" s="253"/>
      <c r="FN41" s="253"/>
      <c r="FO41" s="253"/>
      <c r="FP41" s="256"/>
      <c r="FQ41" s="257" t="s">
        <v>1322</v>
      </c>
      <c r="FR41" s="258" t="s">
        <v>389</v>
      </c>
      <c r="FS41" s="258" t="s">
        <v>406</v>
      </c>
      <c r="FT41" s="258" t="s">
        <v>397</v>
      </c>
      <c r="FU41" s="259">
        <f t="shared" si="1"/>
        <v>0</v>
      </c>
      <c r="FV41" s="260" t="s">
        <v>398</v>
      </c>
    </row>
    <row r="42" spans="1:178" s="260" customFormat="1" hidden="1">
      <c r="A42" s="251" t="s">
        <v>393</v>
      </c>
      <c r="B42" s="251" t="s">
        <v>385</v>
      </c>
      <c r="C42" s="251" t="s">
        <v>394</v>
      </c>
      <c r="D42" s="251" t="s">
        <v>1</v>
      </c>
      <c r="E42" s="252" t="s">
        <v>405</v>
      </c>
      <c r="F42" s="251" t="s">
        <v>388</v>
      </c>
      <c r="G42" s="251" t="s">
        <v>1334</v>
      </c>
      <c r="H42" s="253"/>
      <c r="I42" s="253"/>
      <c r="J42" s="253"/>
      <c r="K42" s="255">
        <f>10-10</f>
        <v>0</v>
      </c>
      <c r="L42" s="255">
        <f>10-10</f>
        <v>0</v>
      </c>
      <c r="M42" s="253"/>
      <c r="N42" s="255">
        <f>20-20</f>
        <v>0</v>
      </c>
      <c r="O42" s="255">
        <f>20-20</f>
        <v>0</v>
      </c>
      <c r="P42" s="255">
        <f>50-50</f>
        <v>0</v>
      </c>
      <c r="Q42" s="253"/>
      <c r="R42" s="255">
        <f>10-10</f>
        <v>0</v>
      </c>
      <c r="S42" s="255">
        <f>50-50</f>
        <v>0</v>
      </c>
      <c r="T42" s="253"/>
      <c r="U42" s="255">
        <f>20-20</f>
        <v>0</v>
      </c>
      <c r="V42" s="255">
        <f>50-50+5</f>
        <v>5</v>
      </c>
      <c r="W42" s="255">
        <f>50-50</f>
        <v>0</v>
      </c>
      <c r="X42" s="253"/>
      <c r="Y42" s="253"/>
      <c r="Z42" s="253"/>
      <c r="AA42" s="255">
        <f>50-50</f>
        <v>0</v>
      </c>
      <c r="AB42" s="255">
        <f>200-200</f>
        <v>0</v>
      </c>
      <c r="AC42" s="253"/>
      <c r="AD42" s="253"/>
      <c r="AE42" s="253"/>
      <c r="AF42" s="255">
        <f>100-100</f>
        <v>0</v>
      </c>
      <c r="AG42" s="255">
        <f>100-100</f>
        <v>0</v>
      </c>
      <c r="AH42" s="253"/>
      <c r="AI42" s="253"/>
      <c r="AJ42" s="253"/>
      <c r="AK42" s="253"/>
      <c r="AL42" s="253"/>
      <c r="AM42" s="253"/>
      <c r="AN42" s="253"/>
      <c r="AO42" s="253"/>
      <c r="AP42" s="253"/>
      <c r="AQ42" s="253"/>
      <c r="AR42" s="253"/>
      <c r="AS42" s="253"/>
      <c r="AT42" s="253"/>
      <c r="AU42" s="253"/>
      <c r="AV42" s="253"/>
      <c r="AW42" s="253"/>
      <c r="AX42" s="253"/>
      <c r="AY42" s="253"/>
      <c r="AZ42" s="253"/>
      <c r="BA42" s="253"/>
      <c r="BB42" s="253"/>
      <c r="BC42" s="253"/>
      <c r="BD42" s="253"/>
      <c r="BE42" s="253"/>
      <c r="BF42" s="253"/>
      <c r="BG42" s="253"/>
      <c r="BH42" s="253"/>
      <c r="BI42" s="253"/>
      <c r="BJ42" s="253"/>
      <c r="BK42" s="253"/>
      <c r="BL42" s="253"/>
      <c r="BM42" s="253"/>
      <c r="BN42" s="253"/>
      <c r="BO42" s="253"/>
      <c r="BP42" s="253"/>
      <c r="BQ42" s="253"/>
      <c r="BR42" s="253"/>
      <c r="BS42" s="253"/>
      <c r="BT42" s="253"/>
      <c r="BU42" s="253"/>
      <c r="BV42" s="253"/>
      <c r="BW42" s="253"/>
      <c r="BX42" s="253"/>
      <c r="BY42" s="253"/>
      <c r="BZ42" s="253"/>
      <c r="CA42" s="253"/>
      <c r="CB42" s="253"/>
      <c r="CC42" s="253"/>
      <c r="CD42" s="253"/>
      <c r="CE42" s="253"/>
      <c r="CF42" s="253"/>
      <c r="CG42" s="253"/>
      <c r="CH42" s="253"/>
      <c r="CI42" s="253"/>
      <c r="CJ42" s="253"/>
      <c r="CK42" s="253"/>
      <c r="CL42" s="253"/>
      <c r="CM42" s="253"/>
      <c r="CN42" s="253"/>
      <c r="CO42" s="253"/>
      <c r="CP42" s="253"/>
      <c r="CQ42" s="253"/>
      <c r="CR42" s="253"/>
      <c r="CS42" s="253"/>
      <c r="CT42" s="253"/>
      <c r="CU42" s="253"/>
      <c r="CV42" s="253"/>
      <c r="CW42" s="253"/>
      <c r="CX42" s="253"/>
      <c r="CY42" s="253"/>
      <c r="CZ42" s="253"/>
      <c r="DA42" s="253"/>
      <c r="DB42" s="253"/>
      <c r="DC42" s="253"/>
      <c r="DD42" s="253"/>
      <c r="DE42" s="253"/>
      <c r="DF42" s="253"/>
      <c r="DG42" s="253"/>
      <c r="DH42" s="253"/>
      <c r="DI42" s="253"/>
      <c r="DJ42" s="253"/>
      <c r="DK42" s="253"/>
      <c r="DL42" s="253"/>
      <c r="DM42" s="253"/>
      <c r="DN42" s="253"/>
      <c r="DO42" s="253"/>
      <c r="DP42" s="253"/>
      <c r="DQ42" s="253"/>
      <c r="DR42" s="253"/>
      <c r="DS42" s="253"/>
      <c r="DT42" s="253"/>
      <c r="DU42" s="255">
        <f>200-200</f>
        <v>0</v>
      </c>
      <c r="DV42" s="253"/>
      <c r="DW42" s="253"/>
      <c r="DX42" s="253"/>
      <c r="DY42" s="253"/>
      <c r="DZ42" s="253"/>
      <c r="EA42" s="253"/>
      <c r="EB42" s="253"/>
      <c r="EC42" s="253"/>
      <c r="ED42" s="253"/>
      <c r="EE42" s="253"/>
      <c r="EF42" s="253"/>
      <c r="EG42" s="253"/>
      <c r="EH42" s="255">
        <f>50-50</f>
        <v>0</v>
      </c>
      <c r="EI42" s="255">
        <f>50-50</f>
        <v>0</v>
      </c>
      <c r="EJ42" s="253"/>
      <c r="EK42" s="253"/>
      <c r="EL42" s="253"/>
      <c r="EM42" s="253"/>
      <c r="EN42" s="253"/>
      <c r="EO42" s="253"/>
      <c r="EP42" s="253"/>
      <c r="EQ42" s="253"/>
      <c r="ER42" s="253"/>
      <c r="ES42" s="253"/>
      <c r="ET42" s="253"/>
      <c r="EU42" s="253"/>
      <c r="EV42" s="253"/>
      <c r="EW42" s="255">
        <f>500-500</f>
        <v>0</v>
      </c>
      <c r="EX42" s="253"/>
      <c r="EY42" s="253"/>
      <c r="EZ42" s="253"/>
      <c r="FA42" s="253"/>
      <c r="FB42" s="253"/>
      <c r="FC42" s="253"/>
      <c r="FD42" s="253"/>
      <c r="FE42" s="253"/>
      <c r="FF42" s="253"/>
      <c r="FG42" s="253"/>
      <c r="FH42" s="253"/>
      <c r="FI42" s="253"/>
      <c r="FJ42" s="253"/>
      <c r="FK42" s="253"/>
      <c r="FL42" s="253"/>
      <c r="FM42" s="253"/>
      <c r="FN42" s="253"/>
      <c r="FO42" s="253"/>
      <c r="FP42" s="256"/>
      <c r="FQ42" s="257" t="s">
        <v>1322</v>
      </c>
      <c r="FR42" s="258" t="s">
        <v>389</v>
      </c>
      <c r="FS42" s="258" t="s">
        <v>406</v>
      </c>
      <c r="FT42" s="258" t="s">
        <v>397</v>
      </c>
      <c r="FU42" s="259">
        <f t="shared" si="1"/>
        <v>5</v>
      </c>
      <c r="FV42" s="260" t="s">
        <v>398</v>
      </c>
    </row>
    <row r="43" spans="1:178" s="260" customFormat="1" hidden="1">
      <c r="A43" s="251" t="s">
        <v>393</v>
      </c>
      <c r="B43" s="251" t="s">
        <v>385</v>
      </c>
      <c r="C43" s="251" t="s">
        <v>407</v>
      </c>
      <c r="D43" s="251" t="s">
        <v>291</v>
      </c>
      <c r="E43" s="252" t="s">
        <v>408</v>
      </c>
      <c r="F43" s="251" t="s">
        <v>388</v>
      </c>
      <c r="G43" s="251"/>
      <c r="H43" s="253"/>
      <c r="I43" s="253"/>
      <c r="J43" s="253"/>
      <c r="K43" s="253"/>
      <c r="L43" s="253"/>
      <c r="M43" s="253"/>
      <c r="N43" s="253"/>
      <c r="O43" s="253"/>
      <c r="P43" s="253"/>
      <c r="Q43" s="253"/>
      <c r="R43" s="253"/>
      <c r="S43" s="253"/>
      <c r="T43" s="253"/>
      <c r="U43" s="253"/>
      <c r="V43" s="253"/>
      <c r="W43" s="253"/>
      <c r="X43" s="253"/>
      <c r="Y43" s="253"/>
      <c r="Z43" s="253"/>
      <c r="AA43" s="253"/>
      <c r="AB43" s="253"/>
      <c r="AC43" s="253"/>
      <c r="AD43" s="253"/>
      <c r="AE43" s="253"/>
      <c r="AF43" s="253"/>
      <c r="AG43" s="253"/>
      <c r="AH43" s="253"/>
      <c r="AI43" s="253"/>
      <c r="AJ43" s="253"/>
      <c r="AK43" s="253"/>
      <c r="AL43" s="253"/>
      <c r="AM43" s="253"/>
      <c r="AN43" s="253"/>
      <c r="AO43" s="253"/>
      <c r="AP43" s="253"/>
      <c r="AQ43" s="253"/>
      <c r="AR43" s="253"/>
      <c r="AS43" s="253"/>
      <c r="AT43" s="253"/>
      <c r="AU43" s="253"/>
      <c r="AV43" s="253"/>
      <c r="AW43" s="253"/>
      <c r="AX43" s="253"/>
      <c r="AY43" s="253"/>
      <c r="AZ43" s="253"/>
      <c r="BA43" s="253"/>
      <c r="BB43" s="253"/>
      <c r="BC43" s="253"/>
      <c r="BD43" s="253"/>
      <c r="BE43" s="253"/>
      <c r="BF43" s="253"/>
      <c r="BG43" s="253"/>
      <c r="BH43" s="253"/>
      <c r="BI43" s="253"/>
      <c r="BJ43" s="253"/>
      <c r="BK43" s="253"/>
      <c r="BL43" s="253"/>
      <c r="BM43" s="253"/>
      <c r="BN43" s="253"/>
      <c r="BO43" s="253"/>
      <c r="BP43" s="253"/>
      <c r="BQ43" s="253"/>
      <c r="BR43" s="253"/>
      <c r="BS43" s="253"/>
      <c r="BT43" s="253"/>
      <c r="BU43" s="253"/>
      <c r="BV43" s="253"/>
      <c r="BW43" s="253"/>
      <c r="BX43" s="253"/>
      <c r="BY43" s="253"/>
      <c r="BZ43" s="253"/>
      <c r="CA43" s="253"/>
      <c r="CB43" s="253"/>
      <c r="CC43" s="253"/>
      <c r="CD43" s="253"/>
      <c r="CE43" s="253"/>
      <c r="CF43" s="253"/>
      <c r="CG43" s="253"/>
      <c r="CH43" s="253"/>
      <c r="CI43" s="253"/>
      <c r="CJ43" s="253"/>
      <c r="CK43" s="253"/>
      <c r="CL43" s="253"/>
      <c r="CM43" s="253"/>
      <c r="CN43" s="253"/>
      <c r="CO43" s="253"/>
      <c r="CP43" s="253"/>
      <c r="CQ43" s="253"/>
      <c r="CR43" s="253"/>
      <c r="CS43" s="253"/>
      <c r="CT43" s="253"/>
      <c r="CU43" s="253"/>
      <c r="CV43" s="253"/>
      <c r="CW43" s="253"/>
      <c r="CX43" s="253"/>
      <c r="CY43" s="253"/>
      <c r="CZ43" s="253"/>
      <c r="DA43" s="253"/>
      <c r="DB43" s="253"/>
      <c r="DC43" s="253"/>
      <c r="DD43" s="253"/>
      <c r="DE43" s="253"/>
      <c r="DF43" s="253"/>
      <c r="DG43" s="253"/>
      <c r="DH43" s="253"/>
      <c r="DI43" s="254">
        <f>2000-2000+80</f>
        <v>80</v>
      </c>
      <c r="DJ43" s="253"/>
      <c r="DK43" s="253"/>
      <c r="DL43" s="253"/>
      <c r="DM43" s="253"/>
      <c r="DN43" s="253"/>
      <c r="DO43" s="253"/>
      <c r="DP43" s="253"/>
      <c r="DQ43" s="253"/>
      <c r="DR43" s="253"/>
      <c r="DS43" s="253"/>
      <c r="DT43" s="253"/>
      <c r="DU43" s="253"/>
      <c r="DV43" s="253"/>
      <c r="DW43" s="253"/>
      <c r="DX43" s="253"/>
      <c r="DY43" s="253"/>
      <c r="DZ43" s="253"/>
      <c r="EA43" s="253"/>
      <c r="EB43" s="253"/>
      <c r="EC43" s="253"/>
      <c r="ED43" s="253"/>
      <c r="EE43" s="253"/>
      <c r="EF43" s="253"/>
      <c r="EG43" s="253"/>
      <c r="EH43" s="253"/>
      <c r="EI43" s="253"/>
      <c r="EJ43" s="254">
        <f>40</f>
        <v>40</v>
      </c>
      <c r="EK43" s="253"/>
      <c r="EL43" s="253"/>
      <c r="EM43" s="253"/>
      <c r="EN43" s="253"/>
      <c r="EO43" s="253"/>
      <c r="EP43" s="253"/>
      <c r="EQ43" s="253"/>
      <c r="ER43" s="253"/>
      <c r="ES43" s="254">
        <f>20</f>
        <v>20</v>
      </c>
      <c r="ET43" s="253"/>
      <c r="EU43" s="253"/>
      <c r="EV43" s="253"/>
      <c r="EW43" s="254">
        <f>40</f>
        <v>40</v>
      </c>
      <c r="EX43" s="255">
        <f>500-500</f>
        <v>0</v>
      </c>
      <c r="EY43" s="253"/>
      <c r="EZ43" s="253"/>
      <c r="FA43" s="255">
        <f>200-200</f>
        <v>0</v>
      </c>
      <c r="FB43" s="253"/>
      <c r="FC43" s="253"/>
      <c r="FD43" s="253"/>
      <c r="FE43" s="253"/>
      <c r="FF43" s="253"/>
      <c r="FG43" s="253"/>
      <c r="FH43" s="253"/>
      <c r="FI43" s="253"/>
      <c r="FJ43" s="253"/>
      <c r="FK43" s="253"/>
      <c r="FL43" s="253"/>
      <c r="FM43" s="253"/>
      <c r="FN43" s="253"/>
      <c r="FO43" s="253"/>
      <c r="FP43" s="256"/>
      <c r="FQ43" s="257" t="s">
        <v>1322</v>
      </c>
      <c r="FR43" s="258" t="s">
        <v>389</v>
      </c>
      <c r="FS43" s="258"/>
      <c r="FT43" s="258" t="s">
        <v>409</v>
      </c>
      <c r="FU43" s="259">
        <f t="shared" si="1"/>
        <v>180</v>
      </c>
      <c r="FV43" s="260" t="s">
        <v>410</v>
      </c>
    </row>
    <row r="44" spans="1:178" s="260" customFormat="1" hidden="1">
      <c r="A44" s="251" t="s">
        <v>393</v>
      </c>
      <c r="B44" s="251" t="s">
        <v>385</v>
      </c>
      <c r="C44" s="251" t="s">
        <v>407</v>
      </c>
      <c r="D44" s="251" t="s">
        <v>1</v>
      </c>
      <c r="E44" s="252" t="s">
        <v>408</v>
      </c>
      <c r="F44" s="251" t="s">
        <v>388</v>
      </c>
      <c r="G44" s="251"/>
      <c r="H44" s="253"/>
      <c r="I44" s="253"/>
      <c r="J44" s="253"/>
      <c r="K44" s="253"/>
      <c r="L44" s="253"/>
      <c r="M44" s="253"/>
      <c r="N44" s="253"/>
      <c r="O44" s="253"/>
      <c r="P44" s="253">
        <v>1</v>
      </c>
      <c r="Q44" s="253"/>
      <c r="R44" s="253"/>
      <c r="S44" s="253"/>
      <c r="T44" s="253"/>
      <c r="U44" s="253">
        <v>5</v>
      </c>
      <c r="V44" s="253">
        <v>10</v>
      </c>
      <c r="W44" s="253">
        <v>10</v>
      </c>
      <c r="X44" s="253"/>
      <c r="Y44" s="253"/>
      <c r="Z44" s="253"/>
      <c r="AA44" s="253"/>
      <c r="AB44" s="253"/>
      <c r="AC44" s="253"/>
      <c r="AD44" s="253"/>
      <c r="AE44" s="253"/>
      <c r="AF44" s="253"/>
      <c r="AG44" s="253"/>
      <c r="AH44" s="253"/>
      <c r="AI44" s="253"/>
      <c r="AJ44" s="253"/>
      <c r="AK44" s="253"/>
      <c r="AL44" s="253"/>
      <c r="AM44" s="253"/>
      <c r="AN44" s="253"/>
      <c r="AO44" s="253"/>
      <c r="AP44" s="253"/>
      <c r="AQ44" s="253"/>
      <c r="AR44" s="253"/>
      <c r="AS44" s="253"/>
      <c r="AT44" s="253"/>
      <c r="AU44" s="253"/>
      <c r="AV44" s="253"/>
      <c r="AW44" s="253"/>
      <c r="AX44" s="253"/>
      <c r="AY44" s="253"/>
      <c r="AZ44" s="253"/>
      <c r="BA44" s="253"/>
      <c r="BB44" s="253"/>
      <c r="BC44" s="254">
        <v>5</v>
      </c>
      <c r="BD44" s="253"/>
      <c r="BE44" s="253"/>
      <c r="BF44" s="253"/>
      <c r="BG44" s="253"/>
      <c r="BH44" s="253"/>
      <c r="BI44" s="253"/>
      <c r="BJ44" s="253"/>
      <c r="BK44" s="253"/>
      <c r="BL44" s="253"/>
      <c r="BM44" s="253"/>
      <c r="BN44" s="253"/>
      <c r="BO44" s="253"/>
      <c r="BP44" s="253"/>
      <c r="BQ44" s="254">
        <v>33</v>
      </c>
      <c r="BR44" s="253"/>
      <c r="BS44" s="253"/>
      <c r="BT44" s="253"/>
      <c r="BU44" s="253"/>
      <c r="BV44" s="253"/>
      <c r="BW44" s="253"/>
      <c r="BX44" s="253"/>
      <c r="BY44" s="253"/>
      <c r="BZ44" s="253"/>
      <c r="CA44" s="253"/>
      <c r="CB44" s="253"/>
      <c r="CC44" s="254">
        <v>20</v>
      </c>
      <c r="CD44" s="254">
        <v>20</v>
      </c>
      <c r="CE44" s="253"/>
      <c r="CF44" s="253"/>
      <c r="CG44" s="254">
        <v>40</v>
      </c>
      <c r="CH44" s="254">
        <f>30+20</f>
        <v>50</v>
      </c>
      <c r="CI44" s="254">
        <v>20</v>
      </c>
      <c r="CJ44" s="254"/>
      <c r="CK44" s="254"/>
      <c r="CL44" s="254">
        <v>20</v>
      </c>
      <c r="CM44" s="254">
        <v>100</v>
      </c>
      <c r="CN44" s="254">
        <v>200</v>
      </c>
      <c r="CO44" s="254">
        <v>50</v>
      </c>
      <c r="CP44" s="253"/>
      <c r="CQ44" s="253"/>
      <c r="CR44" s="253"/>
      <c r="CS44" s="253"/>
      <c r="CT44" s="253"/>
      <c r="CU44" s="253"/>
      <c r="CV44" s="253"/>
      <c r="CW44" s="253"/>
      <c r="CX44" s="254">
        <v>4</v>
      </c>
      <c r="CY44" s="253"/>
      <c r="CZ44" s="253"/>
      <c r="DA44" s="254">
        <v>30</v>
      </c>
      <c r="DB44" s="254">
        <v>50</v>
      </c>
      <c r="DC44" s="254">
        <v>10</v>
      </c>
      <c r="DD44" s="254">
        <v>5</v>
      </c>
      <c r="DE44" s="253"/>
      <c r="DF44" s="253"/>
      <c r="DG44" s="253"/>
      <c r="DH44" s="253"/>
      <c r="DI44" s="253"/>
      <c r="DJ44" s="253"/>
      <c r="DK44" s="253"/>
      <c r="DL44" s="254">
        <f>40</f>
        <v>40</v>
      </c>
      <c r="DM44" s="254">
        <f>180</f>
        <v>180</v>
      </c>
      <c r="DN44" s="253"/>
      <c r="DO44" s="253"/>
      <c r="DP44" s="253"/>
      <c r="DQ44" s="253"/>
      <c r="DR44" s="253"/>
      <c r="DS44" s="253"/>
      <c r="DT44" s="253"/>
      <c r="DU44" s="254">
        <f>2000-2000+30</f>
        <v>30</v>
      </c>
      <c r="DV44" s="254"/>
      <c r="DW44" s="254">
        <v>10</v>
      </c>
      <c r="DX44" s="254">
        <v>30</v>
      </c>
      <c r="DY44" s="253"/>
      <c r="DZ44" s="253"/>
      <c r="EA44" s="253"/>
      <c r="EB44" s="255">
        <f>500-500</f>
        <v>0</v>
      </c>
      <c r="EC44" s="253"/>
      <c r="ED44" s="253"/>
      <c r="EE44" s="253"/>
      <c r="EF44" s="253"/>
      <c r="EG44" s="253"/>
      <c r="EH44" s="253"/>
      <c r="EI44" s="253"/>
      <c r="EJ44" s="253"/>
      <c r="EK44" s="254">
        <f>1500-1500+40</f>
        <v>40</v>
      </c>
      <c r="EL44" s="254">
        <f>20</f>
        <v>20</v>
      </c>
      <c r="EM44" s="254">
        <f>20</f>
        <v>20</v>
      </c>
      <c r="EN44" s="253"/>
      <c r="EO44" s="253"/>
      <c r="EP44" s="253"/>
      <c r="EQ44" s="254">
        <f>90</f>
        <v>90</v>
      </c>
      <c r="ER44" s="254">
        <f>20</f>
        <v>20</v>
      </c>
      <c r="ES44" s="253"/>
      <c r="ET44" s="253"/>
      <c r="EU44" s="253"/>
      <c r="EV44" s="253"/>
      <c r="EW44" s="255">
        <f>1000-1000</f>
        <v>0</v>
      </c>
      <c r="EX44" s="253"/>
      <c r="EY44" s="254">
        <f>500-500+60</f>
        <v>60</v>
      </c>
      <c r="EZ44" s="253"/>
      <c r="FA44" s="253"/>
      <c r="FB44" s="253"/>
      <c r="FC44" s="253"/>
      <c r="FD44" s="253"/>
      <c r="FE44" s="253"/>
      <c r="FF44" s="253"/>
      <c r="FG44" s="253"/>
      <c r="FH44" s="253"/>
      <c r="FI44" s="253"/>
      <c r="FJ44" s="253"/>
      <c r="FK44" s="253"/>
      <c r="FL44" s="253"/>
      <c r="FM44" s="253"/>
      <c r="FN44" s="253"/>
      <c r="FO44" s="253"/>
      <c r="FP44" s="256"/>
      <c r="FQ44" s="257" t="s">
        <v>1322</v>
      </c>
      <c r="FR44" s="258" t="s">
        <v>389</v>
      </c>
      <c r="FS44" s="258"/>
      <c r="FT44" s="258" t="s">
        <v>409</v>
      </c>
      <c r="FU44" s="259">
        <f t="shared" si="1"/>
        <v>1223</v>
      </c>
      <c r="FV44" s="260" t="s">
        <v>410</v>
      </c>
    </row>
    <row r="45" spans="1:178" s="260" customFormat="1" hidden="1">
      <c r="A45" s="251" t="s">
        <v>393</v>
      </c>
      <c r="B45" s="251" t="s">
        <v>385</v>
      </c>
      <c r="C45" s="251" t="s">
        <v>893</v>
      </c>
      <c r="D45" s="251" t="s">
        <v>291</v>
      </c>
      <c r="E45" s="252" t="s">
        <v>1067</v>
      </c>
      <c r="F45" s="251" t="s">
        <v>388</v>
      </c>
      <c r="G45" s="251"/>
      <c r="H45" s="253"/>
      <c r="I45" s="253"/>
      <c r="J45" s="253"/>
      <c r="K45" s="253"/>
      <c r="L45" s="253"/>
      <c r="M45" s="253"/>
      <c r="N45" s="253"/>
      <c r="O45" s="253"/>
      <c r="P45" s="253"/>
      <c r="Q45" s="253"/>
      <c r="R45" s="253"/>
      <c r="S45" s="253"/>
      <c r="T45" s="253"/>
      <c r="U45" s="253"/>
      <c r="V45" s="253"/>
      <c r="W45" s="253"/>
      <c r="X45" s="253"/>
      <c r="Y45" s="253"/>
      <c r="Z45" s="253"/>
      <c r="AA45" s="253"/>
      <c r="AB45" s="253"/>
      <c r="AC45" s="253"/>
      <c r="AD45" s="253"/>
      <c r="AE45" s="253"/>
      <c r="AF45" s="253"/>
      <c r="AG45" s="253"/>
      <c r="AH45" s="253"/>
      <c r="AI45" s="253"/>
      <c r="AJ45" s="253"/>
      <c r="AK45" s="253"/>
      <c r="AL45" s="253"/>
      <c r="AM45" s="253"/>
      <c r="AN45" s="253"/>
      <c r="AO45" s="253"/>
      <c r="AP45" s="253"/>
      <c r="AQ45" s="253"/>
      <c r="AR45" s="253"/>
      <c r="AS45" s="253"/>
      <c r="AT45" s="253"/>
      <c r="AU45" s="253"/>
      <c r="AV45" s="253"/>
      <c r="AW45" s="253"/>
      <c r="AX45" s="253"/>
      <c r="AY45" s="253"/>
      <c r="AZ45" s="253"/>
      <c r="BA45" s="253"/>
      <c r="BB45" s="253"/>
      <c r="BC45" s="253"/>
      <c r="BD45" s="253"/>
      <c r="BE45" s="253"/>
      <c r="BF45" s="253"/>
      <c r="BG45" s="253"/>
      <c r="BH45" s="253"/>
      <c r="BI45" s="253"/>
      <c r="BJ45" s="253"/>
      <c r="BK45" s="253"/>
      <c r="BL45" s="253"/>
      <c r="BM45" s="253"/>
      <c r="BN45" s="253"/>
      <c r="BO45" s="253"/>
      <c r="BP45" s="253"/>
      <c r="BQ45" s="253"/>
      <c r="BR45" s="253"/>
      <c r="BS45" s="253"/>
      <c r="BT45" s="253"/>
      <c r="BU45" s="253"/>
      <c r="BV45" s="253"/>
      <c r="BW45" s="253"/>
      <c r="BX45" s="253"/>
      <c r="BY45" s="253"/>
      <c r="BZ45" s="253"/>
      <c r="CA45" s="253"/>
      <c r="CB45" s="253"/>
      <c r="CC45" s="253"/>
      <c r="CD45" s="253"/>
      <c r="CE45" s="253"/>
      <c r="CF45" s="253"/>
      <c r="CG45" s="253"/>
      <c r="CH45" s="253"/>
      <c r="CI45" s="253"/>
      <c r="CJ45" s="253"/>
      <c r="CK45" s="253"/>
      <c r="CL45" s="253"/>
      <c r="CM45" s="253"/>
      <c r="CN45" s="253"/>
      <c r="CO45" s="253"/>
      <c r="CP45" s="253"/>
      <c r="CQ45" s="253"/>
      <c r="CR45" s="253"/>
      <c r="CS45" s="253"/>
      <c r="CT45" s="253"/>
      <c r="CU45" s="253"/>
      <c r="CV45" s="253"/>
      <c r="CW45" s="253"/>
      <c r="CX45" s="253"/>
      <c r="CY45" s="253"/>
      <c r="CZ45" s="253"/>
      <c r="DA45" s="253"/>
      <c r="DB45" s="253"/>
      <c r="DC45" s="253"/>
      <c r="DD45" s="253"/>
      <c r="DE45" s="253"/>
      <c r="DF45" s="253"/>
      <c r="DG45" s="253"/>
      <c r="DH45" s="253"/>
      <c r="DI45" s="253"/>
      <c r="DJ45" s="253"/>
      <c r="DK45" s="253"/>
      <c r="DL45" s="253"/>
      <c r="DM45" s="253"/>
      <c r="DN45" s="253"/>
      <c r="DO45" s="253"/>
      <c r="DP45" s="253"/>
      <c r="DQ45" s="253"/>
      <c r="DR45" s="253"/>
      <c r="DS45" s="253"/>
      <c r="DT45" s="253"/>
      <c r="DU45" s="253"/>
      <c r="DV45" s="253"/>
      <c r="DW45" s="253"/>
      <c r="DX45" s="253"/>
      <c r="DY45" s="253"/>
      <c r="DZ45" s="253"/>
      <c r="EA45" s="253"/>
      <c r="EB45" s="253"/>
      <c r="EC45" s="253"/>
      <c r="ED45" s="253"/>
      <c r="EE45" s="253"/>
      <c r="EF45" s="253"/>
      <c r="EG45" s="253"/>
      <c r="EH45" s="253"/>
      <c r="EI45" s="253"/>
      <c r="EJ45" s="253"/>
      <c r="EK45" s="253"/>
      <c r="EL45" s="253"/>
      <c r="EM45" s="253"/>
      <c r="EN45" s="253"/>
      <c r="EO45" s="253"/>
      <c r="EP45" s="253"/>
      <c r="EQ45" s="253"/>
      <c r="ER45" s="253"/>
      <c r="ES45" s="253"/>
      <c r="ET45" s="253"/>
      <c r="EU45" s="253"/>
      <c r="EV45" s="253"/>
      <c r="EW45" s="253"/>
      <c r="EX45" s="254">
        <f>1000-1000+200</f>
        <v>200</v>
      </c>
      <c r="EY45" s="253"/>
      <c r="EZ45" s="253"/>
      <c r="FA45" s="253"/>
      <c r="FB45" s="253"/>
      <c r="FC45" s="253"/>
      <c r="FD45" s="253"/>
      <c r="FE45" s="253"/>
      <c r="FF45" s="253"/>
      <c r="FG45" s="253"/>
      <c r="FH45" s="253"/>
      <c r="FI45" s="253"/>
      <c r="FJ45" s="253"/>
      <c r="FK45" s="253"/>
      <c r="FL45" s="253"/>
      <c r="FM45" s="253"/>
      <c r="FN45" s="253"/>
      <c r="FO45" s="253"/>
      <c r="FP45" s="256"/>
      <c r="FQ45" s="257" t="s">
        <v>1322</v>
      </c>
      <c r="FR45" s="258" t="s">
        <v>389</v>
      </c>
      <c r="FS45" s="258"/>
      <c r="FT45" s="258" t="s">
        <v>1068</v>
      </c>
      <c r="FU45" s="259">
        <f t="shared" si="1"/>
        <v>200</v>
      </c>
      <c r="FV45" s="260" t="s">
        <v>391</v>
      </c>
    </row>
    <row r="46" spans="1:178" s="260" customFormat="1" hidden="1">
      <c r="A46" s="251" t="s">
        <v>385</v>
      </c>
      <c r="B46" s="251" t="s">
        <v>385</v>
      </c>
      <c r="C46" s="251" t="s">
        <v>893</v>
      </c>
      <c r="D46" s="251" t="s">
        <v>1</v>
      </c>
      <c r="E46" s="252" t="s">
        <v>894</v>
      </c>
      <c r="F46" s="251" t="s">
        <v>388</v>
      </c>
      <c r="G46" s="251" t="s">
        <v>842</v>
      </c>
      <c r="H46" s="253"/>
      <c r="I46" s="253"/>
      <c r="J46" s="253"/>
      <c r="K46" s="253"/>
      <c r="L46" s="253"/>
      <c r="M46" s="253"/>
      <c r="N46" s="253"/>
      <c r="O46" s="253"/>
      <c r="P46" s="253"/>
      <c r="Q46" s="253"/>
      <c r="R46" s="253"/>
      <c r="S46" s="253"/>
      <c r="T46" s="253"/>
      <c r="U46" s="253"/>
      <c r="V46" s="253"/>
      <c r="W46" s="253"/>
      <c r="X46" s="253"/>
      <c r="Y46" s="253"/>
      <c r="Z46" s="253"/>
      <c r="AA46" s="253"/>
      <c r="AB46" s="253"/>
      <c r="AC46" s="253"/>
      <c r="AD46" s="253"/>
      <c r="AE46" s="253"/>
      <c r="AF46" s="253"/>
      <c r="AG46" s="253"/>
      <c r="AH46" s="253"/>
      <c r="AI46" s="253"/>
      <c r="AJ46" s="253"/>
      <c r="AK46" s="253"/>
      <c r="AL46" s="253"/>
      <c r="AM46" s="253"/>
      <c r="AN46" s="253"/>
      <c r="AO46" s="253"/>
      <c r="AP46" s="255">
        <f>30-30</f>
        <v>0</v>
      </c>
      <c r="AQ46" s="253"/>
      <c r="AR46" s="255">
        <f>30-30</f>
        <v>0</v>
      </c>
      <c r="AS46" s="253"/>
      <c r="AT46" s="253"/>
      <c r="AU46" s="253"/>
      <c r="AV46" s="253"/>
      <c r="AW46" s="253"/>
      <c r="AX46" s="253"/>
      <c r="AY46" s="253"/>
      <c r="AZ46" s="253"/>
      <c r="BA46" s="253"/>
      <c r="BB46" s="253"/>
      <c r="BC46" s="253"/>
      <c r="BD46" s="253"/>
      <c r="BE46" s="253"/>
      <c r="BF46" s="253"/>
      <c r="BG46" s="253"/>
      <c r="BH46" s="253"/>
      <c r="BI46" s="253"/>
      <c r="BJ46" s="253"/>
      <c r="BK46" s="253"/>
      <c r="BL46" s="253"/>
      <c r="BM46" s="253"/>
      <c r="BN46" s="253"/>
      <c r="BO46" s="253"/>
      <c r="BP46" s="253"/>
      <c r="BQ46" s="253"/>
      <c r="BR46" s="253"/>
      <c r="BS46" s="253"/>
      <c r="BT46" s="253"/>
      <c r="BU46" s="253"/>
      <c r="BV46" s="253"/>
      <c r="BW46" s="253"/>
      <c r="BX46" s="253"/>
      <c r="BY46" s="253"/>
      <c r="BZ46" s="253"/>
      <c r="CA46" s="253"/>
      <c r="CB46" s="253"/>
      <c r="CC46" s="253"/>
      <c r="CD46" s="253"/>
      <c r="CE46" s="253"/>
      <c r="CF46" s="253"/>
      <c r="CG46" s="253"/>
      <c r="CH46" s="253"/>
      <c r="CI46" s="253"/>
      <c r="CJ46" s="253"/>
      <c r="CK46" s="253"/>
      <c r="CL46" s="253"/>
      <c r="CM46" s="253"/>
      <c r="CN46" s="253"/>
      <c r="CO46" s="253"/>
      <c r="CP46" s="253"/>
      <c r="CQ46" s="253"/>
      <c r="CR46" s="253"/>
      <c r="CS46" s="253"/>
      <c r="CT46" s="253"/>
      <c r="CU46" s="253"/>
      <c r="CV46" s="253"/>
      <c r="CW46" s="253"/>
      <c r="CX46" s="253"/>
      <c r="CY46" s="253"/>
      <c r="CZ46" s="253"/>
      <c r="DA46" s="253"/>
      <c r="DB46" s="253"/>
      <c r="DC46" s="253"/>
      <c r="DD46" s="253"/>
      <c r="DE46" s="253"/>
      <c r="DF46" s="253"/>
      <c r="DG46" s="253"/>
      <c r="DH46" s="253"/>
      <c r="DI46" s="253"/>
      <c r="DJ46" s="253"/>
      <c r="DK46" s="253"/>
      <c r="DL46" s="253"/>
      <c r="DM46" s="253"/>
      <c r="DN46" s="253"/>
      <c r="DO46" s="253"/>
      <c r="DP46" s="253"/>
      <c r="DQ46" s="253"/>
      <c r="DR46" s="253"/>
      <c r="DS46" s="253"/>
      <c r="DT46" s="253"/>
      <c r="DU46" s="253"/>
      <c r="DV46" s="253"/>
      <c r="DW46" s="253"/>
      <c r="DX46" s="253"/>
      <c r="DY46" s="253"/>
      <c r="DZ46" s="253"/>
      <c r="EA46" s="253"/>
      <c r="EB46" s="253"/>
      <c r="EC46" s="253"/>
      <c r="ED46" s="253"/>
      <c r="EE46" s="253"/>
      <c r="EF46" s="253"/>
      <c r="EG46" s="253"/>
      <c r="EH46" s="253"/>
      <c r="EI46" s="253"/>
      <c r="EJ46" s="253"/>
      <c r="EK46" s="253"/>
      <c r="EL46" s="253"/>
      <c r="EM46" s="253"/>
      <c r="EN46" s="253"/>
      <c r="EO46" s="253"/>
      <c r="EP46" s="253"/>
      <c r="EQ46" s="253"/>
      <c r="ER46" s="253"/>
      <c r="ES46" s="253"/>
      <c r="ET46" s="253"/>
      <c r="EU46" s="253"/>
      <c r="EV46" s="253"/>
      <c r="EW46" s="253"/>
      <c r="EX46" s="253"/>
      <c r="EY46" s="253"/>
      <c r="EZ46" s="253"/>
      <c r="FA46" s="253"/>
      <c r="FB46" s="253"/>
      <c r="FC46" s="253"/>
      <c r="FD46" s="253"/>
      <c r="FE46" s="253"/>
      <c r="FF46" s="253"/>
      <c r="FG46" s="253"/>
      <c r="FH46" s="253"/>
      <c r="FI46" s="253"/>
      <c r="FJ46" s="253"/>
      <c r="FK46" s="253"/>
      <c r="FL46" s="253"/>
      <c r="FM46" s="253"/>
      <c r="FN46" s="253"/>
      <c r="FO46" s="253"/>
      <c r="FP46" s="256"/>
      <c r="FQ46" s="257" t="s">
        <v>1322</v>
      </c>
      <c r="FR46" s="258" t="s">
        <v>389</v>
      </c>
      <c r="FS46" s="258"/>
      <c r="FT46" s="258" t="s">
        <v>895</v>
      </c>
      <c r="FU46" s="259">
        <f t="shared" si="1"/>
        <v>0</v>
      </c>
      <c r="FV46" s="260" t="s">
        <v>410</v>
      </c>
    </row>
    <row r="47" spans="1:178" s="260" customFormat="1" hidden="1">
      <c r="A47" s="251" t="s">
        <v>393</v>
      </c>
      <c r="B47" s="251" t="s">
        <v>385</v>
      </c>
      <c r="C47" s="251" t="s">
        <v>411</v>
      </c>
      <c r="D47" s="251" t="s">
        <v>291</v>
      </c>
      <c r="E47" s="252" t="s">
        <v>831</v>
      </c>
      <c r="F47" s="251" t="s">
        <v>388</v>
      </c>
      <c r="G47" s="251" t="s">
        <v>1335</v>
      </c>
      <c r="H47" s="253"/>
      <c r="I47" s="253"/>
      <c r="J47" s="253"/>
      <c r="K47" s="253"/>
      <c r="L47" s="253"/>
      <c r="M47" s="253"/>
      <c r="N47" s="253"/>
      <c r="O47" s="253"/>
      <c r="P47" s="253"/>
      <c r="Q47" s="253"/>
      <c r="R47" s="253"/>
      <c r="S47" s="253"/>
      <c r="T47" s="253"/>
      <c r="U47" s="253"/>
      <c r="V47" s="253"/>
      <c r="W47" s="253"/>
      <c r="X47" s="253"/>
      <c r="Y47" s="253"/>
      <c r="Z47" s="253"/>
      <c r="AA47" s="253"/>
      <c r="AB47" s="253"/>
      <c r="AC47" s="253"/>
      <c r="AD47" s="253"/>
      <c r="AE47" s="253"/>
      <c r="AF47" s="253"/>
      <c r="AG47" s="253"/>
      <c r="AH47" s="253"/>
      <c r="AI47" s="253"/>
      <c r="AJ47" s="253"/>
      <c r="AK47" s="253"/>
      <c r="AL47" s="253"/>
      <c r="AM47" s="253"/>
      <c r="AN47" s="253"/>
      <c r="AO47" s="253"/>
      <c r="AP47" s="253"/>
      <c r="AQ47" s="253"/>
      <c r="AR47" s="253"/>
      <c r="AS47" s="253"/>
      <c r="AT47" s="253"/>
      <c r="AU47" s="253"/>
      <c r="AV47" s="253"/>
      <c r="AW47" s="253"/>
      <c r="AX47" s="253"/>
      <c r="AY47" s="253"/>
      <c r="AZ47" s="253"/>
      <c r="BA47" s="253"/>
      <c r="BB47" s="253"/>
      <c r="BC47" s="253"/>
      <c r="BD47" s="253"/>
      <c r="BE47" s="253"/>
      <c r="BF47" s="253"/>
      <c r="BG47" s="253"/>
      <c r="BH47" s="253"/>
      <c r="BI47" s="253"/>
      <c r="BJ47" s="253"/>
      <c r="BK47" s="253"/>
      <c r="BL47" s="253"/>
      <c r="BM47" s="253"/>
      <c r="BN47" s="253"/>
      <c r="BO47" s="253"/>
      <c r="BP47" s="253"/>
      <c r="BQ47" s="253"/>
      <c r="BR47" s="253"/>
      <c r="BS47" s="253"/>
      <c r="BT47" s="253"/>
      <c r="BU47" s="253"/>
      <c r="BV47" s="253"/>
      <c r="BW47" s="253"/>
      <c r="BX47" s="253"/>
      <c r="BY47" s="253"/>
      <c r="BZ47" s="253"/>
      <c r="CA47" s="253"/>
      <c r="CB47" s="253"/>
      <c r="CC47" s="253"/>
      <c r="CD47" s="253"/>
      <c r="CE47" s="253"/>
      <c r="CF47" s="253"/>
      <c r="CG47" s="253"/>
      <c r="CH47" s="253"/>
      <c r="CI47" s="253"/>
      <c r="CJ47" s="253"/>
      <c r="CK47" s="253"/>
      <c r="CL47" s="253"/>
      <c r="CM47" s="253"/>
      <c r="CN47" s="253"/>
      <c r="CO47" s="253"/>
      <c r="CP47" s="253"/>
      <c r="CQ47" s="253"/>
      <c r="CR47" s="253"/>
      <c r="CS47" s="253"/>
      <c r="CT47" s="253"/>
      <c r="CU47" s="253"/>
      <c r="CV47" s="253"/>
      <c r="CW47" s="253"/>
      <c r="CX47" s="253"/>
      <c r="CY47" s="253"/>
      <c r="CZ47" s="253"/>
      <c r="DA47" s="253"/>
      <c r="DB47" s="253"/>
      <c r="DC47" s="253"/>
      <c r="DD47" s="253"/>
      <c r="DE47" s="253"/>
      <c r="DF47" s="253"/>
      <c r="DG47" s="253"/>
      <c r="DH47" s="253"/>
      <c r="DI47" s="255">
        <f>200-200</f>
        <v>0</v>
      </c>
      <c r="DJ47" s="253"/>
      <c r="DK47" s="253"/>
      <c r="DL47" s="253"/>
      <c r="DM47" s="253"/>
      <c r="DN47" s="253"/>
      <c r="DO47" s="253"/>
      <c r="DP47" s="253"/>
      <c r="DQ47" s="253"/>
      <c r="DR47" s="253"/>
      <c r="DS47" s="253"/>
      <c r="DT47" s="253"/>
      <c r="DU47" s="253"/>
      <c r="DV47" s="253"/>
      <c r="DW47" s="253"/>
      <c r="DX47" s="253"/>
      <c r="DY47" s="253"/>
      <c r="DZ47" s="253"/>
      <c r="EA47" s="253"/>
      <c r="EB47" s="253"/>
      <c r="EC47" s="253"/>
      <c r="ED47" s="253"/>
      <c r="EE47" s="253"/>
      <c r="EF47" s="253"/>
      <c r="EG47" s="255">
        <f>200-200</f>
        <v>0</v>
      </c>
      <c r="EH47" s="253"/>
      <c r="EI47" s="253"/>
      <c r="EJ47" s="253"/>
      <c r="EK47" s="253"/>
      <c r="EL47" s="253"/>
      <c r="EM47" s="253"/>
      <c r="EN47" s="253"/>
      <c r="EO47" s="253"/>
      <c r="EP47" s="253"/>
      <c r="EQ47" s="253"/>
      <c r="ER47" s="253"/>
      <c r="ES47" s="253"/>
      <c r="ET47" s="253"/>
      <c r="EU47" s="253"/>
      <c r="EV47" s="253"/>
      <c r="EW47" s="253"/>
      <c r="EX47" s="255">
        <f>200-200</f>
        <v>0</v>
      </c>
      <c r="EY47" s="253"/>
      <c r="EZ47" s="253"/>
      <c r="FA47" s="253"/>
      <c r="FB47" s="253"/>
      <c r="FC47" s="253"/>
      <c r="FD47" s="253"/>
      <c r="FE47" s="253"/>
      <c r="FF47" s="253"/>
      <c r="FG47" s="253"/>
      <c r="FH47" s="253"/>
      <c r="FI47" s="253"/>
      <c r="FJ47" s="253"/>
      <c r="FK47" s="253"/>
      <c r="FL47" s="253"/>
      <c r="FM47" s="253"/>
      <c r="FN47" s="253"/>
      <c r="FO47" s="253"/>
      <c r="FP47" s="256"/>
      <c r="FQ47" s="257" t="s">
        <v>1322</v>
      </c>
      <c r="FR47" s="258" t="s">
        <v>389</v>
      </c>
      <c r="FS47" s="258" t="s">
        <v>833</v>
      </c>
      <c r="FT47" s="258" t="s">
        <v>834</v>
      </c>
      <c r="FU47" s="259">
        <f t="shared" si="1"/>
        <v>0</v>
      </c>
      <c r="FV47" s="260" t="s">
        <v>433</v>
      </c>
    </row>
    <row r="48" spans="1:178" s="260" customFormat="1" hidden="1">
      <c r="A48" s="251" t="s">
        <v>393</v>
      </c>
      <c r="B48" s="251" t="s">
        <v>385</v>
      </c>
      <c r="C48" s="251" t="s">
        <v>411</v>
      </c>
      <c r="D48" s="251" t="s">
        <v>1</v>
      </c>
      <c r="E48" s="252" t="s">
        <v>831</v>
      </c>
      <c r="F48" s="251" t="s">
        <v>388</v>
      </c>
      <c r="G48" s="251" t="s">
        <v>1335</v>
      </c>
      <c r="H48" s="253"/>
      <c r="I48" s="253"/>
      <c r="J48" s="253"/>
      <c r="K48" s="253"/>
      <c r="L48" s="253"/>
      <c r="M48" s="253"/>
      <c r="N48" s="253"/>
      <c r="O48" s="253"/>
      <c r="P48" s="253"/>
      <c r="Q48" s="253"/>
      <c r="R48" s="253"/>
      <c r="S48" s="253"/>
      <c r="T48" s="253"/>
      <c r="U48" s="253"/>
      <c r="V48" s="253"/>
      <c r="W48" s="253"/>
      <c r="X48" s="253"/>
      <c r="Y48" s="253"/>
      <c r="Z48" s="253"/>
      <c r="AA48" s="255">
        <f>200-200</f>
        <v>0</v>
      </c>
      <c r="AB48" s="255">
        <f>200-200</f>
        <v>0</v>
      </c>
      <c r="AC48" s="253"/>
      <c r="AD48" s="253"/>
      <c r="AE48" s="253"/>
      <c r="AF48" s="253"/>
      <c r="AG48" s="255">
        <f>200-200</f>
        <v>0</v>
      </c>
      <c r="AH48" s="253"/>
      <c r="AI48" s="253"/>
      <c r="AJ48" s="255">
        <f>200-200</f>
        <v>0</v>
      </c>
      <c r="AK48" s="253"/>
      <c r="AL48" s="253"/>
      <c r="AM48" s="255">
        <f>200-200</f>
        <v>0</v>
      </c>
      <c r="AN48" s="253"/>
      <c r="AO48" s="253"/>
      <c r="AP48" s="253"/>
      <c r="AQ48" s="253"/>
      <c r="AR48" s="253"/>
      <c r="AS48" s="253"/>
      <c r="AT48" s="253"/>
      <c r="AU48" s="253"/>
      <c r="AV48" s="253"/>
      <c r="AW48" s="253"/>
      <c r="AX48" s="253"/>
      <c r="AY48" s="253"/>
      <c r="AZ48" s="253"/>
      <c r="BA48" s="253"/>
      <c r="BB48" s="253"/>
      <c r="BC48" s="253"/>
      <c r="BD48" s="253"/>
      <c r="BE48" s="253"/>
      <c r="BF48" s="253"/>
      <c r="BG48" s="253"/>
      <c r="BH48" s="253"/>
      <c r="BI48" s="253"/>
      <c r="BJ48" s="253"/>
      <c r="BK48" s="253"/>
      <c r="BL48" s="253"/>
      <c r="BM48" s="253"/>
      <c r="BN48" s="253"/>
      <c r="BO48" s="253"/>
      <c r="BP48" s="253"/>
      <c r="BQ48" s="253"/>
      <c r="BR48" s="253"/>
      <c r="BS48" s="253"/>
      <c r="BT48" s="253"/>
      <c r="BU48" s="253"/>
      <c r="BV48" s="253"/>
      <c r="BW48" s="253"/>
      <c r="BX48" s="253"/>
      <c r="BY48" s="253"/>
      <c r="BZ48" s="253"/>
      <c r="CA48" s="253"/>
      <c r="CB48" s="253"/>
      <c r="CC48" s="253"/>
      <c r="CD48" s="253"/>
      <c r="CE48" s="253"/>
      <c r="CF48" s="253"/>
      <c r="CG48" s="253"/>
      <c r="CH48" s="253"/>
      <c r="CI48" s="253"/>
      <c r="CJ48" s="253"/>
      <c r="CK48" s="253"/>
      <c r="CL48" s="253"/>
      <c r="CM48" s="253"/>
      <c r="CN48" s="253"/>
      <c r="CO48" s="253"/>
      <c r="CP48" s="253"/>
      <c r="CQ48" s="253"/>
      <c r="CR48" s="253"/>
      <c r="CS48" s="253"/>
      <c r="CT48" s="253"/>
      <c r="CU48" s="253"/>
      <c r="CV48" s="253"/>
      <c r="CW48" s="253"/>
      <c r="CX48" s="253"/>
      <c r="CY48" s="253"/>
      <c r="CZ48" s="253"/>
      <c r="DA48" s="253"/>
      <c r="DB48" s="253"/>
      <c r="DC48" s="253"/>
      <c r="DD48" s="253"/>
      <c r="DE48" s="253"/>
      <c r="DF48" s="253"/>
      <c r="DG48" s="253"/>
      <c r="DH48" s="253"/>
      <c r="DI48" s="253"/>
      <c r="DJ48" s="253"/>
      <c r="DK48" s="253"/>
      <c r="DL48" s="255">
        <f>200-200</f>
        <v>0</v>
      </c>
      <c r="DM48" s="253"/>
      <c r="DN48" s="253"/>
      <c r="DO48" s="253"/>
      <c r="DP48" s="253"/>
      <c r="DQ48" s="253"/>
      <c r="DR48" s="253"/>
      <c r="DS48" s="253"/>
      <c r="DT48" s="253"/>
      <c r="DU48" s="255">
        <f>200-200</f>
        <v>0</v>
      </c>
      <c r="DV48" s="253"/>
      <c r="DW48" s="253"/>
      <c r="DX48" s="253"/>
      <c r="DY48" s="253"/>
      <c r="DZ48" s="253"/>
      <c r="EA48" s="255">
        <f>200-200</f>
        <v>0</v>
      </c>
      <c r="EB48" s="255">
        <f>200-200</f>
        <v>0</v>
      </c>
      <c r="EC48" s="253"/>
      <c r="ED48" s="253"/>
      <c r="EE48" s="253"/>
      <c r="EF48" s="253"/>
      <c r="EG48" s="253"/>
      <c r="EH48" s="253"/>
      <c r="EI48" s="253"/>
      <c r="EJ48" s="253"/>
      <c r="EK48" s="255">
        <f>200-200</f>
        <v>0</v>
      </c>
      <c r="EL48" s="255">
        <f>200-200</f>
        <v>0</v>
      </c>
      <c r="EM48" s="253"/>
      <c r="EN48" s="253"/>
      <c r="EO48" s="253"/>
      <c r="EP48" s="253"/>
      <c r="EQ48" s="253"/>
      <c r="ER48" s="253"/>
      <c r="ES48" s="253"/>
      <c r="ET48" s="253"/>
      <c r="EU48" s="253"/>
      <c r="EV48" s="253"/>
      <c r="EW48" s="255">
        <f>200-200</f>
        <v>0</v>
      </c>
      <c r="EX48" s="253"/>
      <c r="EY48" s="255">
        <f>200-200</f>
        <v>0</v>
      </c>
      <c r="EZ48" s="253"/>
      <c r="FA48" s="253"/>
      <c r="FB48" s="253"/>
      <c r="FC48" s="254">
        <f>40-40+40</f>
        <v>40</v>
      </c>
      <c r="FD48" s="253"/>
      <c r="FE48" s="253"/>
      <c r="FF48" s="253"/>
      <c r="FG48" s="253"/>
      <c r="FH48" s="253"/>
      <c r="FI48" s="253"/>
      <c r="FJ48" s="253"/>
      <c r="FK48" s="253"/>
      <c r="FL48" s="253"/>
      <c r="FM48" s="253"/>
      <c r="FN48" s="253"/>
      <c r="FO48" s="253"/>
      <c r="FP48" s="256"/>
      <c r="FQ48" s="257" t="s">
        <v>1322</v>
      </c>
      <c r="FR48" s="258" t="s">
        <v>389</v>
      </c>
      <c r="FS48" s="258" t="s">
        <v>833</v>
      </c>
      <c r="FT48" s="258" t="s">
        <v>834</v>
      </c>
      <c r="FU48" s="259">
        <f t="shared" si="1"/>
        <v>40</v>
      </c>
      <c r="FV48" s="260" t="s">
        <v>433</v>
      </c>
    </row>
    <row r="49" spans="1:178" s="260" customFormat="1" hidden="1">
      <c r="A49" s="251" t="s">
        <v>417</v>
      </c>
      <c r="B49" s="251" t="s">
        <v>385</v>
      </c>
      <c r="C49" s="251" t="s">
        <v>411</v>
      </c>
      <c r="D49" s="251" t="s">
        <v>291</v>
      </c>
      <c r="E49" s="252" t="s">
        <v>975</v>
      </c>
      <c r="F49" s="251" t="s">
        <v>388</v>
      </c>
      <c r="G49" s="251" t="s">
        <v>1336</v>
      </c>
      <c r="H49" s="253"/>
      <c r="I49" s="253"/>
      <c r="J49" s="253"/>
      <c r="K49" s="253"/>
      <c r="L49" s="253"/>
      <c r="M49" s="253"/>
      <c r="N49" s="253"/>
      <c r="O49" s="253"/>
      <c r="P49" s="253"/>
      <c r="Q49" s="253"/>
      <c r="R49" s="253"/>
      <c r="S49" s="253"/>
      <c r="T49" s="253"/>
      <c r="U49" s="253"/>
      <c r="V49" s="253"/>
      <c r="W49" s="253"/>
      <c r="X49" s="253"/>
      <c r="Y49" s="253"/>
      <c r="Z49" s="253"/>
      <c r="AA49" s="253"/>
      <c r="AB49" s="253"/>
      <c r="AC49" s="253"/>
      <c r="AD49" s="253"/>
      <c r="AE49" s="253"/>
      <c r="AF49" s="253"/>
      <c r="AG49" s="253"/>
      <c r="AH49" s="253"/>
      <c r="AI49" s="253"/>
      <c r="AJ49" s="253"/>
      <c r="AK49" s="253"/>
      <c r="AL49" s="253"/>
      <c r="AM49" s="253"/>
      <c r="AN49" s="253"/>
      <c r="AO49" s="253"/>
      <c r="AP49" s="253"/>
      <c r="AQ49" s="253"/>
      <c r="AR49" s="253"/>
      <c r="AS49" s="253"/>
      <c r="AT49" s="253"/>
      <c r="AU49" s="253"/>
      <c r="AV49" s="253"/>
      <c r="AW49" s="253"/>
      <c r="AX49" s="253"/>
      <c r="AY49" s="253"/>
      <c r="AZ49" s="253"/>
      <c r="BA49" s="253"/>
      <c r="BB49" s="253"/>
      <c r="BC49" s="253"/>
      <c r="BD49" s="253"/>
      <c r="BE49" s="253"/>
      <c r="BF49" s="253"/>
      <c r="BG49" s="253"/>
      <c r="BH49" s="253"/>
      <c r="BI49" s="253"/>
      <c r="BJ49" s="253"/>
      <c r="BK49" s="253"/>
      <c r="BL49" s="253"/>
      <c r="BM49" s="253"/>
      <c r="BN49" s="253"/>
      <c r="BO49" s="253"/>
      <c r="BP49" s="253"/>
      <c r="BQ49" s="253"/>
      <c r="BR49" s="253"/>
      <c r="BS49" s="253"/>
      <c r="BT49" s="253"/>
      <c r="BU49" s="253"/>
      <c r="BV49" s="253"/>
      <c r="BW49" s="253"/>
      <c r="BX49" s="253"/>
      <c r="BY49" s="253"/>
      <c r="BZ49" s="253"/>
      <c r="CA49" s="253"/>
      <c r="CB49" s="253"/>
      <c r="CC49" s="253"/>
      <c r="CD49" s="253"/>
      <c r="CE49" s="253"/>
      <c r="CF49" s="253"/>
      <c r="CG49" s="253"/>
      <c r="CH49" s="253"/>
      <c r="CI49" s="253"/>
      <c r="CJ49" s="253"/>
      <c r="CK49" s="253"/>
      <c r="CL49" s="253"/>
      <c r="CM49" s="253"/>
      <c r="CN49" s="253"/>
      <c r="CO49" s="253"/>
      <c r="CP49" s="253"/>
      <c r="CQ49" s="253"/>
      <c r="CR49" s="253"/>
      <c r="CS49" s="253"/>
      <c r="CT49" s="253"/>
      <c r="CU49" s="253"/>
      <c r="CV49" s="253"/>
      <c r="CW49" s="253"/>
      <c r="CX49" s="253"/>
      <c r="CY49" s="253"/>
      <c r="CZ49" s="253"/>
      <c r="DA49" s="253"/>
      <c r="DB49" s="253"/>
      <c r="DC49" s="253"/>
      <c r="DD49" s="253"/>
      <c r="DE49" s="253"/>
      <c r="DF49" s="253"/>
      <c r="DG49" s="253"/>
      <c r="DH49" s="253"/>
      <c r="DI49" s="253"/>
      <c r="DJ49" s="253"/>
      <c r="DK49" s="253"/>
      <c r="DL49" s="253"/>
      <c r="DM49" s="253"/>
      <c r="DN49" s="253"/>
      <c r="DO49" s="253"/>
      <c r="DP49" s="253"/>
      <c r="DQ49" s="253"/>
      <c r="DR49" s="253"/>
      <c r="DS49" s="253"/>
      <c r="DT49" s="255">
        <f>80-80</f>
        <v>0</v>
      </c>
      <c r="DU49" s="253"/>
      <c r="DV49" s="253"/>
      <c r="DW49" s="253"/>
      <c r="DX49" s="253"/>
      <c r="DY49" s="253"/>
      <c r="DZ49" s="253"/>
      <c r="EA49" s="253"/>
      <c r="EB49" s="253"/>
      <c r="EC49" s="253"/>
      <c r="ED49" s="253"/>
      <c r="EE49" s="253"/>
      <c r="EF49" s="253"/>
      <c r="EG49" s="253"/>
      <c r="EH49" s="253"/>
      <c r="EI49" s="253"/>
      <c r="EJ49" s="253"/>
      <c r="EK49" s="253"/>
      <c r="EL49" s="253"/>
      <c r="EM49" s="253"/>
      <c r="EN49" s="253"/>
      <c r="EO49" s="253"/>
      <c r="EP49" s="253"/>
      <c r="EQ49" s="253"/>
      <c r="ER49" s="253"/>
      <c r="ES49" s="253"/>
      <c r="ET49" s="253"/>
      <c r="EU49" s="253"/>
      <c r="EV49" s="253"/>
      <c r="EW49" s="253"/>
      <c r="EX49" s="253"/>
      <c r="EY49" s="253"/>
      <c r="EZ49" s="253"/>
      <c r="FA49" s="253"/>
      <c r="FB49" s="253"/>
      <c r="FC49" s="253"/>
      <c r="FD49" s="253"/>
      <c r="FE49" s="253"/>
      <c r="FF49" s="253"/>
      <c r="FG49" s="253"/>
      <c r="FH49" s="253"/>
      <c r="FI49" s="253"/>
      <c r="FJ49" s="253"/>
      <c r="FK49" s="253"/>
      <c r="FL49" s="253"/>
      <c r="FM49" s="253"/>
      <c r="FN49" s="253"/>
      <c r="FO49" s="253"/>
      <c r="FP49" s="256"/>
      <c r="FQ49" s="257" t="s">
        <v>1322</v>
      </c>
      <c r="FR49" s="258" t="s">
        <v>389</v>
      </c>
      <c r="FS49" s="258" t="s">
        <v>976</v>
      </c>
      <c r="FT49" s="258" t="s">
        <v>977</v>
      </c>
      <c r="FU49" s="259">
        <f t="shared" si="1"/>
        <v>0</v>
      </c>
      <c r="FV49" s="260" t="s">
        <v>433</v>
      </c>
    </row>
    <row r="50" spans="1:178" s="260" customFormat="1" hidden="1">
      <c r="A50" s="251" t="s">
        <v>417</v>
      </c>
      <c r="B50" s="251" t="s">
        <v>385</v>
      </c>
      <c r="C50" s="251" t="s">
        <v>411</v>
      </c>
      <c r="D50" s="251" t="s">
        <v>1</v>
      </c>
      <c r="E50" s="252" t="s">
        <v>975</v>
      </c>
      <c r="F50" s="251" t="s">
        <v>388</v>
      </c>
      <c r="G50" s="251" t="s">
        <v>1336</v>
      </c>
      <c r="H50" s="253"/>
      <c r="I50" s="253"/>
      <c r="J50" s="253"/>
      <c r="K50" s="253"/>
      <c r="L50" s="253"/>
      <c r="M50" s="253"/>
      <c r="N50" s="253"/>
      <c r="O50" s="253"/>
      <c r="P50" s="253"/>
      <c r="Q50" s="253"/>
      <c r="R50" s="253"/>
      <c r="S50" s="253"/>
      <c r="T50" s="253"/>
      <c r="U50" s="253"/>
      <c r="V50" s="253"/>
      <c r="W50" s="253"/>
      <c r="X50" s="253"/>
      <c r="Y50" s="253"/>
      <c r="Z50" s="253"/>
      <c r="AA50" s="253"/>
      <c r="AB50" s="253"/>
      <c r="AC50" s="253"/>
      <c r="AD50" s="253"/>
      <c r="AE50" s="253"/>
      <c r="AF50" s="253"/>
      <c r="AG50" s="253"/>
      <c r="AH50" s="253"/>
      <c r="AI50" s="253"/>
      <c r="AJ50" s="253"/>
      <c r="AK50" s="253"/>
      <c r="AL50" s="253"/>
      <c r="AM50" s="253"/>
      <c r="AN50" s="253"/>
      <c r="AO50" s="253"/>
      <c r="AP50" s="253"/>
      <c r="AQ50" s="253"/>
      <c r="AR50" s="253"/>
      <c r="AS50" s="253"/>
      <c r="AT50" s="253"/>
      <c r="AU50" s="253"/>
      <c r="AV50" s="253"/>
      <c r="AW50" s="253"/>
      <c r="AX50" s="253"/>
      <c r="AY50" s="253"/>
      <c r="AZ50" s="253"/>
      <c r="BA50" s="253"/>
      <c r="BB50" s="253"/>
      <c r="BC50" s="253"/>
      <c r="BD50" s="253"/>
      <c r="BE50" s="253"/>
      <c r="BF50" s="253"/>
      <c r="BG50" s="255">
        <f>5-5</f>
        <v>0</v>
      </c>
      <c r="BH50" s="253"/>
      <c r="BI50" s="253"/>
      <c r="BJ50" s="253"/>
      <c r="BK50" s="253"/>
      <c r="BL50" s="253"/>
      <c r="BM50" s="253"/>
      <c r="BN50" s="253"/>
      <c r="BO50" s="253"/>
      <c r="BP50" s="253"/>
      <c r="BQ50" s="253"/>
      <c r="BR50" s="253"/>
      <c r="BS50" s="253"/>
      <c r="BT50" s="253"/>
      <c r="BU50" s="253"/>
      <c r="BV50" s="253"/>
      <c r="BW50" s="253"/>
      <c r="BX50" s="253"/>
      <c r="BY50" s="253"/>
      <c r="BZ50" s="253"/>
      <c r="CA50" s="253"/>
      <c r="CB50" s="253"/>
      <c r="CC50" s="253"/>
      <c r="CD50" s="253"/>
      <c r="CE50" s="253"/>
      <c r="CF50" s="253"/>
      <c r="CG50" s="253"/>
      <c r="CH50" s="253"/>
      <c r="CI50" s="255">
        <f>10-10</f>
        <v>0</v>
      </c>
      <c r="CJ50" s="253"/>
      <c r="CK50" s="253"/>
      <c r="CL50" s="253"/>
      <c r="CM50" s="253"/>
      <c r="CN50" s="253"/>
      <c r="CO50" s="253"/>
      <c r="CP50" s="255">
        <f>20-20</f>
        <v>0</v>
      </c>
      <c r="CQ50" s="253"/>
      <c r="CR50" s="253"/>
      <c r="CS50" s="253"/>
      <c r="CT50" s="253"/>
      <c r="CU50" s="255">
        <f>20-20</f>
        <v>0</v>
      </c>
      <c r="CV50" s="253"/>
      <c r="CW50" s="253"/>
      <c r="CX50" s="253"/>
      <c r="CY50" s="253"/>
      <c r="CZ50" s="253"/>
      <c r="DA50" s="253"/>
      <c r="DB50" s="255">
        <f>30-30</f>
        <v>0</v>
      </c>
      <c r="DC50" s="253"/>
      <c r="DD50" s="253"/>
      <c r="DE50" s="253"/>
      <c r="DF50" s="253"/>
      <c r="DG50" s="253"/>
      <c r="DH50" s="253"/>
      <c r="DI50" s="253"/>
      <c r="DJ50" s="253"/>
      <c r="DK50" s="253"/>
      <c r="DL50" s="253"/>
      <c r="DM50" s="253"/>
      <c r="DN50" s="253"/>
      <c r="DO50" s="253"/>
      <c r="DP50" s="253"/>
      <c r="DQ50" s="253"/>
      <c r="DR50" s="253"/>
      <c r="DS50" s="253"/>
      <c r="DT50" s="253"/>
      <c r="DU50" s="255">
        <f>200-200</f>
        <v>0</v>
      </c>
      <c r="DV50" s="253"/>
      <c r="DW50" s="253"/>
      <c r="DX50" s="253"/>
      <c r="DY50" s="253"/>
      <c r="DZ50" s="253"/>
      <c r="EA50" s="253"/>
      <c r="EB50" s="253"/>
      <c r="EC50" s="253"/>
      <c r="ED50" s="253"/>
      <c r="EE50" s="253"/>
      <c r="EF50" s="253"/>
      <c r="EG50" s="253"/>
      <c r="EH50" s="253"/>
      <c r="EI50" s="253"/>
      <c r="EJ50" s="253"/>
      <c r="EK50" s="253"/>
      <c r="EL50" s="253"/>
      <c r="EM50" s="253"/>
      <c r="EN50" s="253"/>
      <c r="EO50" s="253"/>
      <c r="EP50" s="253"/>
      <c r="EQ50" s="253"/>
      <c r="ER50" s="253"/>
      <c r="ES50" s="253"/>
      <c r="ET50" s="253"/>
      <c r="EU50" s="253"/>
      <c r="EV50" s="253"/>
      <c r="EW50" s="253"/>
      <c r="EX50" s="253"/>
      <c r="EY50" s="253"/>
      <c r="EZ50" s="253"/>
      <c r="FA50" s="253"/>
      <c r="FB50" s="253"/>
      <c r="FC50" s="253"/>
      <c r="FD50" s="253"/>
      <c r="FE50" s="253"/>
      <c r="FF50" s="253"/>
      <c r="FG50" s="253"/>
      <c r="FH50" s="253"/>
      <c r="FI50" s="253"/>
      <c r="FJ50" s="253"/>
      <c r="FK50" s="253"/>
      <c r="FL50" s="253"/>
      <c r="FM50" s="253"/>
      <c r="FN50" s="253"/>
      <c r="FO50" s="253"/>
      <c r="FP50" s="256"/>
      <c r="FQ50" s="257" t="s">
        <v>1322</v>
      </c>
      <c r="FR50" s="258" t="s">
        <v>389</v>
      </c>
      <c r="FS50" s="258" t="s">
        <v>976</v>
      </c>
      <c r="FT50" s="258" t="s">
        <v>977</v>
      </c>
      <c r="FU50" s="259">
        <f t="shared" si="1"/>
        <v>0</v>
      </c>
      <c r="FV50" s="260" t="s">
        <v>433</v>
      </c>
    </row>
    <row r="51" spans="1:178" s="260" customFormat="1" hidden="1">
      <c r="A51" s="251" t="s">
        <v>385</v>
      </c>
      <c r="B51" s="251" t="s">
        <v>385</v>
      </c>
      <c r="C51" s="251" t="s">
        <v>411</v>
      </c>
      <c r="D51" s="251" t="s">
        <v>291</v>
      </c>
      <c r="E51" s="252" t="s">
        <v>415</v>
      </c>
      <c r="F51" s="251" t="s">
        <v>388</v>
      </c>
      <c r="G51" s="251"/>
      <c r="H51" s="253"/>
      <c r="I51" s="253"/>
      <c r="J51" s="253"/>
      <c r="K51" s="253"/>
      <c r="L51" s="253"/>
      <c r="M51" s="253"/>
      <c r="N51" s="253"/>
      <c r="O51" s="253"/>
      <c r="P51" s="253"/>
      <c r="Q51" s="253"/>
      <c r="R51" s="253"/>
      <c r="S51" s="253"/>
      <c r="T51" s="253"/>
      <c r="U51" s="253"/>
      <c r="V51" s="253"/>
      <c r="W51" s="253"/>
      <c r="X51" s="253"/>
      <c r="Y51" s="253"/>
      <c r="Z51" s="253"/>
      <c r="AA51" s="253"/>
      <c r="AB51" s="253"/>
      <c r="AC51" s="253"/>
      <c r="AD51" s="253"/>
      <c r="AE51" s="253"/>
      <c r="AF51" s="253"/>
      <c r="AG51" s="253"/>
      <c r="AH51" s="253"/>
      <c r="AI51" s="253"/>
      <c r="AJ51" s="253"/>
      <c r="AK51" s="253"/>
      <c r="AL51" s="253"/>
      <c r="AM51" s="253"/>
      <c r="AN51" s="253"/>
      <c r="AO51" s="253"/>
      <c r="AP51" s="253"/>
      <c r="AQ51" s="253"/>
      <c r="AR51" s="253"/>
      <c r="AS51" s="253"/>
      <c r="AT51" s="253"/>
      <c r="AU51" s="253"/>
      <c r="AV51" s="253"/>
      <c r="AW51" s="253"/>
      <c r="AX51" s="253"/>
      <c r="AY51" s="253"/>
      <c r="AZ51" s="253"/>
      <c r="BA51" s="253"/>
      <c r="BB51" s="253"/>
      <c r="BC51" s="253"/>
      <c r="BD51" s="253"/>
      <c r="BE51" s="253"/>
      <c r="BF51" s="253"/>
      <c r="BG51" s="253"/>
      <c r="BH51" s="253"/>
      <c r="BI51" s="253"/>
      <c r="BJ51" s="253"/>
      <c r="BK51" s="253"/>
      <c r="BL51" s="253"/>
      <c r="BM51" s="253"/>
      <c r="BN51" s="253"/>
      <c r="BO51" s="253"/>
      <c r="BP51" s="253"/>
      <c r="BQ51" s="253"/>
      <c r="BR51" s="253"/>
      <c r="BS51" s="253"/>
      <c r="BT51" s="253"/>
      <c r="BU51" s="253"/>
      <c r="BV51" s="253"/>
      <c r="BW51" s="253"/>
      <c r="BX51" s="253"/>
      <c r="BY51" s="253"/>
      <c r="BZ51" s="253"/>
      <c r="CA51" s="253"/>
      <c r="CB51" s="253"/>
      <c r="CC51" s="253"/>
      <c r="CD51" s="253"/>
      <c r="CE51" s="253"/>
      <c r="CF51" s="253"/>
      <c r="CG51" s="253"/>
      <c r="CH51" s="253"/>
      <c r="CI51" s="253"/>
      <c r="CJ51" s="253"/>
      <c r="CK51" s="253"/>
      <c r="CL51" s="253"/>
      <c r="CM51" s="253"/>
      <c r="CN51" s="253"/>
      <c r="CO51" s="253"/>
      <c r="CP51" s="253"/>
      <c r="CQ51" s="253"/>
      <c r="CR51" s="253"/>
      <c r="CS51" s="253"/>
      <c r="CT51" s="253"/>
      <c r="CU51" s="253"/>
      <c r="CV51" s="253"/>
      <c r="CW51" s="253"/>
      <c r="CX51" s="253"/>
      <c r="CY51" s="253"/>
      <c r="CZ51" s="253"/>
      <c r="DA51" s="253"/>
      <c r="DB51" s="253"/>
      <c r="DC51" s="253"/>
      <c r="DD51" s="253"/>
      <c r="DE51" s="253"/>
      <c r="DF51" s="253"/>
      <c r="DG51" s="253"/>
      <c r="DH51" s="253"/>
      <c r="DI51" s="253"/>
      <c r="DJ51" s="253"/>
      <c r="DK51" s="253"/>
      <c r="DL51" s="253"/>
      <c r="DM51" s="253"/>
      <c r="DN51" s="253"/>
      <c r="DO51" s="253"/>
      <c r="DP51" s="253"/>
      <c r="DQ51" s="253"/>
      <c r="DR51" s="253"/>
      <c r="DS51" s="253"/>
      <c r="DT51" s="255">
        <f>600-600</f>
        <v>0</v>
      </c>
      <c r="DU51" s="253"/>
      <c r="DV51" s="253"/>
      <c r="DW51" s="255">
        <f>600-600</f>
        <v>0</v>
      </c>
      <c r="DX51" s="255">
        <f>300-300</f>
        <v>0</v>
      </c>
      <c r="DY51" s="253"/>
      <c r="DZ51" s="253"/>
      <c r="EA51" s="253"/>
      <c r="EB51" s="253"/>
      <c r="EC51" s="253"/>
      <c r="ED51" s="253"/>
      <c r="EE51" s="253"/>
      <c r="EF51" s="255">
        <f>200-200</f>
        <v>0</v>
      </c>
      <c r="EG51" s="255">
        <f>200-200</f>
        <v>0</v>
      </c>
      <c r="EH51" s="253"/>
      <c r="EI51" s="253"/>
      <c r="EJ51" s="253"/>
      <c r="EK51" s="253"/>
      <c r="EL51" s="253"/>
      <c r="EM51" s="253"/>
      <c r="EN51" s="253"/>
      <c r="EO51" s="253"/>
      <c r="EP51" s="253"/>
      <c r="EQ51" s="253"/>
      <c r="ER51" s="253"/>
      <c r="ES51" s="253"/>
      <c r="ET51" s="253"/>
      <c r="EU51" s="253"/>
      <c r="EV51" s="253"/>
      <c r="EW51" s="253"/>
      <c r="EX51" s="253"/>
      <c r="EY51" s="253"/>
      <c r="EZ51" s="253"/>
      <c r="FA51" s="253"/>
      <c r="FB51" s="253"/>
      <c r="FC51" s="253"/>
      <c r="FD51" s="253"/>
      <c r="FE51" s="253"/>
      <c r="FF51" s="253"/>
      <c r="FG51" s="253"/>
      <c r="FH51" s="253"/>
      <c r="FI51" s="253"/>
      <c r="FJ51" s="253"/>
      <c r="FK51" s="253"/>
      <c r="FL51" s="253"/>
      <c r="FM51" s="253"/>
      <c r="FN51" s="253"/>
      <c r="FO51" s="253"/>
      <c r="FP51" s="256"/>
      <c r="FQ51" s="257" t="s">
        <v>1322</v>
      </c>
      <c r="FR51" s="258" t="s">
        <v>389</v>
      </c>
      <c r="FS51" s="258"/>
      <c r="FT51" s="258" t="s">
        <v>416</v>
      </c>
      <c r="FU51" s="259">
        <f t="shared" si="1"/>
        <v>0</v>
      </c>
      <c r="FV51" s="260" t="s">
        <v>414</v>
      </c>
    </row>
    <row r="52" spans="1:178" s="260" customFormat="1" hidden="1">
      <c r="A52" s="251" t="s">
        <v>385</v>
      </c>
      <c r="B52" s="251" t="s">
        <v>385</v>
      </c>
      <c r="C52" s="251" t="s">
        <v>411</v>
      </c>
      <c r="D52" s="251" t="s">
        <v>1</v>
      </c>
      <c r="E52" s="252" t="s">
        <v>415</v>
      </c>
      <c r="F52" s="251" t="s">
        <v>388</v>
      </c>
      <c r="G52" s="251"/>
      <c r="H52" s="253"/>
      <c r="I52" s="253"/>
      <c r="J52" s="253"/>
      <c r="K52" s="253"/>
      <c r="L52" s="253"/>
      <c r="M52" s="253"/>
      <c r="N52" s="253"/>
      <c r="O52" s="253"/>
      <c r="P52" s="253"/>
      <c r="Q52" s="253"/>
      <c r="R52" s="253"/>
      <c r="S52" s="253"/>
      <c r="T52" s="253"/>
      <c r="U52" s="253"/>
      <c r="V52" s="253"/>
      <c r="W52" s="253"/>
      <c r="X52" s="253"/>
      <c r="Y52" s="253"/>
      <c r="Z52" s="253"/>
      <c r="AA52" s="255">
        <f>400-400</f>
        <v>0</v>
      </c>
      <c r="AB52" s="255">
        <f>400-400</f>
        <v>0</v>
      </c>
      <c r="AC52" s="255">
        <f>400-400</f>
        <v>0</v>
      </c>
      <c r="AD52" s="255">
        <f>400-400</f>
        <v>0</v>
      </c>
      <c r="AE52" s="255">
        <f>400-400</f>
        <v>0</v>
      </c>
      <c r="AF52" s="253"/>
      <c r="AG52" s="255">
        <f>250-250</f>
        <v>0</v>
      </c>
      <c r="AH52" s="253"/>
      <c r="AI52" s="253"/>
      <c r="AJ52" s="255">
        <f>250-250</f>
        <v>0</v>
      </c>
      <c r="AK52" s="255">
        <f>250-250</f>
        <v>0</v>
      </c>
      <c r="AL52" s="253"/>
      <c r="AM52" s="255">
        <f>250-250</f>
        <v>0</v>
      </c>
      <c r="AN52" s="255">
        <f>250-250</f>
        <v>0</v>
      </c>
      <c r="AO52" s="253"/>
      <c r="AP52" s="255">
        <f>400-400</f>
        <v>0</v>
      </c>
      <c r="AQ52" s="253"/>
      <c r="AR52" s="253"/>
      <c r="AS52" s="253"/>
      <c r="AT52" s="253"/>
      <c r="AU52" s="253"/>
      <c r="AV52" s="253"/>
      <c r="AW52" s="253"/>
      <c r="AX52" s="253"/>
      <c r="AY52" s="253"/>
      <c r="AZ52" s="253"/>
      <c r="BA52" s="253"/>
      <c r="BB52" s="253"/>
      <c r="BC52" s="253"/>
      <c r="BD52" s="253"/>
      <c r="BE52" s="253"/>
      <c r="BF52" s="253"/>
      <c r="BG52" s="253"/>
      <c r="BH52" s="253"/>
      <c r="BI52" s="253"/>
      <c r="BJ52" s="253"/>
      <c r="BK52" s="253"/>
      <c r="BL52" s="253"/>
      <c r="BM52" s="253"/>
      <c r="BN52" s="253"/>
      <c r="BO52" s="253"/>
      <c r="BP52" s="253"/>
      <c r="BQ52" s="253"/>
      <c r="BR52" s="253"/>
      <c r="BS52" s="253"/>
      <c r="BT52" s="253"/>
      <c r="BU52" s="253"/>
      <c r="BV52" s="253"/>
      <c r="BW52" s="253"/>
      <c r="BX52" s="253"/>
      <c r="BY52" s="253"/>
      <c r="BZ52" s="253"/>
      <c r="CA52" s="253"/>
      <c r="CB52" s="253"/>
      <c r="CC52" s="253"/>
      <c r="CD52" s="253"/>
      <c r="CE52" s="253"/>
      <c r="CF52" s="253"/>
      <c r="CG52" s="253"/>
      <c r="CH52" s="253"/>
      <c r="CI52" s="253"/>
      <c r="CJ52" s="253"/>
      <c r="CK52" s="253"/>
      <c r="CL52" s="253"/>
      <c r="CM52" s="253"/>
      <c r="CN52" s="253"/>
      <c r="CO52" s="253"/>
      <c r="CP52" s="253"/>
      <c r="CQ52" s="253"/>
      <c r="CR52" s="253"/>
      <c r="CS52" s="253"/>
      <c r="CT52" s="253"/>
      <c r="CU52" s="253"/>
      <c r="CV52" s="253"/>
      <c r="CW52" s="253"/>
      <c r="CX52" s="253"/>
      <c r="CY52" s="253"/>
      <c r="CZ52" s="253"/>
      <c r="DA52" s="253"/>
      <c r="DB52" s="253"/>
      <c r="DC52" s="253"/>
      <c r="DD52" s="253"/>
      <c r="DE52" s="253"/>
      <c r="DF52" s="253"/>
      <c r="DG52" s="253"/>
      <c r="DH52" s="253"/>
      <c r="DI52" s="253"/>
      <c r="DJ52" s="253"/>
      <c r="DK52" s="255">
        <f>100-100</f>
        <v>0</v>
      </c>
      <c r="DL52" s="253"/>
      <c r="DM52" s="253"/>
      <c r="DN52" s="253"/>
      <c r="DO52" s="253"/>
      <c r="DP52" s="253"/>
      <c r="DQ52" s="253"/>
      <c r="DR52" s="253"/>
      <c r="DS52" s="253"/>
      <c r="DT52" s="253"/>
      <c r="DU52" s="255">
        <f>600-600</f>
        <v>0</v>
      </c>
      <c r="DV52" s="253"/>
      <c r="DW52" s="253"/>
      <c r="DX52" s="253"/>
      <c r="DY52" s="253"/>
      <c r="DZ52" s="253"/>
      <c r="EA52" s="253"/>
      <c r="EB52" s="255">
        <f>150-150</f>
        <v>0</v>
      </c>
      <c r="EC52" s="253"/>
      <c r="ED52" s="253"/>
      <c r="EE52" s="255">
        <f>150-150</f>
        <v>0</v>
      </c>
      <c r="EF52" s="253"/>
      <c r="EG52" s="253"/>
      <c r="EH52" s="255">
        <f>200-200</f>
        <v>0</v>
      </c>
      <c r="EI52" s="253"/>
      <c r="EJ52" s="253"/>
      <c r="EK52" s="255">
        <f>200-200</f>
        <v>0</v>
      </c>
      <c r="EL52" s="255">
        <f>200-200</f>
        <v>0</v>
      </c>
      <c r="EM52" s="253"/>
      <c r="EN52" s="255">
        <f>200-200</f>
        <v>0</v>
      </c>
      <c r="EO52" s="253"/>
      <c r="EP52" s="253"/>
      <c r="EQ52" s="253"/>
      <c r="ER52" s="253"/>
      <c r="ES52" s="253"/>
      <c r="ET52" s="253"/>
      <c r="EU52" s="253"/>
      <c r="EV52" s="253"/>
      <c r="EW52" s="253"/>
      <c r="EX52" s="253"/>
      <c r="EY52" s="253"/>
      <c r="EZ52" s="253"/>
      <c r="FA52" s="253"/>
      <c r="FB52" s="253"/>
      <c r="FC52" s="253"/>
      <c r="FD52" s="253"/>
      <c r="FE52" s="253"/>
      <c r="FF52" s="253"/>
      <c r="FG52" s="253"/>
      <c r="FH52" s="253"/>
      <c r="FI52" s="253"/>
      <c r="FJ52" s="253"/>
      <c r="FK52" s="253"/>
      <c r="FL52" s="253"/>
      <c r="FM52" s="253"/>
      <c r="FN52" s="253"/>
      <c r="FO52" s="253"/>
      <c r="FP52" s="256"/>
      <c r="FQ52" s="257" t="s">
        <v>1322</v>
      </c>
      <c r="FR52" s="258" t="s">
        <v>389</v>
      </c>
      <c r="FS52" s="258"/>
      <c r="FT52" s="258" t="s">
        <v>416</v>
      </c>
      <c r="FU52" s="259">
        <f t="shared" si="1"/>
        <v>0</v>
      </c>
      <c r="FV52" s="260" t="s">
        <v>414</v>
      </c>
    </row>
    <row r="53" spans="1:178" s="260" customFormat="1" hidden="1">
      <c r="A53" s="251" t="s">
        <v>393</v>
      </c>
      <c r="B53" s="251" t="s">
        <v>385</v>
      </c>
      <c r="C53" s="251" t="s">
        <v>411</v>
      </c>
      <c r="D53" s="251" t="s">
        <v>291</v>
      </c>
      <c r="E53" s="252" t="s">
        <v>897</v>
      </c>
      <c r="F53" s="251" t="s">
        <v>388</v>
      </c>
      <c r="G53" s="251" t="s">
        <v>1337</v>
      </c>
      <c r="H53" s="253"/>
      <c r="I53" s="253"/>
      <c r="J53" s="253"/>
      <c r="K53" s="253"/>
      <c r="L53" s="253"/>
      <c r="M53" s="253"/>
      <c r="N53" s="253"/>
      <c r="O53" s="253"/>
      <c r="P53" s="253"/>
      <c r="Q53" s="253"/>
      <c r="R53" s="253"/>
      <c r="S53" s="253"/>
      <c r="T53" s="253"/>
      <c r="U53" s="253"/>
      <c r="V53" s="253"/>
      <c r="W53" s="253"/>
      <c r="X53" s="253"/>
      <c r="Y53" s="253"/>
      <c r="Z53" s="253"/>
      <c r="AA53" s="253"/>
      <c r="AB53" s="253"/>
      <c r="AC53" s="253"/>
      <c r="AD53" s="253"/>
      <c r="AE53" s="253"/>
      <c r="AF53" s="253"/>
      <c r="AG53" s="253"/>
      <c r="AH53" s="253"/>
      <c r="AI53" s="253"/>
      <c r="AJ53" s="253"/>
      <c r="AK53" s="253"/>
      <c r="AL53" s="253"/>
      <c r="AM53" s="253"/>
      <c r="AN53" s="253"/>
      <c r="AO53" s="253"/>
      <c r="AP53" s="253"/>
      <c r="AQ53" s="253"/>
      <c r="AR53" s="253"/>
      <c r="AS53" s="253"/>
      <c r="AT53" s="253"/>
      <c r="AU53" s="253"/>
      <c r="AV53" s="253"/>
      <c r="AW53" s="253"/>
      <c r="AX53" s="253"/>
      <c r="AY53" s="253"/>
      <c r="AZ53" s="253"/>
      <c r="BA53" s="253"/>
      <c r="BB53" s="253"/>
      <c r="BC53" s="253"/>
      <c r="BD53" s="253"/>
      <c r="BE53" s="253"/>
      <c r="BF53" s="253"/>
      <c r="BG53" s="253"/>
      <c r="BH53" s="253"/>
      <c r="BI53" s="253"/>
      <c r="BJ53" s="253"/>
      <c r="BK53" s="253"/>
      <c r="BL53" s="253"/>
      <c r="BM53" s="253"/>
      <c r="BN53" s="253"/>
      <c r="BO53" s="253"/>
      <c r="BP53" s="253"/>
      <c r="BQ53" s="253"/>
      <c r="BR53" s="253"/>
      <c r="BS53" s="253"/>
      <c r="BT53" s="253"/>
      <c r="BU53" s="253"/>
      <c r="BV53" s="253"/>
      <c r="BW53" s="253"/>
      <c r="BX53" s="253"/>
      <c r="BY53" s="253"/>
      <c r="BZ53" s="253"/>
      <c r="CA53" s="253"/>
      <c r="CB53" s="253"/>
      <c r="CC53" s="253"/>
      <c r="CD53" s="253"/>
      <c r="CE53" s="253"/>
      <c r="CF53" s="253"/>
      <c r="CG53" s="253"/>
      <c r="CH53" s="253"/>
      <c r="CI53" s="253"/>
      <c r="CJ53" s="253"/>
      <c r="CK53" s="253"/>
      <c r="CL53" s="253"/>
      <c r="CM53" s="253"/>
      <c r="CN53" s="253"/>
      <c r="CO53" s="253"/>
      <c r="CP53" s="253"/>
      <c r="CQ53" s="253"/>
      <c r="CR53" s="253"/>
      <c r="CS53" s="253"/>
      <c r="CT53" s="253"/>
      <c r="CU53" s="253"/>
      <c r="CV53" s="253"/>
      <c r="CW53" s="253"/>
      <c r="CX53" s="253"/>
      <c r="CY53" s="253"/>
      <c r="CZ53" s="253"/>
      <c r="DA53" s="253"/>
      <c r="DB53" s="253"/>
      <c r="DC53" s="253"/>
      <c r="DD53" s="253"/>
      <c r="DE53" s="253"/>
      <c r="DF53" s="253"/>
      <c r="DG53" s="253"/>
      <c r="DH53" s="253"/>
      <c r="DI53" s="255">
        <f>500-500</f>
        <v>0</v>
      </c>
      <c r="DJ53" s="253"/>
      <c r="DK53" s="253"/>
      <c r="DL53" s="253"/>
      <c r="DM53" s="253"/>
      <c r="DN53" s="253"/>
      <c r="DO53" s="253"/>
      <c r="DP53" s="253"/>
      <c r="DQ53" s="253"/>
      <c r="DR53" s="253"/>
      <c r="DS53" s="253"/>
      <c r="DT53" s="253"/>
      <c r="DU53" s="253"/>
      <c r="DV53" s="253"/>
      <c r="DW53" s="253"/>
      <c r="DX53" s="255">
        <f>300-300</f>
        <v>0</v>
      </c>
      <c r="DY53" s="253"/>
      <c r="DZ53" s="253"/>
      <c r="EA53" s="253"/>
      <c r="EB53" s="253"/>
      <c r="EC53" s="253"/>
      <c r="ED53" s="253"/>
      <c r="EE53" s="253"/>
      <c r="EF53" s="253"/>
      <c r="EG53" s="253"/>
      <c r="EH53" s="253"/>
      <c r="EI53" s="253"/>
      <c r="EJ53" s="255">
        <f>300-300</f>
        <v>0</v>
      </c>
      <c r="EK53" s="253"/>
      <c r="EL53" s="253"/>
      <c r="EM53" s="253"/>
      <c r="EN53" s="253"/>
      <c r="EO53" s="253"/>
      <c r="EP53" s="253"/>
      <c r="EQ53" s="253"/>
      <c r="ER53" s="253"/>
      <c r="ES53" s="253"/>
      <c r="ET53" s="253"/>
      <c r="EU53" s="253"/>
      <c r="EV53" s="253"/>
      <c r="EW53" s="253"/>
      <c r="EX53" s="253"/>
      <c r="EY53" s="253"/>
      <c r="EZ53" s="253"/>
      <c r="FA53" s="253"/>
      <c r="FB53" s="253"/>
      <c r="FC53" s="253"/>
      <c r="FD53" s="253"/>
      <c r="FE53" s="253"/>
      <c r="FF53" s="253"/>
      <c r="FG53" s="253"/>
      <c r="FH53" s="253"/>
      <c r="FI53" s="253"/>
      <c r="FJ53" s="253"/>
      <c r="FK53" s="253"/>
      <c r="FL53" s="253"/>
      <c r="FM53" s="253"/>
      <c r="FN53" s="253"/>
      <c r="FO53" s="253"/>
      <c r="FP53" s="256"/>
      <c r="FQ53" s="257" t="s">
        <v>1322</v>
      </c>
      <c r="FR53" s="258" t="s">
        <v>389</v>
      </c>
      <c r="FS53" s="258" t="s">
        <v>899</v>
      </c>
      <c r="FT53" s="258" t="s">
        <v>900</v>
      </c>
      <c r="FU53" s="259">
        <f t="shared" si="1"/>
        <v>0</v>
      </c>
      <c r="FV53" s="260" t="s">
        <v>421</v>
      </c>
    </row>
    <row r="54" spans="1:178" s="260" customFormat="1" hidden="1">
      <c r="A54" s="251" t="s">
        <v>393</v>
      </c>
      <c r="B54" s="251" t="s">
        <v>385</v>
      </c>
      <c r="C54" s="251" t="s">
        <v>411</v>
      </c>
      <c r="D54" s="251" t="s">
        <v>1</v>
      </c>
      <c r="E54" s="252" t="s">
        <v>897</v>
      </c>
      <c r="F54" s="251" t="s">
        <v>388</v>
      </c>
      <c r="G54" s="251" t="s">
        <v>1337</v>
      </c>
      <c r="H54" s="253"/>
      <c r="I54" s="253"/>
      <c r="J54" s="253"/>
      <c r="K54" s="253"/>
      <c r="L54" s="253"/>
      <c r="M54" s="253"/>
      <c r="N54" s="253"/>
      <c r="O54" s="253"/>
      <c r="P54" s="253"/>
      <c r="Q54" s="253"/>
      <c r="R54" s="253"/>
      <c r="S54" s="253"/>
      <c r="T54" s="253"/>
      <c r="U54" s="253"/>
      <c r="V54" s="253"/>
      <c r="W54" s="253"/>
      <c r="X54" s="253"/>
      <c r="Y54" s="253"/>
      <c r="Z54" s="253"/>
      <c r="AA54" s="253"/>
      <c r="AB54" s="253"/>
      <c r="AC54" s="253"/>
      <c r="AD54" s="253"/>
      <c r="AE54" s="253"/>
      <c r="AF54" s="253"/>
      <c r="AG54" s="253"/>
      <c r="AH54" s="253"/>
      <c r="AI54" s="253"/>
      <c r="AJ54" s="253"/>
      <c r="AK54" s="253"/>
      <c r="AL54" s="253"/>
      <c r="AM54" s="253"/>
      <c r="AN54" s="253"/>
      <c r="AO54" s="253"/>
      <c r="AP54" s="253"/>
      <c r="AQ54" s="253"/>
      <c r="AR54" s="253"/>
      <c r="AS54" s="253"/>
      <c r="AT54" s="253"/>
      <c r="AU54" s="253"/>
      <c r="AV54" s="253"/>
      <c r="AW54" s="253"/>
      <c r="AX54" s="253"/>
      <c r="AY54" s="253"/>
      <c r="AZ54" s="253"/>
      <c r="BA54" s="253"/>
      <c r="BB54" s="253"/>
      <c r="BC54" s="253"/>
      <c r="BD54" s="253"/>
      <c r="BE54" s="253"/>
      <c r="BF54" s="253"/>
      <c r="BG54" s="253"/>
      <c r="BH54" s="253"/>
      <c r="BI54" s="253"/>
      <c r="BJ54" s="253"/>
      <c r="BK54" s="253"/>
      <c r="BL54" s="253"/>
      <c r="BM54" s="253"/>
      <c r="BN54" s="253"/>
      <c r="BO54" s="253"/>
      <c r="BP54" s="253"/>
      <c r="BQ54" s="253"/>
      <c r="BR54" s="253"/>
      <c r="BS54" s="253"/>
      <c r="BT54" s="253"/>
      <c r="BU54" s="253"/>
      <c r="BV54" s="253"/>
      <c r="BW54" s="253"/>
      <c r="BX54" s="253"/>
      <c r="BY54" s="253"/>
      <c r="BZ54" s="253"/>
      <c r="CA54" s="253"/>
      <c r="CB54" s="253"/>
      <c r="CC54" s="253"/>
      <c r="CD54" s="253"/>
      <c r="CE54" s="253"/>
      <c r="CF54" s="253"/>
      <c r="CG54" s="253"/>
      <c r="CH54" s="253"/>
      <c r="CI54" s="253"/>
      <c r="CJ54" s="253"/>
      <c r="CK54" s="253"/>
      <c r="CL54" s="253"/>
      <c r="CM54" s="253"/>
      <c r="CN54" s="253"/>
      <c r="CO54" s="253"/>
      <c r="CP54" s="253"/>
      <c r="CQ54" s="253"/>
      <c r="CR54" s="253"/>
      <c r="CS54" s="253"/>
      <c r="CT54" s="253"/>
      <c r="CU54" s="253"/>
      <c r="CV54" s="253"/>
      <c r="CW54" s="253"/>
      <c r="CX54" s="253"/>
      <c r="CY54" s="253"/>
      <c r="CZ54" s="253"/>
      <c r="DA54" s="253"/>
      <c r="DB54" s="253"/>
      <c r="DC54" s="253"/>
      <c r="DD54" s="253"/>
      <c r="DE54" s="253"/>
      <c r="DF54" s="253"/>
      <c r="DG54" s="253"/>
      <c r="DH54" s="253"/>
      <c r="DI54" s="253"/>
      <c r="DJ54" s="253"/>
      <c r="DK54" s="253"/>
      <c r="DL54" s="255">
        <f>500-500</f>
        <v>0</v>
      </c>
      <c r="DM54" s="253"/>
      <c r="DN54" s="253"/>
      <c r="DO54" s="253"/>
      <c r="DP54" s="253"/>
      <c r="DQ54" s="253"/>
      <c r="DR54" s="253"/>
      <c r="DS54" s="253"/>
      <c r="DT54" s="253"/>
      <c r="DU54" s="255">
        <f>300-300</f>
        <v>0</v>
      </c>
      <c r="DV54" s="253"/>
      <c r="DW54" s="253"/>
      <c r="DX54" s="253"/>
      <c r="DY54" s="253"/>
      <c r="DZ54" s="253"/>
      <c r="EA54" s="253"/>
      <c r="EB54" s="253"/>
      <c r="EC54" s="253"/>
      <c r="ED54" s="253"/>
      <c r="EE54" s="253"/>
      <c r="EF54" s="253"/>
      <c r="EG54" s="253"/>
      <c r="EH54" s="253"/>
      <c r="EI54" s="253"/>
      <c r="EJ54" s="253"/>
      <c r="EK54" s="253"/>
      <c r="EL54" s="255">
        <f>200-200</f>
        <v>0</v>
      </c>
      <c r="EM54" s="253"/>
      <c r="EN54" s="253"/>
      <c r="EO54" s="253"/>
      <c r="EP54" s="253"/>
      <c r="EQ54" s="253"/>
      <c r="ER54" s="253"/>
      <c r="ES54" s="253"/>
      <c r="ET54" s="253"/>
      <c r="EU54" s="253"/>
      <c r="EV54" s="253"/>
      <c r="EW54" s="253"/>
      <c r="EX54" s="253"/>
      <c r="EY54" s="253"/>
      <c r="EZ54" s="253"/>
      <c r="FA54" s="253"/>
      <c r="FB54" s="253"/>
      <c r="FC54" s="253"/>
      <c r="FD54" s="253"/>
      <c r="FE54" s="253"/>
      <c r="FF54" s="253"/>
      <c r="FG54" s="253"/>
      <c r="FH54" s="253"/>
      <c r="FI54" s="253"/>
      <c r="FJ54" s="253"/>
      <c r="FK54" s="253"/>
      <c r="FL54" s="253"/>
      <c r="FM54" s="253"/>
      <c r="FN54" s="253"/>
      <c r="FO54" s="253"/>
      <c r="FP54" s="256"/>
      <c r="FQ54" s="257" t="s">
        <v>1322</v>
      </c>
      <c r="FR54" s="258" t="s">
        <v>389</v>
      </c>
      <c r="FS54" s="258" t="s">
        <v>899</v>
      </c>
      <c r="FT54" s="258" t="s">
        <v>900</v>
      </c>
      <c r="FU54" s="259">
        <f t="shared" si="1"/>
        <v>0</v>
      </c>
      <c r="FV54" s="260" t="s">
        <v>421</v>
      </c>
    </row>
    <row r="55" spans="1:178" s="260" customFormat="1" hidden="1">
      <c r="A55" s="251" t="s">
        <v>393</v>
      </c>
      <c r="B55" s="251" t="s">
        <v>385</v>
      </c>
      <c r="C55" s="251" t="s">
        <v>411</v>
      </c>
      <c r="D55" s="251" t="s">
        <v>291</v>
      </c>
      <c r="E55" s="252" t="s">
        <v>901</v>
      </c>
      <c r="F55" s="251" t="s">
        <v>388</v>
      </c>
      <c r="G55" s="251"/>
      <c r="H55" s="253"/>
      <c r="I55" s="253"/>
      <c r="J55" s="253"/>
      <c r="K55" s="253"/>
      <c r="L55" s="253"/>
      <c r="M55" s="253"/>
      <c r="N55" s="253"/>
      <c r="O55" s="253"/>
      <c r="P55" s="253"/>
      <c r="Q55" s="253"/>
      <c r="R55" s="253"/>
      <c r="S55" s="253"/>
      <c r="T55" s="253"/>
      <c r="U55" s="253"/>
      <c r="V55" s="253"/>
      <c r="W55" s="253"/>
      <c r="X55" s="253"/>
      <c r="Y55" s="253"/>
      <c r="Z55" s="253"/>
      <c r="AA55" s="253"/>
      <c r="AB55" s="253"/>
      <c r="AC55" s="253"/>
      <c r="AD55" s="253"/>
      <c r="AE55" s="253"/>
      <c r="AF55" s="253"/>
      <c r="AG55" s="253"/>
      <c r="AH55" s="253"/>
      <c r="AI55" s="253"/>
      <c r="AJ55" s="253"/>
      <c r="AK55" s="253"/>
      <c r="AL55" s="253"/>
      <c r="AM55" s="253"/>
      <c r="AN55" s="253"/>
      <c r="AO55" s="253"/>
      <c r="AP55" s="253"/>
      <c r="AQ55" s="253"/>
      <c r="AR55" s="253"/>
      <c r="AS55" s="253"/>
      <c r="AT55" s="253"/>
      <c r="AU55" s="253"/>
      <c r="AV55" s="253"/>
      <c r="AW55" s="253"/>
      <c r="AX55" s="253"/>
      <c r="AY55" s="253"/>
      <c r="AZ55" s="253"/>
      <c r="BA55" s="253"/>
      <c r="BB55" s="253"/>
      <c r="BC55" s="253"/>
      <c r="BD55" s="253"/>
      <c r="BE55" s="253"/>
      <c r="BF55" s="253"/>
      <c r="BG55" s="253"/>
      <c r="BH55" s="253"/>
      <c r="BI55" s="253"/>
      <c r="BJ55" s="253"/>
      <c r="BK55" s="253"/>
      <c r="BL55" s="253"/>
      <c r="BM55" s="253"/>
      <c r="BN55" s="253"/>
      <c r="BO55" s="253"/>
      <c r="BP55" s="253"/>
      <c r="BQ55" s="253"/>
      <c r="BR55" s="253"/>
      <c r="BS55" s="253"/>
      <c r="BT55" s="253"/>
      <c r="BU55" s="253"/>
      <c r="BV55" s="253"/>
      <c r="BW55" s="253"/>
      <c r="BX55" s="253"/>
      <c r="BY55" s="253"/>
      <c r="BZ55" s="253"/>
      <c r="CA55" s="253"/>
      <c r="CB55" s="253"/>
      <c r="CC55" s="253"/>
      <c r="CD55" s="253"/>
      <c r="CE55" s="253"/>
      <c r="CF55" s="253"/>
      <c r="CG55" s="253"/>
      <c r="CH55" s="253"/>
      <c r="CI55" s="253"/>
      <c r="CJ55" s="253"/>
      <c r="CK55" s="253"/>
      <c r="CL55" s="253"/>
      <c r="CM55" s="253"/>
      <c r="CN55" s="253"/>
      <c r="CO55" s="253"/>
      <c r="CP55" s="253"/>
      <c r="CQ55" s="253"/>
      <c r="CR55" s="253"/>
      <c r="CS55" s="253"/>
      <c r="CT55" s="253"/>
      <c r="CU55" s="253"/>
      <c r="CV55" s="253"/>
      <c r="CW55" s="253"/>
      <c r="CX55" s="253"/>
      <c r="CY55" s="253"/>
      <c r="CZ55" s="253"/>
      <c r="DA55" s="253"/>
      <c r="DB55" s="253"/>
      <c r="DC55" s="253"/>
      <c r="DD55" s="253"/>
      <c r="DE55" s="253"/>
      <c r="DF55" s="253"/>
      <c r="DG55" s="253"/>
      <c r="DH55" s="253"/>
      <c r="DI55" s="255">
        <f>200-200</f>
        <v>0</v>
      </c>
      <c r="DJ55" s="253"/>
      <c r="DK55" s="253"/>
      <c r="DL55" s="253"/>
      <c r="DM55" s="253"/>
      <c r="DN55" s="253"/>
      <c r="DO55" s="253"/>
      <c r="DP55" s="253"/>
      <c r="DQ55" s="253"/>
      <c r="DR55" s="253"/>
      <c r="DS55" s="253"/>
      <c r="DT55" s="253"/>
      <c r="DU55" s="253"/>
      <c r="DV55" s="253"/>
      <c r="DW55" s="253"/>
      <c r="DX55" s="255">
        <f>200-200</f>
        <v>0</v>
      </c>
      <c r="DY55" s="253"/>
      <c r="DZ55" s="253"/>
      <c r="EA55" s="253"/>
      <c r="EB55" s="253"/>
      <c r="EC55" s="253"/>
      <c r="ED55" s="253"/>
      <c r="EE55" s="253"/>
      <c r="EF55" s="255">
        <f>200-200</f>
        <v>0</v>
      </c>
      <c r="EG55" s="255">
        <f>200-200</f>
        <v>0</v>
      </c>
      <c r="EH55" s="253"/>
      <c r="EI55" s="253"/>
      <c r="EJ55" s="253"/>
      <c r="EK55" s="253"/>
      <c r="EL55" s="253"/>
      <c r="EM55" s="253"/>
      <c r="EN55" s="253"/>
      <c r="EO55" s="253"/>
      <c r="EP55" s="253"/>
      <c r="EQ55" s="253"/>
      <c r="ER55" s="253"/>
      <c r="ES55" s="253"/>
      <c r="ET55" s="253"/>
      <c r="EU55" s="253"/>
      <c r="EV55" s="253"/>
      <c r="EW55" s="253"/>
      <c r="EX55" s="255">
        <f>200-200</f>
        <v>0</v>
      </c>
      <c r="EY55" s="253"/>
      <c r="EZ55" s="253"/>
      <c r="FA55" s="253"/>
      <c r="FB55" s="253"/>
      <c r="FC55" s="253"/>
      <c r="FD55" s="253"/>
      <c r="FE55" s="253"/>
      <c r="FF55" s="253"/>
      <c r="FG55" s="253"/>
      <c r="FH55" s="253"/>
      <c r="FI55" s="253"/>
      <c r="FJ55" s="253"/>
      <c r="FK55" s="253"/>
      <c r="FL55" s="253"/>
      <c r="FM55" s="253"/>
      <c r="FN55" s="253"/>
      <c r="FO55" s="253"/>
      <c r="FP55" s="256"/>
      <c r="FQ55" s="257" t="s">
        <v>1322</v>
      </c>
      <c r="FR55" s="258" t="s">
        <v>389</v>
      </c>
      <c r="FS55" s="258"/>
      <c r="FT55" s="258" t="s">
        <v>902</v>
      </c>
      <c r="FU55" s="259">
        <f t="shared" si="1"/>
        <v>0</v>
      </c>
      <c r="FV55" s="260" t="s">
        <v>414</v>
      </c>
    </row>
    <row r="56" spans="1:178" s="260" customFormat="1" hidden="1">
      <c r="A56" s="251" t="s">
        <v>393</v>
      </c>
      <c r="B56" s="251" t="s">
        <v>385</v>
      </c>
      <c r="C56" s="251" t="s">
        <v>411</v>
      </c>
      <c r="D56" s="251" t="s">
        <v>1</v>
      </c>
      <c r="E56" s="252" t="s">
        <v>901</v>
      </c>
      <c r="F56" s="251" t="s">
        <v>388</v>
      </c>
      <c r="G56" s="251"/>
      <c r="H56" s="253"/>
      <c r="I56" s="253"/>
      <c r="J56" s="253"/>
      <c r="K56" s="253"/>
      <c r="L56" s="253"/>
      <c r="M56" s="253"/>
      <c r="N56" s="253"/>
      <c r="O56" s="253"/>
      <c r="P56" s="253"/>
      <c r="Q56" s="253"/>
      <c r="R56" s="253"/>
      <c r="S56" s="253"/>
      <c r="T56" s="253"/>
      <c r="U56" s="253"/>
      <c r="V56" s="253"/>
      <c r="W56" s="253"/>
      <c r="X56" s="253"/>
      <c r="Y56" s="253"/>
      <c r="Z56" s="253"/>
      <c r="AA56" s="255">
        <f>200-200</f>
        <v>0</v>
      </c>
      <c r="AB56" s="255">
        <f>200-200</f>
        <v>0</v>
      </c>
      <c r="AC56" s="255">
        <f>200-200</f>
        <v>0</v>
      </c>
      <c r="AD56" s="255">
        <f>200-200</f>
        <v>0</v>
      </c>
      <c r="AE56" s="255">
        <f>200-200</f>
        <v>0</v>
      </c>
      <c r="AF56" s="253"/>
      <c r="AG56" s="255">
        <f>200-200</f>
        <v>0</v>
      </c>
      <c r="AH56" s="253"/>
      <c r="AI56" s="253"/>
      <c r="AJ56" s="253"/>
      <c r="AK56" s="253"/>
      <c r="AL56" s="253"/>
      <c r="AM56" s="253"/>
      <c r="AN56" s="253"/>
      <c r="AO56" s="253"/>
      <c r="AP56" s="253"/>
      <c r="AQ56" s="253"/>
      <c r="AR56" s="253"/>
      <c r="AS56" s="253"/>
      <c r="AT56" s="253"/>
      <c r="AU56" s="253"/>
      <c r="AV56" s="253"/>
      <c r="AW56" s="253"/>
      <c r="AX56" s="253"/>
      <c r="AY56" s="253"/>
      <c r="AZ56" s="253"/>
      <c r="BA56" s="253"/>
      <c r="BB56" s="253"/>
      <c r="BC56" s="253"/>
      <c r="BD56" s="253"/>
      <c r="BE56" s="253"/>
      <c r="BF56" s="253"/>
      <c r="BG56" s="253"/>
      <c r="BH56" s="253"/>
      <c r="BI56" s="253"/>
      <c r="BJ56" s="253"/>
      <c r="BK56" s="253"/>
      <c r="BL56" s="253"/>
      <c r="BM56" s="253"/>
      <c r="BN56" s="253"/>
      <c r="BO56" s="253"/>
      <c r="BP56" s="253"/>
      <c r="BQ56" s="253"/>
      <c r="BR56" s="253"/>
      <c r="BS56" s="253"/>
      <c r="BT56" s="253"/>
      <c r="BU56" s="253"/>
      <c r="BV56" s="253"/>
      <c r="BW56" s="253"/>
      <c r="BX56" s="253"/>
      <c r="BY56" s="253"/>
      <c r="BZ56" s="253"/>
      <c r="CA56" s="253"/>
      <c r="CB56" s="253"/>
      <c r="CC56" s="253"/>
      <c r="CD56" s="253"/>
      <c r="CE56" s="253"/>
      <c r="CF56" s="253"/>
      <c r="CG56" s="253"/>
      <c r="CH56" s="253"/>
      <c r="CI56" s="253"/>
      <c r="CJ56" s="253"/>
      <c r="CK56" s="253"/>
      <c r="CL56" s="253"/>
      <c r="CM56" s="253"/>
      <c r="CN56" s="253"/>
      <c r="CO56" s="253"/>
      <c r="CP56" s="253"/>
      <c r="CQ56" s="253"/>
      <c r="CR56" s="253"/>
      <c r="CS56" s="253"/>
      <c r="CT56" s="253"/>
      <c r="CU56" s="253"/>
      <c r="CV56" s="253"/>
      <c r="CW56" s="253"/>
      <c r="CX56" s="253"/>
      <c r="CY56" s="253"/>
      <c r="CZ56" s="253"/>
      <c r="DA56" s="253"/>
      <c r="DB56" s="253"/>
      <c r="DC56" s="253"/>
      <c r="DD56" s="253"/>
      <c r="DE56" s="253"/>
      <c r="DF56" s="253"/>
      <c r="DG56" s="253"/>
      <c r="DH56" s="253"/>
      <c r="DI56" s="253"/>
      <c r="DJ56" s="253"/>
      <c r="DK56" s="253"/>
      <c r="DL56" s="255">
        <f>200-200</f>
        <v>0</v>
      </c>
      <c r="DM56" s="253"/>
      <c r="DN56" s="253"/>
      <c r="DO56" s="253"/>
      <c r="DP56" s="253"/>
      <c r="DQ56" s="253"/>
      <c r="DR56" s="253"/>
      <c r="DS56" s="253"/>
      <c r="DT56" s="253"/>
      <c r="DU56" s="255">
        <f>200-200</f>
        <v>0</v>
      </c>
      <c r="DV56" s="253"/>
      <c r="DW56" s="253"/>
      <c r="DX56" s="253"/>
      <c r="DY56" s="253"/>
      <c r="DZ56" s="253"/>
      <c r="EA56" s="253"/>
      <c r="EB56" s="253"/>
      <c r="EC56" s="253"/>
      <c r="ED56" s="253"/>
      <c r="EE56" s="253"/>
      <c r="EF56" s="253"/>
      <c r="EG56" s="253"/>
      <c r="EH56" s="255">
        <f>200-200</f>
        <v>0</v>
      </c>
      <c r="EI56" s="253"/>
      <c r="EJ56" s="253"/>
      <c r="EK56" s="255">
        <f>200-200</f>
        <v>0</v>
      </c>
      <c r="EL56" s="255">
        <f>200-200</f>
        <v>0</v>
      </c>
      <c r="EM56" s="253"/>
      <c r="EN56" s="255">
        <f>200-200</f>
        <v>0</v>
      </c>
      <c r="EO56" s="255">
        <f>200-200</f>
        <v>0</v>
      </c>
      <c r="EP56" s="253"/>
      <c r="EQ56" s="253"/>
      <c r="ER56" s="253"/>
      <c r="ES56" s="253"/>
      <c r="ET56" s="253"/>
      <c r="EU56" s="253"/>
      <c r="EV56" s="253"/>
      <c r="EW56" s="255">
        <f>200-200</f>
        <v>0</v>
      </c>
      <c r="EX56" s="253"/>
      <c r="EY56" s="255">
        <f>200-200</f>
        <v>0</v>
      </c>
      <c r="EZ56" s="253"/>
      <c r="FA56" s="253"/>
      <c r="FB56" s="253"/>
      <c r="FC56" s="253"/>
      <c r="FD56" s="253"/>
      <c r="FE56" s="253"/>
      <c r="FF56" s="253"/>
      <c r="FG56" s="253"/>
      <c r="FH56" s="253"/>
      <c r="FI56" s="253"/>
      <c r="FJ56" s="253"/>
      <c r="FK56" s="253"/>
      <c r="FL56" s="253"/>
      <c r="FM56" s="253"/>
      <c r="FN56" s="253"/>
      <c r="FO56" s="253"/>
      <c r="FP56" s="256"/>
      <c r="FQ56" s="257" t="s">
        <v>1322</v>
      </c>
      <c r="FR56" s="258" t="s">
        <v>389</v>
      </c>
      <c r="FS56" s="258"/>
      <c r="FT56" s="258" t="s">
        <v>902</v>
      </c>
      <c r="FU56" s="259">
        <f t="shared" si="1"/>
        <v>0</v>
      </c>
      <c r="FV56" s="260" t="s">
        <v>414</v>
      </c>
    </row>
    <row r="57" spans="1:178" s="260" customFormat="1" hidden="1">
      <c r="A57" s="251" t="s">
        <v>393</v>
      </c>
      <c r="B57" s="251" t="s">
        <v>392</v>
      </c>
      <c r="C57" s="251" t="s">
        <v>411</v>
      </c>
      <c r="D57" s="251" t="s">
        <v>291</v>
      </c>
      <c r="E57" s="252" t="s">
        <v>904</v>
      </c>
      <c r="F57" s="251" t="s">
        <v>388</v>
      </c>
      <c r="G57" s="251" t="s">
        <v>1338</v>
      </c>
      <c r="H57" s="253"/>
      <c r="I57" s="253"/>
      <c r="J57" s="253"/>
      <c r="K57" s="253"/>
      <c r="L57" s="253"/>
      <c r="M57" s="253"/>
      <c r="N57" s="253"/>
      <c r="O57" s="253"/>
      <c r="P57" s="253"/>
      <c r="Q57" s="253"/>
      <c r="R57" s="253"/>
      <c r="S57" s="253"/>
      <c r="T57" s="253"/>
      <c r="U57" s="253"/>
      <c r="V57" s="253"/>
      <c r="W57" s="253"/>
      <c r="X57" s="253"/>
      <c r="Y57" s="253"/>
      <c r="Z57" s="253"/>
      <c r="AA57" s="253"/>
      <c r="AB57" s="253"/>
      <c r="AC57" s="253"/>
      <c r="AD57" s="253"/>
      <c r="AE57" s="253"/>
      <c r="AF57" s="253"/>
      <c r="AG57" s="253"/>
      <c r="AH57" s="253"/>
      <c r="AI57" s="253"/>
      <c r="AJ57" s="253"/>
      <c r="AK57" s="253"/>
      <c r="AL57" s="253"/>
      <c r="AM57" s="253"/>
      <c r="AN57" s="253"/>
      <c r="AO57" s="253"/>
      <c r="AP57" s="253"/>
      <c r="AQ57" s="253"/>
      <c r="AR57" s="253"/>
      <c r="AS57" s="253"/>
      <c r="AT57" s="253"/>
      <c r="AU57" s="253"/>
      <c r="AV57" s="253"/>
      <c r="AW57" s="253"/>
      <c r="AX57" s="253"/>
      <c r="AY57" s="253"/>
      <c r="AZ57" s="253"/>
      <c r="BA57" s="253"/>
      <c r="BB57" s="253"/>
      <c r="BC57" s="253"/>
      <c r="BD57" s="253"/>
      <c r="BE57" s="253"/>
      <c r="BF57" s="253"/>
      <c r="BG57" s="253"/>
      <c r="BH57" s="253"/>
      <c r="BI57" s="253"/>
      <c r="BJ57" s="253"/>
      <c r="BK57" s="253"/>
      <c r="BL57" s="253"/>
      <c r="BM57" s="253"/>
      <c r="BN57" s="253"/>
      <c r="BO57" s="253"/>
      <c r="BP57" s="253"/>
      <c r="BQ57" s="253"/>
      <c r="BR57" s="253"/>
      <c r="BS57" s="253"/>
      <c r="BT57" s="253"/>
      <c r="BU57" s="253"/>
      <c r="BV57" s="253"/>
      <c r="BW57" s="253"/>
      <c r="BX57" s="253"/>
      <c r="BY57" s="253"/>
      <c r="BZ57" s="253"/>
      <c r="CA57" s="253"/>
      <c r="CB57" s="253"/>
      <c r="CC57" s="253"/>
      <c r="CD57" s="253"/>
      <c r="CE57" s="253"/>
      <c r="CF57" s="253"/>
      <c r="CG57" s="253"/>
      <c r="CH57" s="253"/>
      <c r="CI57" s="253"/>
      <c r="CJ57" s="253"/>
      <c r="CK57" s="253"/>
      <c r="CL57" s="253"/>
      <c r="CM57" s="253"/>
      <c r="CN57" s="253"/>
      <c r="CO57" s="253"/>
      <c r="CP57" s="253"/>
      <c r="CQ57" s="253"/>
      <c r="CR57" s="253"/>
      <c r="CS57" s="253"/>
      <c r="CT57" s="253"/>
      <c r="CU57" s="253"/>
      <c r="CV57" s="253"/>
      <c r="CW57" s="253"/>
      <c r="CX57" s="253"/>
      <c r="CY57" s="253"/>
      <c r="CZ57" s="253"/>
      <c r="DA57" s="253"/>
      <c r="DB57" s="253"/>
      <c r="DC57" s="253"/>
      <c r="DD57" s="253"/>
      <c r="DE57" s="253"/>
      <c r="DF57" s="253"/>
      <c r="DG57" s="253"/>
      <c r="DH57" s="253"/>
      <c r="DI57" s="253"/>
      <c r="DJ57" s="253"/>
      <c r="DK57" s="253"/>
      <c r="DL57" s="253"/>
      <c r="DM57" s="253"/>
      <c r="DN57" s="253"/>
      <c r="DO57" s="253"/>
      <c r="DP57" s="253"/>
      <c r="DQ57" s="253"/>
      <c r="DR57" s="253"/>
      <c r="DS57" s="253"/>
      <c r="DT57" s="253"/>
      <c r="DU57" s="253"/>
      <c r="DV57" s="253"/>
      <c r="DW57" s="253"/>
      <c r="DX57" s="253"/>
      <c r="DY57" s="253"/>
      <c r="DZ57" s="253"/>
      <c r="EA57" s="253"/>
      <c r="EB57" s="253"/>
      <c r="EC57" s="253"/>
      <c r="ED57" s="253"/>
      <c r="EE57" s="253"/>
      <c r="EF57" s="255">
        <f>100-100</f>
        <v>0</v>
      </c>
      <c r="EG57" s="255">
        <f>20-20</f>
        <v>0</v>
      </c>
      <c r="EH57" s="253"/>
      <c r="EI57" s="253"/>
      <c r="EJ57" s="253"/>
      <c r="EK57" s="253"/>
      <c r="EL57" s="253"/>
      <c r="EM57" s="253"/>
      <c r="EN57" s="253"/>
      <c r="EO57" s="253"/>
      <c r="EP57" s="253"/>
      <c r="EQ57" s="253"/>
      <c r="ER57" s="253"/>
      <c r="ES57" s="253"/>
      <c r="ET57" s="253"/>
      <c r="EU57" s="253"/>
      <c r="EV57" s="253"/>
      <c r="EW57" s="253"/>
      <c r="EX57" s="253"/>
      <c r="EY57" s="253"/>
      <c r="EZ57" s="253"/>
      <c r="FA57" s="253"/>
      <c r="FB57" s="253"/>
      <c r="FC57" s="253"/>
      <c r="FD57" s="253"/>
      <c r="FE57" s="253"/>
      <c r="FF57" s="253"/>
      <c r="FG57" s="253"/>
      <c r="FH57" s="253"/>
      <c r="FI57" s="253"/>
      <c r="FJ57" s="253"/>
      <c r="FK57" s="253"/>
      <c r="FL57" s="253"/>
      <c r="FM57" s="253"/>
      <c r="FN57" s="253"/>
      <c r="FO57" s="253"/>
      <c r="FP57" s="256"/>
      <c r="FQ57" s="257" t="s">
        <v>1322</v>
      </c>
      <c r="FR57" s="258" t="s">
        <v>389</v>
      </c>
      <c r="FS57" s="258" t="s">
        <v>906</v>
      </c>
      <c r="FT57" s="258" t="s">
        <v>420</v>
      </c>
      <c r="FU57" s="259">
        <f t="shared" si="1"/>
        <v>0</v>
      </c>
      <c r="FV57" s="260" t="s">
        <v>421</v>
      </c>
    </row>
    <row r="58" spans="1:178" s="260" customFormat="1" hidden="1">
      <c r="A58" s="251" t="s">
        <v>393</v>
      </c>
      <c r="B58" s="251" t="s">
        <v>392</v>
      </c>
      <c r="C58" s="251" t="s">
        <v>411</v>
      </c>
      <c r="D58" s="251" t="s">
        <v>1</v>
      </c>
      <c r="E58" s="252" t="s">
        <v>904</v>
      </c>
      <c r="F58" s="251" t="s">
        <v>388</v>
      </c>
      <c r="G58" s="251" t="s">
        <v>1338</v>
      </c>
      <c r="H58" s="253"/>
      <c r="I58" s="253"/>
      <c r="J58" s="253"/>
      <c r="K58" s="253"/>
      <c r="L58" s="253"/>
      <c r="M58" s="253"/>
      <c r="N58" s="253"/>
      <c r="O58" s="253"/>
      <c r="P58" s="253"/>
      <c r="Q58" s="253"/>
      <c r="R58" s="253"/>
      <c r="S58" s="253"/>
      <c r="T58" s="253"/>
      <c r="U58" s="253"/>
      <c r="V58" s="253"/>
      <c r="W58" s="253"/>
      <c r="X58" s="253"/>
      <c r="Y58" s="253"/>
      <c r="Z58" s="253"/>
      <c r="AA58" s="253"/>
      <c r="AB58" s="253"/>
      <c r="AC58" s="253"/>
      <c r="AD58" s="253"/>
      <c r="AE58" s="253"/>
      <c r="AF58" s="253"/>
      <c r="AG58" s="253"/>
      <c r="AH58" s="253"/>
      <c r="AI58" s="253"/>
      <c r="AJ58" s="253"/>
      <c r="AK58" s="253"/>
      <c r="AL58" s="253"/>
      <c r="AM58" s="253"/>
      <c r="AN58" s="253"/>
      <c r="AO58" s="253"/>
      <c r="AP58" s="253"/>
      <c r="AQ58" s="253"/>
      <c r="AR58" s="253"/>
      <c r="AS58" s="253"/>
      <c r="AT58" s="253"/>
      <c r="AU58" s="253"/>
      <c r="AV58" s="253"/>
      <c r="AW58" s="253"/>
      <c r="AX58" s="253"/>
      <c r="AY58" s="253"/>
      <c r="AZ58" s="253"/>
      <c r="BA58" s="253"/>
      <c r="BB58" s="253"/>
      <c r="BC58" s="253"/>
      <c r="BD58" s="253"/>
      <c r="BE58" s="253"/>
      <c r="BF58" s="253"/>
      <c r="BG58" s="253"/>
      <c r="BH58" s="253"/>
      <c r="BI58" s="253"/>
      <c r="BJ58" s="253"/>
      <c r="BK58" s="253"/>
      <c r="BL58" s="253"/>
      <c r="BM58" s="253"/>
      <c r="BN58" s="253"/>
      <c r="BO58" s="253"/>
      <c r="BP58" s="253"/>
      <c r="BQ58" s="253"/>
      <c r="BR58" s="253"/>
      <c r="BS58" s="253"/>
      <c r="BT58" s="253"/>
      <c r="BU58" s="253"/>
      <c r="BV58" s="253"/>
      <c r="BW58" s="253"/>
      <c r="BX58" s="253"/>
      <c r="BY58" s="253"/>
      <c r="BZ58" s="253"/>
      <c r="CA58" s="253"/>
      <c r="CB58" s="253"/>
      <c r="CC58" s="253"/>
      <c r="CD58" s="253"/>
      <c r="CE58" s="253"/>
      <c r="CF58" s="253"/>
      <c r="CG58" s="253"/>
      <c r="CH58" s="253"/>
      <c r="CI58" s="253"/>
      <c r="CJ58" s="253"/>
      <c r="CK58" s="253"/>
      <c r="CL58" s="253"/>
      <c r="CM58" s="253"/>
      <c r="CN58" s="253"/>
      <c r="CO58" s="253"/>
      <c r="CP58" s="253"/>
      <c r="CQ58" s="253"/>
      <c r="CR58" s="253"/>
      <c r="CS58" s="253"/>
      <c r="CT58" s="253"/>
      <c r="CU58" s="253"/>
      <c r="CV58" s="253"/>
      <c r="CW58" s="253"/>
      <c r="CX58" s="253"/>
      <c r="CY58" s="253"/>
      <c r="CZ58" s="253"/>
      <c r="DA58" s="253"/>
      <c r="DB58" s="253"/>
      <c r="DC58" s="253"/>
      <c r="DD58" s="253"/>
      <c r="DE58" s="253"/>
      <c r="DF58" s="253"/>
      <c r="DG58" s="253"/>
      <c r="DH58" s="253"/>
      <c r="DI58" s="253"/>
      <c r="DJ58" s="253"/>
      <c r="DK58" s="253"/>
      <c r="DL58" s="253"/>
      <c r="DM58" s="253"/>
      <c r="DN58" s="253"/>
      <c r="DO58" s="253"/>
      <c r="DP58" s="253"/>
      <c r="DQ58" s="253"/>
      <c r="DR58" s="253"/>
      <c r="DS58" s="253"/>
      <c r="DT58" s="253"/>
      <c r="DU58" s="255">
        <f>100-100</f>
        <v>0</v>
      </c>
      <c r="DV58" s="255">
        <f>20-20</f>
        <v>0</v>
      </c>
      <c r="DW58" s="253"/>
      <c r="DX58" s="253"/>
      <c r="DY58" s="253"/>
      <c r="DZ58" s="253"/>
      <c r="EA58" s="253"/>
      <c r="EB58" s="253"/>
      <c r="EC58" s="253"/>
      <c r="ED58" s="253"/>
      <c r="EE58" s="253"/>
      <c r="EF58" s="253"/>
      <c r="EG58" s="253"/>
      <c r="EH58" s="253"/>
      <c r="EI58" s="253"/>
      <c r="EJ58" s="253"/>
      <c r="EK58" s="253"/>
      <c r="EL58" s="253"/>
      <c r="EM58" s="253"/>
      <c r="EN58" s="253"/>
      <c r="EO58" s="253"/>
      <c r="EP58" s="253"/>
      <c r="EQ58" s="253"/>
      <c r="ER58" s="253"/>
      <c r="ES58" s="253"/>
      <c r="ET58" s="253"/>
      <c r="EU58" s="253"/>
      <c r="EV58" s="253"/>
      <c r="EW58" s="255">
        <f>20-20</f>
        <v>0</v>
      </c>
      <c r="EX58" s="253"/>
      <c r="EY58" s="253"/>
      <c r="EZ58" s="253"/>
      <c r="FA58" s="253"/>
      <c r="FB58" s="253"/>
      <c r="FC58" s="253"/>
      <c r="FD58" s="253"/>
      <c r="FE58" s="253"/>
      <c r="FF58" s="253"/>
      <c r="FG58" s="253"/>
      <c r="FH58" s="253"/>
      <c r="FI58" s="253"/>
      <c r="FJ58" s="253"/>
      <c r="FK58" s="253"/>
      <c r="FL58" s="253"/>
      <c r="FM58" s="253"/>
      <c r="FN58" s="253"/>
      <c r="FO58" s="253"/>
      <c r="FP58" s="256"/>
      <c r="FQ58" s="257" t="s">
        <v>1322</v>
      </c>
      <c r="FR58" s="258" t="s">
        <v>389</v>
      </c>
      <c r="FS58" s="258" t="s">
        <v>906</v>
      </c>
      <c r="FT58" s="258" t="s">
        <v>420</v>
      </c>
      <c r="FU58" s="259">
        <f t="shared" si="1"/>
        <v>0</v>
      </c>
      <c r="FV58" s="260" t="s">
        <v>421</v>
      </c>
    </row>
    <row r="59" spans="1:178" s="260" customFormat="1">
      <c r="A59" s="251" t="s">
        <v>393</v>
      </c>
      <c r="B59" s="251" t="s">
        <v>385</v>
      </c>
      <c r="C59" s="251" t="s">
        <v>411</v>
      </c>
      <c r="D59" s="251" t="s">
        <v>291</v>
      </c>
      <c r="E59" s="252" t="s">
        <v>422</v>
      </c>
      <c r="F59" s="251" t="s">
        <v>388</v>
      </c>
      <c r="G59" s="251"/>
      <c r="H59" s="253"/>
      <c r="I59" s="253"/>
      <c r="J59" s="253"/>
      <c r="K59" s="253"/>
      <c r="L59" s="253"/>
      <c r="M59" s="253"/>
      <c r="N59" s="253"/>
      <c r="O59" s="253"/>
      <c r="P59" s="253"/>
      <c r="Q59" s="253"/>
      <c r="R59" s="253"/>
      <c r="S59" s="253"/>
      <c r="T59" s="253"/>
      <c r="U59" s="253"/>
      <c r="V59" s="253"/>
      <c r="W59" s="253"/>
      <c r="X59" s="253"/>
      <c r="Y59" s="253"/>
      <c r="Z59" s="253"/>
      <c r="AA59" s="253"/>
      <c r="AB59" s="253"/>
      <c r="AC59" s="253"/>
      <c r="AD59" s="253"/>
      <c r="AE59" s="253"/>
      <c r="AF59" s="253"/>
      <c r="AG59" s="253"/>
      <c r="AH59" s="253"/>
      <c r="AI59" s="253"/>
      <c r="AJ59" s="253"/>
      <c r="AK59" s="253"/>
      <c r="AL59" s="253"/>
      <c r="AM59" s="253"/>
      <c r="AN59" s="253"/>
      <c r="AO59" s="253"/>
      <c r="AP59" s="253"/>
      <c r="AQ59" s="253"/>
      <c r="AR59" s="253"/>
      <c r="AS59" s="253"/>
      <c r="AT59" s="253"/>
      <c r="AU59" s="253"/>
      <c r="AV59" s="253"/>
      <c r="AW59" s="253"/>
      <c r="AX59" s="253"/>
      <c r="AY59" s="253"/>
      <c r="AZ59" s="253"/>
      <c r="BA59" s="253"/>
      <c r="BB59" s="253"/>
      <c r="BC59" s="253"/>
      <c r="BD59" s="253"/>
      <c r="BE59" s="253"/>
      <c r="BF59" s="253"/>
      <c r="BG59" s="253"/>
      <c r="BH59" s="253"/>
      <c r="BI59" s="253"/>
      <c r="BJ59" s="253"/>
      <c r="BK59" s="253"/>
      <c r="BL59" s="253"/>
      <c r="BM59" s="253"/>
      <c r="BN59" s="253"/>
      <c r="BO59" s="253"/>
      <c r="BP59" s="253"/>
      <c r="BQ59" s="253"/>
      <c r="BR59" s="253"/>
      <c r="BS59" s="253"/>
      <c r="BT59" s="253"/>
      <c r="BU59" s="253"/>
      <c r="BV59" s="253"/>
      <c r="BW59" s="253"/>
      <c r="BX59" s="253"/>
      <c r="BY59" s="253"/>
      <c r="BZ59" s="253"/>
      <c r="CA59" s="253"/>
      <c r="CB59" s="253"/>
      <c r="CC59" s="253"/>
      <c r="CD59" s="253"/>
      <c r="CE59" s="253"/>
      <c r="CF59" s="253"/>
      <c r="CG59" s="253"/>
      <c r="CH59" s="253"/>
      <c r="CI59" s="253"/>
      <c r="CJ59" s="253"/>
      <c r="CK59" s="253"/>
      <c r="CL59" s="253"/>
      <c r="CM59" s="253"/>
      <c r="CN59" s="253"/>
      <c r="CO59" s="253"/>
      <c r="CP59" s="253"/>
      <c r="CQ59" s="253"/>
      <c r="CR59" s="253"/>
      <c r="CS59" s="253"/>
      <c r="CT59" s="253"/>
      <c r="CU59" s="253"/>
      <c r="CV59" s="253"/>
      <c r="CW59" s="253"/>
      <c r="CX59" s="253"/>
      <c r="CY59" s="253"/>
      <c r="CZ59" s="253"/>
      <c r="DA59" s="253"/>
      <c r="DB59" s="253"/>
      <c r="DC59" s="253"/>
      <c r="DD59" s="253"/>
      <c r="DE59" s="253"/>
      <c r="DF59" s="253"/>
      <c r="DG59" s="253"/>
      <c r="DH59" s="253"/>
      <c r="DI59" s="255">
        <f>410-410</f>
        <v>0</v>
      </c>
      <c r="DJ59" s="253"/>
      <c r="DK59" s="253"/>
      <c r="DL59" s="253"/>
      <c r="DM59" s="253"/>
      <c r="DN59" s="253"/>
      <c r="DO59" s="253"/>
      <c r="DP59" s="255">
        <f>2000-2000</f>
        <v>0</v>
      </c>
      <c r="DQ59" s="253"/>
      <c r="DR59" s="253"/>
      <c r="DS59" s="253"/>
      <c r="DT59" s="253"/>
      <c r="DU59" s="253"/>
      <c r="DV59" s="253"/>
      <c r="DW59" s="255">
        <v>30</v>
      </c>
      <c r="DX59" s="255">
        <f>1820-1820</f>
        <v>0</v>
      </c>
      <c r="DY59" s="253"/>
      <c r="DZ59" s="253"/>
      <c r="EA59" s="253"/>
      <c r="EB59" s="253"/>
      <c r="EC59" s="253"/>
      <c r="ED59" s="253"/>
      <c r="EE59" s="253"/>
      <c r="EF59" s="255">
        <f>1990-1990</f>
        <v>0</v>
      </c>
      <c r="EG59" s="255">
        <f>2000-2000</f>
        <v>0</v>
      </c>
      <c r="EH59" s="253"/>
      <c r="EI59" s="253"/>
      <c r="EJ59" s="255">
        <v>60</v>
      </c>
      <c r="EK59" s="253"/>
      <c r="EL59" s="253"/>
      <c r="EM59" s="253"/>
      <c r="EN59" s="253"/>
      <c r="EO59" s="253"/>
      <c r="EP59" s="253"/>
      <c r="EQ59" s="253"/>
      <c r="ER59" s="253"/>
      <c r="ES59" s="428">
        <v>20</v>
      </c>
      <c r="ET59" s="253"/>
      <c r="EU59" s="255">
        <f>2000-2000</f>
        <v>0</v>
      </c>
      <c r="EV59" s="255">
        <f>2000-2000</f>
        <v>0</v>
      </c>
      <c r="EW59" s="428">
        <v>40</v>
      </c>
      <c r="EX59" s="255">
        <v>40</v>
      </c>
      <c r="EY59" s="253"/>
      <c r="EZ59" s="255">
        <f>500-500</f>
        <v>0</v>
      </c>
      <c r="FA59" s="255">
        <f>200-200</f>
        <v>0</v>
      </c>
      <c r="FB59" s="253"/>
      <c r="FC59" s="253"/>
      <c r="FD59" s="253"/>
      <c r="FE59" s="253"/>
      <c r="FF59" s="253"/>
      <c r="FG59" s="253"/>
      <c r="FH59" s="253"/>
      <c r="FI59" s="253"/>
      <c r="FJ59" s="253"/>
      <c r="FK59" s="253"/>
      <c r="FL59" s="253"/>
      <c r="FM59" s="253"/>
      <c r="FN59" s="253"/>
      <c r="FO59" s="253"/>
      <c r="FP59" s="256"/>
      <c r="FQ59" s="257" t="s">
        <v>1322</v>
      </c>
      <c r="FR59" s="258" t="s">
        <v>389</v>
      </c>
      <c r="FS59" s="258"/>
      <c r="FT59" s="258" t="s">
        <v>423</v>
      </c>
      <c r="FU59" s="259">
        <f t="shared" si="1"/>
        <v>190</v>
      </c>
      <c r="FV59" s="260" t="s">
        <v>424</v>
      </c>
    </row>
    <row r="60" spans="1:178" s="260" customFormat="1">
      <c r="A60" s="251" t="s">
        <v>393</v>
      </c>
      <c r="B60" s="251" t="s">
        <v>385</v>
      </c>
      <c r="C60" s="251" t="s">
        <v>411</v>
      </c>
      <c r="D60" s="251" t="s">
        <v>1</v>
      </c>
      <c r="E60" s="252" t="s">
        <v>422</v>
      </c>
      <c r="F60" s="251" t="s">
        <v>388</v>
      </c>
      <c r="G60" s="251"/>
      <c r="H60" s="253"/>
      <c r="I60" s="253"/>
      <c r="J60" s="255">
        <f>15-15</f>
        <v>0</v>
      </c>
      <c r="K60" s="255">
        <f>46-46</f>
        <v>0</v>
      </c>
      <c r="L60" s="255">
        <f>50-50</f>
        <v>0</v>
      </c>
      <c r="M60" s="253"/>
      <c r="N60" s="255">
        <f>300-300</f>
        <v>0</v>
      </c>
      <c r="O60" s="255">
        <f>300-300</f>
        <v>0</v>
      </c>
      <c r="P60" s="255">
        <f>300-300</f>
        <v>0</v>
      </c>
      <c r="Q60" s="253"/>
      <c r="R60" s="255">
        <f>295-295</f>
        <v>0</v>
      </c>
      <c r="S60" s="255">
        <f>290-290</f>
        <v>0</v>
      </c>
      <c r="T60" s="253"/>
      <c r="U60" s="255">
        <f>970-970</f>
        <v>0</v>
      </c>
      <c r="V60" s="255">
        <f>930-930</f>
        <v>0</v>
      </c>
      <c r="W60" s="255">
        <f>970-970</f>
        <v>0</v>
      </c>
      <c r="X60" s="253"/>
      <c r="Y60" s="253"/>
      <c r="Z60" s="253"/>
      <c r="AA60" s="255">
        <f>1000-1000</f>
        <v>0</v>
      </c>
      <c r="AB60" s="255">
        <f>960-960</f>
        <v>0</v>
      </c>
      <c r="AC60" s="255">
        <v>2</v>
      </c>
      <c r="AD60" s="253"/>
      <c r="AE60" s="253"/>
      <c r="AF60" s="255">
        <f>1000-1000</f>
        <v>0</v>
      </c>
      <c r="AG60" s="255">
        <f>1000-1000</f>
        <v>0</v>
      </c>
      <c r="AH60" s="255">
        <f>1000-1000</f>
        <v>0</v>
      </c>
      <c r="AI60" s="253"/>
      <c r="AJ60" s="255">
        <f>1000-1000</f>
        <v>0</v>
      </c>
      <c r="AK60" s="255">
        <f>1000-1000</f>
        <v>0</v>
      </c>
      <c r="AL60" s="253"/>
      <c r="AM60" s="255">
        <f>990-990</f>
        <v>0</v>
      </c>
      <c r="AN60" s="255">
        <f>1000-1000</f>
        <v>0</v>
      </c>
      <c r="AO60" s="253"/>
      <c r="AP60" s="255">
        <f>3000-3000</f>
        <v>0</v>
      </c>
      <c r="AQ60" s="253"/>
      <c r="AR60" s="255">
        <f>3000-3000</f>
        <v>0</v>
      </c>
      <c r="AS60" s="253"/>
      <c r="AT60" s="253"/>
      <c r="AU60" s="255">
        <f>48-48</f>
        <v>0</v>
      </c>
      <c r="AV60" s="253"/>
      <c r="AW60" s="253"/>
      <c r="AX60" s="253"/>
      <c r="AY60" s="253"/>
      <c r="AZ60" s="253"/>
      <c r="BA60" s="255">
        <f>46-46</f>
        <v>0</v>
      </c>
      <c r="BB60" s="255">
        <f>45-45</f>
        <v>0</v>
      </c>
      <c r="BC60" s="255">
        <f>15-15</f>
        <v>0</v>
      </c>
      <c r="BD60" s="255">
        <f>50-50</f>
        <v>0</v>
      </c>
      <c r="BE60" s="255">
        <f>35-35</f>
        <v>0</v>
      </c>
      <c r="BF60" s="255">
        <f>50-50</f>
        <v>0</v>
      </c>
      <c r="BG60" s="255">
        <f>50-50</f>
        <v>0</v>
      </c>
      <c r="BH60" s="255">
        <f>50-50</f>
        <v>0</v>
      </c>
      <c r="BI60" s="253"/>
      <c r="BJ60" s="253"/>
      <c r="BK60" s="253"/>
      <c r="BL60" s="253"/>
      <c r="BM60" s="253"/>
      <c r="BN60" s="253"/>
      <c r="BO60" s="253"/>
      <c r="BP60" s="253"/>
      <c r="BQ60" s="255">
        <v>10</v>
      </c>
      <c r="BR60" s="253"/>
      <c r="BS60" s="253"/>
      <c r="BT60" s="255">
        <f>500-500</f>
        <v>0</v>
      </c>
      <c r="BU60" s="253"/>
      <c r="BV60" s="255">
        <f>198-198</f>
        <v>0</v>
      </c>
      <c r="BW60" s="253"/>
      <c r="BX60" s="253"/>
      <c r="BY60" s="253"/>
      <c r="BZ60" s="253"/>
      <c r="CA60" s="253"/>
      <c r="CB60" s="253"/>
      <c r="CC60" s="255">
        <v>4</v>
      </c>
      <c r="CD60" s="255">
        <f>200-200</f>
        <v>0</v>
      </c>
      <c r="CE60" s="255"/>
      <c r="CF60" s="255">
        <f>190-190</f>
        <v>0</v>
      </c>
      <c r="CG60" s="255">
        <v>30</v>
      </c>
      <c r="CH60" s="255">
        <v>0</v>
      </c>
      <c r="CI60" s="255">
        <f>170-170</f>
        <v>0</v>
      </c>
      <c r="CJ60" s="255">
        <f>200-200</f>
        <v>0</v>
      </c>
      <c r="CK60" s="255">
        <f>190-190</f>
        <v>0</v>
      </c>
      <c r="CL60" s="255">
        <f>30-30</f>
        <v>0</v>
      </c>
      <c r="CM60" s="255">
        <v>30</v>
      </c>
      <c r="CN60" s="255">
        <v>50</v>
      </c>
      <c r="CO60" s="255">
        <v>30</v>
      </c>
      <c r="CP60" s="255">
        <f>1000-1000</f>
        <v>0</v>
      </c>
      <c r="CQ60" s="255">
        <f>1000-1000</f>
        <v>0</v>
      </c>
      <c r="CR60" s="255">
        <f>2000-2000</f>
        <v>0</v>
      </c>
      <c r="CS60" s="255">
        <f>2000-2000</f>
        <v>0</v>
      </c>
      <c r="CT60" s="255">
        <f>2000-2000</f>
        <v>0</v>
      </c>
      <c r="CU60" s="255">
        <f>1996-1996</f>
        <v>0</v>
      </c>
      <c r="CV60" s="255">
        <f>2000-2000</f>
        <v>0</v>
      </c>
      <c r="CW60" s="255">
        <f>1980-1980</f>
        <v>0</v>
      </c>
      <c r="CX60" s="255">
        <f>2000-2000</f>
        <v>0</v>
      </c>
      <c r="CY60" s="253"/>
      <c r="CZ60" s="255">
        <f>1995-1995</f>
        <v>0</v>
      </c>
      <c r="DA60" s="427">
        <v>10</v>
      </c>
      <c r="DB60" s="255">
        <v>30</v>
      </c>
      <c r="DC60" s="255">
        <f>1920-1920</f>
        <v>0</v>
      </c>
      <c r="DD60" s="255">
        <f>1910-1910</f>
        <v>0</v>
      </c>
      <c r="DE60" s="255">
        <f>1987-1987</f>
        <v>0</v>
      </c>
      <c r="DF60" s="253"/>
      <c r="DG60" s="253"/>
      <c r="DH60" s="253"/>
      <c r="DI60" s="253"/>
      <c r="DJ60" s="253"/>
      <c r="DK60" s="255">
        <f>462-462</f>
        <v>0</v>
      </c>
      <c r="DL60" s="255">
        <f>380-380</f>
        <v>0</v>
      </c>
      <c r="DM60" s="253">
        <v>400</v>
      </c>
      <c r="DN60" s="253"/>
      <c r="DO60" s="253"/>
      <c r="DP60" s="253"/>
      <c r="DQ60" s="253"/>
      <c r="DR60" s="255">
        <f>2000-2000+9</f>
        <v>9</v>
      </c>
      <c r="DS60" s="253"/>
      <c r="DT60" s="253"/>
      <c r="DU60" s="255">
        <f>1890-1890</f>
        <v>0</v>
      </c>
      <c r="DV60" s="255">
        <f>1980-1980</f>
        <v>0</v>
      </c>
      <c r="DW60" s="253"/>
      <c r="DX60" s="253"/>
      <c r="DY60" s="254">
        <f>1954-1954+30</f>
        <v>30</v>
      </c>
      <c r="DZ60" s="253"/>
      <c r="EA60" s="253"/>
      <c r="EB60" s="255">
        <f>1860-1860</f>
        <v>0</v>
      </c>
      <c r="EC60" s="255">
        <f>2000-2000</f>
        <v>0</v>
      </c>
      <c r="ED60" s="255">
        <f>2000-2000</f>
        <v>0</v>
      </c>
      <c r="EE60" s="255">
        <f>2000-2000</f>
        <v>0</v>
      </c>
      <c r="EF60" s="253"/>
      <c r="EG60" s="253"/>
      <c r="EH60" s="255">
        <f>2000-2000</f>
        <v>0</v>
      </c>
      <c r="EI60" s="253"/>
      <c r="EJ60" s="253"/>
      <c r="EK60" s="255">
        <v>40</v>
      </c>
      <c r="EL60" s="255">
        <v>60</v>
      </c>
      <c r="EM60" s="255">
        <f>1980-1980</f>
        <v>0</v>
      </c>
      <c r="EN60" s="255">
        <f>2000-2000</f>
        <v>0</v>
      </c>
      <c r="EO60" s="255">
        <f>1960-1960</f>
        <v>0</v>
      </c>
      <c r="EP60" s="253"/>
      <c r="EQ60" s="255">
        <f>1940-1940</f>
        <v>0</v>
      </c>
      <c r="ER60" s="255">
        <f>1960-1960</f>
        <v>0</v>
      </c>
      <c r="ES60" s="255">
        <v>0</v>
      </c>
      <c r="ET60" s="255">
        <f>2000-2000</f>
        <v>0</v>
      </c>
      <c r="EU60" s="253"/>
      <c r="EV60" s="253"/>
      <c r="EX60" s="253"/>
      <c r="EY60" s="255">
        <v>40</v>
      </c>
      <c r="EZ60" s="254">
        <f>100</f>
        <v>100</v>
      </c>
      <c r="FA60" s="253"/>
      <c r="FB60" s="253"/>
      <c r="FC60" s="253"/>
      <c r="FD60" s="253"/>
      <c r="FE60" s="253"/>
      <c r="FF60" s="253"/>
      <c r="FG60" s="253"/>
      <c r="FH60" s="253"/>
      <c r="FI60" s="253"/>
      <c r="FJ60" s="253"/>
      <c r="FK60" s="253"/>
      <c r="FL60" s="253"/>
      <c r="FM60" s="253"/>
      <c r="FN60" s="253"/>
      <c r="FO60" s="253"/>
      <c r="FP60" s="256"/>
      <c r="FQ60" s="257" t="s">
        <v>1322</v>
      </c>
      <c r="FR60" s="258" t="s">
        <v>389</v>
      </c>
      <c r="FS60" s="258"/>
      <c r="FT60" s="258" t="s">
        <v>423</v>
      </c>
      <c r="FU60" s="259">
        <f t="shared" si="1"/>
        <v>875</v>
      </c>
      <c r="FV60" s="260" t="s">
        <v>424</v>
      </c>
    </row>
    <row r="61" spans="1:178" s="260" customFormat="1">
      <c r="A61" s="251" t="s">
        <v>393</v>
      </c>
      <c r="B61" s="251" t="s">
        <v>385</v>
      </c>
      <c r="C61" s="251" t="s">
        <v>411</v>
      </c>
      <c r="D61" s="251" t="s">
        <v>293</v>
      </c>
      <c r="E61" s="252" t="s">
        <v>422</v>
      </c>
      <c r="F61" s="251" t="s">
        <v>388</v>
      </c>
      <c r="G61" s="251"/>
      <c r="H61" s="253"/>
      <c r="I61" s="255">
        <f>50-50</f>
        <v>0</v>
      </c>
      <c r="J61" s="253"/>
      <c r="K61" s="253"/>
      <c r="L61" s="253"/>
      <c r="M61" s="255">
        <f>300-300</f>
        <v>0</v>
      </c>
      <c r="N61" s="253"/>
      <c r="O61" s="253"/>
      <c r="P61" s="253"/>
      <c r="Q61" s="255">
        <f>300-300</f>
        <v>0</v>
      </c>
      <c r="R61" s="253"/>
      <c r="S61" s="253"/>
      <c r="T61" s="255">
        <f>1000-1000</f>
        <v>0</v>
      </c>
      <c r="U61" s="253"/>
      <c r="V61" s="253"/>
      <c r="W61" s="253"/>
      <c r="X61" s="253"/>
      <c r="Y61" s="253"/>
      <c r="Z61" s="253"/>
      <c r="AA61" s="253"/>
      <c r="AB61" s="253"/>
      <c r="AC61" s="253"/>
      <c r="AD61" s="253"/>
      <c r="AE61" s="253"/>
      <c r="AF61" s="253"/>
      <c r="AG61" s="253"/>
      <c r="AH61" s="253"/>
      <c r="AI61" s="253"/>
      <c r="AJ61" s="253"/>
      <c r="AK61" s="253"/>
      <c r="AL61" s="253"/>
      <c r="AM61" s="253"/>
      <c r="AN61" s="253"/>
      <c r="AO61" s="253"/>
      <c r="AP61" s="253"/>
      <c r="AQ61" s="253"/>
      <c r="AR61" s="253"/>
      <c r="AS61" s="253"/>
      <c r="AT61" s="253"/>
      <c r="AU61" s="253"/>
      <c r="AV61" s="253"/>
      <c r="AW61" s="253"/>
      <c r="AX61" s="253"/>
      <c r="AY61" s="253"/>
      <c r="AZ61" s="253"/>
      <c r="BA61" s="253"/>
      <c r="BB61" s="253"/>
      <c r="BC61" s="253"/>
      <c r="BD61" s="253"/>
      <c r="BE61" s="253"/>
      <c r="BF61" s="253"/>
      <c r="BG61" s="253"/>
      <c r="BH61" s="253"/>
      <c r="BI61" s="253"/>
      <c r="BJ61" s="253"/>
      <c r="BK61" s="253"/>
      <c r="BL61" s="253"/>
      <c r="BM61" s="253"/>
      <c r="BN61" s="253"/>
      <c r="BO61" s="253"/>
      <c r="BP61" s="253"/>
      <c r="BQ61" s="253"/>
      <c r="BR61" s="253"/>
      <c r="BS61" s="253"/>
      <c r="BT61" s="253"/>
      <c r="BU61" s="253"/>
      <c r="BV61" s="253"/>
      <c r="BW61" s="253"/>
      <c r="BX61" s="253"/>
      <c r="BY61" s="253"/>
      <c r="BZ61" s="253"/>
      <c r="CA61" s="253"/>
      <c r="CB61" s="253"/>
      <c r="CC61" s="253"/>
      <c r="CD61" s="253"/>
      <c r="CE61" s="253"/>
      <c r="CF61" s="253"/>
      <c r="CG61" s="253"/>
      <c r="CH61" s="253"/>
      <c r="CI61" s="253"/>
      <c r="CJ61" s="253"/>
      <c r="CK61" s="253"/>
      <c r="CL61" s="253"/>
      <c r="CM61" s="253"/>
      <c r="CN61" s="253"/>
      <c r="CO61" s="253"/>
      <c r="CP61" s="253"/>
      <c r="CQ61" s="253"/>
      <c r="CR61" s="253"/>
      <c r="CS61" s="253"/>
      <c r="CT61" s="253"/>
      <c r="CU61" s="253"/>
      <c r="CV61" s="253"/>
      <c r="CW61" s="253"/>
      <c r="CX61" s="253"/>
      <c r="CY61" s="253"/>
      <c r="CZ61" s="253"/>
      <c r="DA61" s="253"/>
      <c r="DB61" s="253"/>
      <c r="DC61" s="253"/>
      <c r="DD61" s="253"/>
      <c r="DE61" s="253"/>
      <c r="DF61" s="253"/>
      <c r="DG61" s="253"/>
      <c r="DH61" s="253"/>
      <c r="DI61" s="253"/>
      <c r="DJ61" s="253"/>
      <c r="DK61" s="253"/>
      <c r="DL61" s="253"/>
      <c r="DM61" s="253"/>
      <c r="DN61" s="253"/>
      <c r="DO61" s="253"/>
      <c r="DP61" s="253"/>
      <c r="DQ61" s="253"/>
      <c r="DR61" s="253"/>
      <c r="DS61" s="253"/>
      <c r="DT61" s="253"/>
      <c r="DU61" s="253"/>
      <c r="DV61" s="253"/>
      <c r="DW61" s="253"/>
      <c r="DX61" s="253"/>
      <c r="DY61" s="253"/>
      <c r="DZ61" s="253"/>
      <c r="EA61" s="253"/>
      <c r="EB61" s="253"/>
      <c r="EC61" s="253"/>
      <c r="ED61" s="253"/>
      <c r="EE61" s="253"/>
      <c r="EF61" s="253"/>
      <c r="EG61" s="253"/>
      <c r="EH61" s="253"/>
      <c r="EI61" s="253"/>
      <c r="EJ61" s="253"/>
      <c r="EK61" s="253"/>
      <c r="EL61" s="253"/>
      <c r="EM61" s="253"/>
      <c r="EN61" s="253"/>
      <c r="EO61" s="253"/>
      <c r="EP61" s="253"/>
      <c r="EQ61" s="253"/>
      <c r="ER61" s="253"/>
      <c r="ES61" s="253"/>
      <c r="ET61" s="253"/>
      <c r="EU61" s="253"/>
      <c r="EV61" s="253"/>
      <c r="EW61" s="253"/>
      <c r="EX61" s="253"/>
      <c r="EY61" s="253"/>
      <c r="EZ61" s="253"/>
      <c r="FA61" s="253"/>
      <c r="FB61" s="253"/>
      <c r="FC61" s="253"/>
      <c r="FD61" s="253"/>
      <c r="FE61" s="253"/>
      <c r="FF61" s="253"/>
      <c r="FG61" s="253"/>
      <c r="FH61" s="253"/>
      <c r="FI61" s="253"/>
      <c r="FJ61" s="253"/>
      <c r="FK61" s="253"/>
      <c r="FL61" s="253"/>
      <c r="FM61" s="253"/>
      <c r="FN61" s="253"/>
      <c r="FO61" s="253"/>
      <c r="FP61" s="256"/>
      <c r="FQ61" s="257" t="s">
        <v>1322</v>
      </c>
      <c r="FR61" s="258" t="s">
        <v>389</v>
      </c>
      <c r="FS61" s="258"/>
      <c r="FT61" s="258" t="s">
        <v>423</v>
      </c>
      <c r="FU61" s="259">
        <f t="shared" si="1"/>
        <v>0</v>
      </c>
      <c r="FV61" s="260" t="s">
        <v>424</v>
      </c>
    </row>
    <row r="62" spans="1:178" s="260" customFormat="1" hidden="1">
      <c r="A62" s="251" t="s">
        <v>385</v>
      </c>
      <c r="B62" s="251" t="s">
        <v>385</v>
      </c>
      <c r="C62" s="251" t="s">
        <v>411</v>
      </c>
      <c r="D62" s="251" t="s">
        <v>291</v>
      </c>
      <c r="E62" s="252" t="s">
        <v>203</v>
      </c>
      <c r="F62" s="251" t="s">
        <v>388</v>
      </c>
      <c r="G62" s="251" t="s">
        <v>1339</v>
      </c>
      <c r="H62" s="253"/>
      <c r="I62" s="253"/>
      <c r="J62" s="253"/>
      <c r="K62" s="253"/>
      <c r="L62" s="253"/>
      <c r="M62" s="253"/>
      <c r="N62" s="253"/>
      <c r="O62" s="253"/>
      <c r="P62" s="253"/>
      <c r="Q62" s="253"/>
      <c r="R62" s="253"/>
      <c r="S62" s="253"/>
      <c r="T62" s="253"/>
      <c r="U62" s="253"/>
      <c r="V62" s="253"/>
      <c r="W62" s="253"/>
      <c r="X62" s="253"/>
      <c r="Y62" s="253"/>
      <c r="Z62" s="253"/>
      <c r="AA62" s="253"/>
      <c r="AB62" s="253"/>
      <c r="AC62" s="253"/>
      <c r="AD62" s="253"/>
      <c r="AE62" s="253"/>
      <c r="AF62" s="253"/>
      <c r="AG62" s="253"/>
      <c r="AH62" s="253"/>
      <c r="AI62" s="253"/>
      <c r="AJ62" s="253"/>
      <c r="AK62" s="253"/>
      <c r="AL62" s="253"/>
      <c r="AM62" s="253"/>
      <c r="AN62" s="253"/>
      <c r="AO62" s="253"/>
      <c r="AP62" s="253"/>
      <c r="AQ62" s="253"/>
      <c r="AR62" s="253"/>
      <c r="AS62" s="253"/>
      <c r="AT62" s="253"/>
      <c r="AU62" s="253"/>
      <c r="AV62" s="253"/>
      <c r="AW62" s="253"/>
      <c r="AX62" s="253"/>
      <c r="AY62" s="253"/>
      <c r="AZ62" s="253"/>
      <c r="BA62" s="253"/>
      <c r="BB62" s="253"/>
      <c r="BC62" s="253"/>
      <c r="BD62" s="253"/>
      <c r="BE62" s="253"/>
      <c r="BF62" s="253"/>
      <c r="BG62" s="253"/>
      <c r="BH62" s="253"/>
      <c r="BI62" s="253"/>
      <c r="BJ62" s="253"/>
      <c r="BK62" s="253"/>
      <c r="BL62" s="253"/>
      <c r="BM62" s="253"/>
      <c r="BN62" s="253"/>
      <c r="BO62" s="253"/>
      <c r="BP62" s="253"/>
      <c r="BQ62" s="253"/>
      <c r="BR62" s="253"/>
      <c r="BS62" s="253"/>
      <c r="BT62" s="253"/>
      <c r="BU62" s="253"/>
      <c r="BV62" s="253"/>
      <c r="BW62" s="253"/>
      <c r="BX62" s="253"/>
      <c r="BY62" s="253"/>
      <c r="BZ62" s="253"/>
      <c r="CA62" s="253"/>
      <c r="CB62" s="253"/>
      <c r="CC62" s="253"/>
      <c r="CD62" s="253"/>
      <c r="CE62" s="253"/>
      <c r="CF62" s="253"/>
      <c r="CG62" s="253"/>
      <c r="CH62" s="253"/>
      <c r="CI62" s="253"/>
      <c r="CJ62" s="253"/>
      <c r="CK62" s="253"/>
      <c r="CL62" s="253"/>
      <c r="CM62" s="253"/>
      <c r="CN62" s="253"/>
      <c r="CO62" s="253"/>
      <c r="CP62" s="253"/>
      <c r="CQ62" s="253"/>
      <c r="CR62" s="253"/>
      <c r="CS62" s="253"/>
      <c r="CT62" s="253"/>
      <c r="CU62" s="253"/>
      <c r="CV62" s="253"/>
      <c r="CW62" s="253"/>
      <c r="CX62" s="253"/>
      <c r="CY62" s="253"/>
      <c r="CZ62" s="253"/>
      <c r="DA62" s="253"/>
      <c r="DB62" s="253"/>
      <c r="DC62" s="253"/>
      <c r="DD62" s="253"/>
      <c r="DE62" s="253"/>
      <c r="DF62" s="253"/>
      <c r="DG62" s="253"/>
      <c r="DH62" s="253"/>
      <c r="DI62" s="255">
        <f>200-200</f>
        <v>0</v>
      </c>
      <c r="DJ62" s="253"/>
      <c r="DK62" s="253"/>
      <c r="DL62" s="253"/>
      <c r="DM62" s="253"/>
      <c r="DN62" s="253"/>
      <c r="DO62" s="253"/>
      <c r="DP62" s="253"/>
      <c r="DQ62" s="253"/>
      <c r="DR62" s="253"/>
      <c r="DS62" s="253"/>
      <c r="DT62" s="253"/>
      <c r="DU62" s="253"/>
      <c r="DV62" s="253"/>
      <c r="DW62" s="253"/>
      <c r="DX62" s="253"/>
      <c r="DY62" s="253"/>
      <c r="DZ62" s="253"/>
      <c r="EA62" s="253"/>
      <c r="EB62" s="253"/>
      <c r="EC62" s="253"/>
      <c r="ED62" s="253"/>
      <c r="EE62" s="253"/>
      <c r="EF62" s="253"/>
      <c r="EG62" s="255">
        <f>200-200</f>
        <v>0</v>
      </c>
      <c r="EH62" s="253"/>
      <c r="EI62" s="253"/>
      <c r="EJ62" s="253"/>
      <c r="EK62" s="253"/>
      <c r="EL62" s="253"/>
      <c r="EM62" s="253"/>
      <c r="EN62" s="253"/>
      <c r="EO62" s="253"/>
      <c r="EP62" s="253"/>
      <c r="EQ62" s="253"/>
      <c r="ER62" s="253"/>
      <c r="ES62" s="253"/>
      <c r="ET62" s="253"/>
      <c r="EU62" s="253"/>
      <c r="EV62" s="253"/>
      <c r="EW62" s="253"/>
      <c r="EX62" s="255">
        <f>200-200</f>
        <v>0</v>
      </c>
      <c r="EY62" s="253"/>
      <c r="EZ62" s="253"/>
      <c r="FA62" s="253"/>
      <c r="FB62" s="253"/>
      <c r="FC62" s="253"/>
      <c r="FD62" s="253"/>
      <c r="FE62" s="253"/>
      <c r="FF62" s="253"/>
      <c r="FG62" s="253"/>
      <c r="FH62" s="253"/>
      <c r="FI62" s="253"/>
      <c r="FJ62" s="253"/>
      <c r="FK62" s="253"/>
      <c r="FL62" s="253"/>
      <c r="FM62" s="253"/>
      <c r="FN62" s="253"/>
      <c r="FO62" s="253"/>
      <c r="FP62" s="256"/>
      <c r="FQ62" s="257" t="s">
        <v>1322</v>
      </c>
      <c r="FR62" s="258" t="s">
        <v>389</v>
      </c>
      <c r="FS62" s="258" t="s">
        <v>839</v>
      </c>
      <c r="FT62" s="258" t="s">
        <v>426</v>
      </c>
      <c r="FU62" s="259">
        <f t="shared" si="1"/>
        <v>0</v>
      </c>
      <c r="FV62" s="260" t="s">
        <v>433</v>
      </c>
    </row>
    <row r="63" spans="1:178" s="260" customFormat="1" hidden="1">
      <c r="A63" s="251" t="s">
        <v>385</v>
      </c>
      <c r="B63" s="251" t="s">
        <v>385</v>
      </c>
      <c r="C63" s="251" t="s">
        <v>411</v>
      </c>
      <c r="D63" s="251" t="s">
        <v>1</v>
      </c>
      <c r="E63" s="252" t="s">
        <v>203</v>
      </c>
      <c r="F63" s="251" t="s">
        <v>388</v>
      </c>
      <c r="G63" s="251" t="s">
        <v>1339</v>
      </c>
      <c r="H63" s="253"/>
      <c r="I63" s="253"/>
      <c r="J63" s="253"/>
      <c r="K63" s="253"/>
      <c r="L63" s="253"/>
      <c r="M63" s="253"/>
      <c r="N63" s="253"/>
      <c r="O63" s="253"/>
      <c r="P63" s="253"/>
      <c r="Q63" s="253"/>
      <c r="R63" s="253"/>
      <c r="S63" s="253"/>
      <c r="T63" s="253"/>
      <c r="U63" s="253"/>
      <c r="V63" s="253"/>
      <c r="W63" s="253"/>
      <c r="X63" s="253"/>
      <c r="Y63" s="253"/>
      <c r="Z63" s="253"/>
      <c r="AA63" s="255">
        <f>100-100</f>
        <v>0</v>
      </c>
      <c r="AB63" s="255">
        <f>200-200</f>
        <v>0</v>
      </c>
      <c r="AC63" s="253"/>
      <c r="AD63" s="253"/>
      <c r="AE63" s="253"/>
      <c r="AF63" s="253"/>
      <c r="AG63" s="255">
        <f>100-100</f>
        <v>0</v>
      </c>
      <c r="AH63" s="253"/>
      <c r="AI63" s="253"/>
      <c r="AJ63" s="255">
        <f>100-100</f>
        <v>0</v>
      </c>
      <c r="AK63" s="253"/>
      <c r="AL63" s="253"/>
      <c r="AM63" s="255">
        <f>100-100</f>
        <v>0</v>
      </c>
      <c r="AN63" s="253"/>
      <c r="AO63" s="253"/>
      <c r="AP63" s="253"/>
      <c r="AQ63" s="253"/>
      <c r="AR63" s="253"/>
      <c r="AS63" s="253"/>
      <c r="AT63" s="253"/>
      <c r="AU63" s="253"/>
      <c r="AV63" s="253"/>
      <c r="AW63" s="253"/>
      <c r="AX63" s="253"/>
      <c r="AY63" s="253"/>
      <c r="AZ63" s="253"/>
      <c r="BA63" s="253"/>
      <c r="BB63" s="253"/>
      <c r="BC63" s="253"/>
      <c r="BD63" s="253"/>
      <c r="BE63" s="253"/>
      <c r="BF63" s="253"/>
      <c r="BG63" s="253"/>
      <c r="BH63" s="253"/>
      <c r="BI63" s="253"/>
      <c r="BJ63" s="253"/>
      <c r="BK63" s="253"/>
      <c r="BL63" s="253"/>
      <c r="BM63" s="253"/>
      <c r="BN63" s="253"/>
      <c r="BO63" s="253"/>
      <c r="BP63" s="253"/>
      <c r="BQ63" s="253"/>
      <c r="BR63" s="253"/>
      <c r="BS63" s="253"/>
      <c r="BT63" s="253"/>
      <c r="BU63" s="253"/>
      <c r="BV63" s="253"/>
      <c r="BW63" s="253"/>
      <c r="BX63" s="253"/>
      <c r="BY63" s="253"/>
      <c r="BZ63" s="253"/>
      <c r="CA63" s="253"/>
      <c r="CB63" s="253"/>
      <c r="CC63" s="253"/>
      <c r="CD63" s="253"/>
      <c r="CE63" s="253"/>
      <c r="CF63" s="253"/>
      <c r="CG63" s="253"/>
      <c r="CH63" s="253"/>
      <c r="CI63" s="253"/>
      <c r="CJ63" s="253"/>
      <c r="CK63" s="253"/>
      <c r="CL63" s="253"/>
      <c r="CM63" s="253"/>
      <c r="CN63" s="253"/>
      <c r="CO63" s="253"/>
      <c r="CP63" s="253"/>
      <c r="CQ63" s="253"/>
      <c r="CR63" s="253"/>
      <c r="CS63" s="253"/>
      <c r="CT63" s="253"/>
      <c r="CU63" s="253"/>
      <c r="CV63" s="253"/>
      <c r="CW63" s="253"/>
      <c r="CX63" s="253"/>
      <c r="CY63" s="253"/>
      <c r="CZ63" s="253"/>
      <c r="DA63" s="253"/>
      <c r="DB63" s="253"/>
      <c r="DC63" s="253"/>
      <c r="DD63" s="253"/>
      <c r="DE63" s="253"/>
      <c r="DF63" s="253"/>
      <c r="DG63" s="253"/>
      <c r="DH63" s="253"/>
      <c r="DI63" s="253"/>
      <c r="DJ63" s="253"/>
      <c r="DK63" s="253"/>
      <c r="DL63" s="255">
        <f>200-200</f>
        <v>0</v>
      </c>
      <c r="DM63" s="253"/>
      <c r="DN63" s="253"/>
      <c r="DO63" s="253"/>
      <c r="DP63" s="253"/>
      <c r="DQ63" s="253"/>
      <c r="DR63" s="253"/>
      <c r="DS63" s="253"/>
      <c r="DT63" s="253"/>
      <c r="DU63" s="255">
        <f>300-300</f>
        <v>0</v>
      </c>
      <c r="DV63" s="253"/>
      <c r="DW63" s="253"/>
      <c r="DX63" s="253"/>
      <c r="DY63" s="253"/>
      <c r="DZ63" s="253"/>
      <c r="EA63" s="255">
        <f>200-200</f>
        <v>0</v>
      </c>
      <c r="EB63" s="255">
        <f>200-200</f>
        <v>0</v>
      </c>
      <c r="EC63" s="253"/>
      <c r="ED63" s="253"/>
      <c r="EE63" s="253"/>
      <c r="EF63" s="253"/>
      <c r="EG63" s="253"/>
      <c r="EH63" s="253"/>
      <c r="EI63" s="253"/>
      <c r="EJ63" s="253"/>
      <c r="EK63" s="255">
        <f>200-200</f>
        <v>0</v>
      </c>
      <c r="EL63" s="255">
        <f>200-200</f>
        <v>0</v>
      </c>
      <c r="EM63" s="253"/>
      <c r="EN63" s="253"/>
      <c r="EO63" s="253"/>
      <c r="EP63" s="253"/>
      <c r="EQ63" s="253"/>
      <c r="ER63" s="253"/>
      <c r="ES63" s="253"/>
      <c r="ET63" s="253"/>
      <c r="EU63" s="253"/>
      <c r="EV63" s="253"/>
      <c r="EW63" s="255">
        <f>200-200</f>
        <v>0</v>
      </c>
      <c r="EX63" s="253"/>
      <c r="EY63" s="255">
        <f>300-300</f>
        <v>0</v>
      </c>
      <c r="EZ63" s="253"/>
      <c r="FA63" s="253"/>
      <c r="FB63" s="253"/>
      <c r="FC63" s="253"/>
      <c r="FD63" s="253"/>
      <c r="FE63" s="253"/>
      <c r="FF63" s="253"/>
      <c r="FG63" s="253"/>
      <c r="FH63" s="253"/>
      <c r="FI63" s="253"/>
      <c r="FJ63" s="253"/>
      <c r="FK63" s="253"/>
      <c r="FL63" s="253"/>
      <c r="FM63" s="253"/>
      <c r="FN63" s="253"/>
      <c r="FO63" s="253"/>
      <c r="FP63" s="256"/>
      <c r="FQ63" s="257" t="s">
        <v>1322</v>
      </c>
      <c r="FR63" s="258" t="s">
        <v>389</v>
      </c>
      <c r="FS63" s="258" t="s">
        <v>839</v>
      </c>
      <c r="FT63" s="258" t="s">
        <v>426</v>
      </c>
      <c r="FU63" s="259">
        <f t="shared" si="1"/>
        <v>0</v>
      </c>
      <c r="FV63" s="260" t="s">
        <v>433</v>
      </c>
    </row>
    <row r="64" spans="1:178" s="260" customFormat="1">
      <c r="A64" s="251" t="s">
        <v>393</v>
      </c>
      <c r="B64" s="251" t="s">
        <v>385</v>
      </c>
      <c r="C64" s="251" t="s">
        <v>411</v>
      </c>
      <c r="D64" s="251" t="s">
        <v>291</v>
      </c>
      <c r="E64" s="252" t="s">
        <v>427</v>
      </c>
      <c r="F64" s="251" t="s">
        <v>388</v>
      </c>
      <c r="G64" s="251" t="s">
        <v>1340</v>
      </c>
      <c r="H64" s="253"/>
      <c r="I64" s="253"/>
      <c r="J64" s="253"/>
      <c r="K64" s="253"/>
      <c r="L64" s="253"/>
      <c r="M64" s="253"/>
      <c r="N64" s="253"/>
      <c r="O64" s="253"/>
      <c r="P64" s="253"/>
      <c r="Q64" s="253"/>
      <c r="R64" s="253"/>
      <c r="S64" s="253"/>
      <c r="T64" s="253"/>
      <c r="U64" s="253"/>
      <c r="V64" s="253"/>
      <c r="W64" s="253"/>
      <c r="X64" s="253"/>
      <c r="Y64" s="253"/>
      <c r="Z64" s="253"/>
      <c r="AA64" s="253"/>
      <c r="AB64" s="253"/>
      <c r="AC64" s="253"/>
      <c r="AD64" s="253"/>
      <c r="AE64" s="253"/>
      <c r="AF64" s="253"/>
      <c r="AG64" s="253"/>
      <c r="AH64" s="253"/>
      <c r="AI64" s="253"/>
      <c r="AJ64" s="253"/>
      <c r="AK64" s="253"/>
      <c r="AL64" s="253"/>
      <c r="AM64" s="253"/>
      <c r="AN64" s="253"/>
      <c r="AO64" s="253"/>
      <c r="AP64" s="253"/>
      <c r="AQ64" s="253"/>
      <c r="AR64" s="253"/>
      <c r="AS64" s="253"/>
      <c r="AT64" s="253"/>
      <c r="AU64" s="253"/>
      <c r="AV64" s="253"/>
      <c r="AW64" s="253"/>
      <c r="AX64" s="253"/>
      <c r="AY64" s="253"/>
      <c r="AZ64" s="253"/>
      <c r="BA64" s="253"/>
      <c r="BB64" s="253"/>
      <c r="BC64" s="253"/>
      <c r="BD64" s="253"/>
      <c r="BE64" s="253"/>
      <c r="BF64" s="253"/>
      <c r="BG64" s="253"/>
      <c r="BH64" s="253"/>
      <c r="BI64" s="253"/>
      <c r="BJ64" s="253"/>
      <c r="BK64" s="253"/>
      <c r="BL64" s="253"/>
      <c r="BM64" s="253"/>
      <c r="BN64" s="253"/>
      <c r="BO64" s="253"/>
      <c r="BP64" s="253"/>
      <c r="BQ64" s="253">
        <v>10</v>
      </c>
      <c r="BR64" s="253"/>
      <c r="BS64" s="253"/>
      <c r="BT64" s="253"/>
      <c r="BU64" s="253"/>
      <c r="BV64" s="253"/>
      <c r="BW64" s="253"/>
      <c r="BX64" s="253"/>
      <c r="BY64" s="253"/>
      <c r="BZ64" s="253"/>
      <c r="CA64" s="253"/>
      <c r="CB64" s="253"/>
      <c r="CC64" s="253"/>
      <c r="CD64" s="253"/>
      <c r="CE64" s="253"/>
      <c r="CF64" s="253"/>
      <c r="CG64" s="253"/>
      <c r="CH64" s="253"/>
      <c r="CI64" s="253"/>
      <c r="CJ64" s="253"/>
      <c r="CK64" s="253"/>
      <c r="CL64" s="253"/>
      <c r="CM64" s="253"/>
      <c r="CN64" s="253"/>
      <c r="CO64" s="253"/>
      <c r="CP64" s="253"/>
      <c r="CQ64" s="253"/>
      <c r="CR64" s="253"/>
      <c r="CS64" s="253"/>
      <c r="CT64" s="253"/>
      <c r="CU64" s="253"/>
      <c r="CV64" s="253"/>
      <c r="CW64" s="253"/>
      <c r="CX64" s="253"/>
      <c r="CY64" s="253"/>
      <c r="CZ64" s="253"/>
      <c r="DA64" s="253"/>
      <c r="DB64" s="253"/>
      <c r="DC64" s="253"/>
      <c r="DD64" s="253"/>
      <c r="DE64" s="253"/>
      <c r="DF64" s="253"/>
      <c r="DG64" s="253"/>
      <c r="DH64" s="253"/>
      <c r="DI64" s="255">
        <f>200-200</f>
        <v>0</v>
      </c>
      <c r="DJ64" s="253"/>
      <c r="DK64" s="253"/>
      <c r="DL64" s="253"/>
      <c r="DM64" s="253"/>
      <c r="DN64" s="253"/>
      <c r="DO64" s="253"/>
      <c r="DP64" s="253"/>
      <c r="DQ64" s="253"/>
      <c r="DR64" s="253"/>
      <c r="DS64" s="253"/>
      <c r="DT64" s="255">
        <f>200-200</f>
        <v>0</v>
      </c>
      <c r="DU64" s="253"/>
      <c r="DV64" s="253"/>
      <c r="DW64" s="253"/>
      <c r="DX64" s="253">
        <v>50</v>
      </c>
      <c r="DY64" s="253"/>
      <c r="DZ64" s="253"/>
      <c r="EA64" s="253"/>
      <c r="EB64" s="253"/>
      <c r="EC64" s="253"/>
      <c r="ED64" s="253"/>
      <c r="EE64" s="253"/>
      <c r="EF64" s="255">
        <f>200-200</f>
        <v>0</v>
      </c>
      <c r="EG64" s="255">
        <f>200-200</f>
        <v>0</v>
      </c>
      <c r="EH64" s="253"/>
      <c r="EI64" s="253"/>
      <c r="EJ64" s="255">
        <v>20</v>
      </c>
      <c r="EK64" s="253"/>
      <c r="EL64" s="253"/>
      <c r="EM64" s="253"/>
      <c r="EN64" s="253"/>
      <c r="EO64" s="253"/>
      <c r="EP64" s="253"/>
      <c r="EQ64" s="253"/>
      <c r="ER64" s="253"/>
      <c r="ES64" s="253"/>
      <c r="ET64" s="253"/>
      <c r="EU64" s="253"/>
      <c r="EV64" s="253"/>
      <c r="EW64" s="253"/>
      <c r="EX64" s="253"/>
      <c r="EY64" s="253"/>
      <c r="EZ64" s="255">
        <f>200-200</f>
        <v>0</v>
      </c>
      <c r="FA64" s="255">
        <f>200-200</f>
        <v>0</v>
      </c>
      <c r="FB64" s="253"/>
      <c r="FC64" s="253"/>
      <c r="FD64" s="253"/>
      <c r="FE64" s="255">
        <f>200-200</f>
        <v>0</v>
      </c>
      <c r="FF64" s="253"/>
      <c r="FG64" s="253"/>
      <c r="FH64" s="253"/>
      <c r="FI64" s="253"/>
      <c r="FJ64" s="253"/>
      <c r="FK64" s="253"/>
      <c r="FL64" s="253"/>
      <c r="FM64" s="253"/>
      <c r="FN64" s="253"/>
      <c r="FO64" s="253"/>
      <c r="FP64" s="256"/>
      <c r="FQ64" s="257" t="s">
        <v>1322</v>
      </c>
      <c r="FR64" s="258" t="s">
        <v>389</v>
      </c>
      <c r="FS64" s="258"/>
      <c r="FT64" s="258" t="s">
        <v>423</v>
      </c>
      <c r="FU64" s="259">
        <f t="shared" si="1"/>
        <v>80</v>
      </c>
      <c r="FV64" s="260" t="s">
        <v>835</v>
      </c>
    </row>
    <row r="65" spans="1:178" s="260" customFormat="1">
      <c r="A65" s="251" t="s">
        <v>393</v>
      </c>
      <c r="B65" s="251" t="s">
        <v>385</v>
      </c>
      <c r="C65" s="251" t="s">
        <v>411</v>
      </c>
      <c r="D65" s="251" t="s">
        <v>1</v>
      </c>
      <c r="E65" s="252" t="s">
        <v>427</v>
      </c>
      <c r="F65" s="251" t="s">
        <v>388</v>
      </c>
      <c r="G65" s="251" t="s">
        <v>1340</v>
      </c>
      <c r="H65" s="255">
        <f>200-200</f>
        <v>0</v>
      </c>
      <c r="I65" s="253"/>
      <c r="J65" s="253"/>
      <c r="K65" s="253"/>
      <c r="L65" s="253"/>
      <c r="M65" s="253"/>
      <c r="N65" s="253"/>
      <c r="O65" s="253"/>
      <c r="P65" s="253"/>
      <c r="Q65" s="253"/>
      <c r="R65" s="253"/>
      <c r="S65" s="253"/>
      <c r="T65" s="253"/>
      <c r="U65" s="253"/>
      <c r="V65" s="253">
        <v>10</v>
      </c>
      <c r="W65" s="253"/>
      <c r="X65" s="253"/>
      <c r="Y65" s="253"/>
      <c r="Z65" s="253"/>
      <c r="AA65" s="255">
        <f>200-200</f>
        <v>0</v>
      </c>
      <c r="AB65" s="255">
        <f>200-200</f>
        <v>0</v>
      </c>
      <c r="AC65" s="253"/>
      <c r="AD65" s="253"/>
      <c r="AE65" s="253"/>
      <c r="AF65" s="255">
        <f>200-200</f>
        <v>0</v>
      </c>
      <c r="AG65" s="255">
        <f>200-200</f>
        <v>0</v>
      </c>
      <c r="AH65" s="253"/>
      <c r="AI65" s="255">
        <f>200-200</f>
        <v>0</v>
      </c>
      <c r="AJ65" s="255">
        <f>200-200</f>
        <v>0</v>
      </c>
      <c r="AK65" s="253"/>
      <c r="AL65" s="253"/>
      <c r="AM65" s="255">
        <f>40-40</f>
        <v>0</v>
      </c>
      <c r="AN65" s="253"/>
      <c r="AO65" s="253"/>
      <c r="AP65" s="255">
        <f>300-300</f>
        <v>0</v>
      </c>
      <c r="AQ65" s="253"/>
      <c r="AR65" s="255">
        <f>300-300</f>
        <v>0</v>
      </c>
      <c r="AS65" s="253"/>
      <c r="AT65" s="253"/>
      <c r="AU65" s="253"/>
      <c r="AV65" s="253"/>
      <c r="AW65" s="253"/>
      <c r="AX65" s="253"/>
      <c r="AY65" s="253"/>
      <c r="AZ65" s="253"/>
      <c r="BA65" s="253"/>
      <c r="BB65" s="253"/>
      <c r="BC65" s="253"/>
      <c r="BD65" s="253"/>
      <c r="BE65" s="253"/>
      <c r="BF65" s="253"/>
      <c r="BG65" s="253"/>
      <c r="BH65" s="253"/>
      <c r="BI65" s="253"/>
      <c r="BJ65" s="253"/>
      <c r="BK65" s="253"/>
      <c r="BL65" s="253"/>
      <c r="BM65" s="253"/>
      <c r="BN65" s="253"/>
      <c r="BO65" s="253"/>
      <c r="BP65" s="253"/>
      <c r="BQ65" s="253"/>
      <c r="BR65" s="253"/>
      <c r="BS65" s="253"/>
      <c r="BT65" s="253"/>
      <c r="BU65" s="253"/>
      <c r="BV65" s="253"/>
      <c r="BW65" s="253"/>
      <c r="BX65" s="253"/>
      <c r="BY65" s="253"/>
      <c r="BZ65" s="253"/>
      <c r="CA65" s="253"/>
      <c r="CB65" s="253"/>
      <c r="CC65" s="253">
        <v>4</v>
      </c>
      <c r="CD65" s="253">
        <v>5</v>
      </c>
      <c r="CE65" s="253"/>
      <c r="CF65" s="253"/>
      <c r="CG65" s="253">
        <v>10</v>
      </c>
      <c r="CH65" s="253">
        <v>10</v>
      </c>
      <c r="CI65" s="253"/>
      <c r="CJ65" s="253"/>
      <c r="CK65" s="253"/>
      <c r="CL65" s="253">
        <v>10</v>
      </c>
      <c r="CM65" s="253">
        <v>20</v>
      </c>
      <c r="CN65" s="253">
        <v>20</v>
      </c>
      <c r="CO65" s="253">
        <v>10</v>
      </c>
      <c r="CP65" s="253">
        <v>0</v>
      </c>
      <c r="CQ65" s="253">
        <v>5</v>
      </c>
      <c r="CR65" s="253"/>
      <c r="CS65" s="253"/>
      <c r="CT65" s="253"/>
      <c r="CU65" s="253"/>
      <c r="CV65" s="253"/>
      <c r="CW65" s="253">
        <v>6</v>
      </c>
      <c r="CX65" s="253"/>
      <c r="CY65" s="253"/>
      <c r="CZ65" s="253"/>
      <c r="DA65" s="253"/>
      <c r="DB65" s="253">
        <v>10</v>
      </c>
      <c r="DC65" s="253"/>
      <c r="DD65" s="253">
        <v>20</v>
      </c>
      <c r="DE65" s="253">
        <v>2</v>
      </c>
      <c r="DF65" s="253"/>
      <c r="DG65" s="255">
        <f>200-200</f>
        <v>0</v>
      </c>
      <c r="DH65" s="253"/>
      <c r="DI65" s="253"/>
      <c r="DJ65" s="253"/>
      <c r="DK65" s="255">
        <f>200-200</f>
        <v>0</v>
      </c>
      <c r="DL65" s="255">
        <f>200-200</f>
        <v>0</v>
      </c>
      <c r="DM65" s="253"/>
      <c r="DN65" s="253"/>
      <c r="DO65" s="253"/>
      <c r="DP65" s="253"/>
      <c r="DQ65" s="253"/>
      <c r="DR65" s="253"/>
      <c r="DS65" s="253"/>
      <c r="DT65" s="253"/>
      <c r="DU65" s="255">
        <f>200-200</f>
        <v>0</v>
      </c>
      <c r="DV65" s="253"/>
      <c r="DW65" s="253"/>
      <c r="DX65" s="253"/>
      <c r="DY65" s="253"/>
      <c r="DZ65" s="253"/>
      <c r="EA65" s="253"/>
      <c r="EB65" s="255">
        <f>200-200</f>
        <v>0</v>
      </c>
      <c r="EC65" s="253"/>
      <c r="ED65" s="253"/>
      <c r="EE65" s="253"/>
      <c r="EF65" s="253"/>
      <c r="EG65" s="253"/>
      <c r="EH65" s="253"/>
      <c r="EI65" s="253"/>
      <c r="EJ65" s="253"/>
      <c r="EK65" s="255">
        <v>20</v>
      </c>
      <c r="EL65" s="255">
        <f>100-100</f>
        <v>0</v>
      </c>
      <c r="EM65" s="253"/>
      <c r="EN65" s="253"/>
      <c r="EO65" s="253"/>
      <c r="EP65" s="253"/>
      <c r="EQ65" s="255">
        <f>100-100</f>
        <v>0</v>
      </c>
      <c r="ER65" s="253">
        <v>20</v>
      </c>
      <c r="ES65" s="253"/>
      <c r="ET65" s="253"/>
      <c r="EU65" s="253"/>
      <c r="EV65" s="253"/>
      <c r="EW65" s="253"/>
      <c r="EX65" s="253"/>
      <c r="EY65" s="253">
        <v>40</v>
      </c>
      <c r="EZ65" s="254">
        <f>100</f>
        <v>100</v>
      </c>
      <c r="FA65" s="253"/>
      <c r="FB65" s="253"/>
      <c r="FC65" s="253"/>
      <c r="FD65" s="253"/>
      <c r="FE65" s="253"/>
      <c r="FF65" s="253"/>
      <c r="FG65" s="253"/>
      <c r="FH65" s="253"/>
      <c r="FI65" s="253"/>
      <c r="FJ65" s="253"/>
      <c r="FK65" s="253"/>
      <c r="FL65" s="253"/>
      <c r="FM65" s="253"/>
      <c r="FN65" s="253"/>
      <c r="FO65" s="253"/>
      <c r="FP65" s="256"/>
      <c r="FQ65" s="257" t="s">
        <v>1322</v>
      </c>
      <c r="FR65" s="258" t="s">
        <v>389</v>
      </c>
      <c r="FS65" s="258"/>
      <c r="FT65" s="258" t="s">
        <v>423</v>
      </c>
      <c r="FU65" s="259">
        <f t="shared" si="1"/>
        <v>322</v>
      </c>
      <c r="FV65" s="260" t="s">
        <v>835</v>
      </c>
    </row>
    <row r="66" spans="1:178" s="260" customFormat="1">
      <c r="A66" s="251" t="s">
        <v>393</v>
      </c>
      <c r="B66" s="251" t="s">
        <v>385</v>
      </c>
      <c r="C66" s="251" t="s">
        <v>411</v>
      </c>
      <c r="D66" s="251" t="s">
        <v>293</v>
      </c>
      <c r="E66" s="252" t="s">
        <v>427</v>
      </c>
      <c r="F66" s="251" t="s">
        <v>388</v>
      </c>
      <c r="G66" s="251" t="s">
        <v>842</v>
      </c>
      <c r="H66" s="253"/>
      <c r="I66" s="253"/>
      <c r="J66" s="253"/>
      <c r="K66" s="253"/>
      <c r="L66" s="253"/>
      <c r="M66" s="253"/>
      <c r="N66" s="253"/>
      <c r="O66" s="253"/>
      <c r="P66" s="253"/>
      <c r="Q66" s="253"/>
      <c r="R66" s="253"/>
      <c r="S66" s="253"/>
      <c r="T66" s="253"/>
      <c r="U66" s="253"/>
      <c r="V66" s="253"/>
      <c r="W66" s="253"/>
      <c r="X66" s="253"/>
      <c r="Y66" s="253"/>
      <c r="Z66" s="253"/>
      <c r="AA66" s="253"/>
      <c r="AB66" s="253"/>
      <c r="AC66" s="253"/>
      <c r="AD66" s="253"/>
      <c r="AE66" s="253"/>
      <c r="AF66" s="253"/>
      <c r="AG66" s="253"/>
      <c r="AH66" s="253"/>
      <c r="AI66" s="253"/>
      <c r="AJ66" s="253"/>
      <c r="AK66" s="253"/>
      <c r="AL66" s="253"/>
      <c r="AM66" s="253"/>
      <c r="AN66" s="253"/>
      <c r="AO66" s="253"/>
      <c r="AP66" s="253"/>
      <c r="AQ66" s="253"/>
      <c r="AR66" s="253"/>
      <c r="AS66" s="253"/>
      <c r="AT66" s="253"/>
      <c r="AU66" s="253"/>
      <c r="AV66" s="253"/>
      <c r="AW66" s="253"/>
      <c r="AX66" s="253"/>
      <c r="AY66" s="253"/>
      <c r="AZ66" s="253"/>
      <c r="BA66" s="253"/>
      <c r="BB66" s="253"/>
      <c r="BC66" s="253"/>
      <c r="BD66" s="253"/>
      <c r="BE66" s="253"/>
      <c r="BF66" s="253"/>
      <c r="BG66" s="253"/>
      <c r="BH66" s="253"/>
      <c r="BI66" s="253"/>
      <c r="BJ66" s="253"/>
      <c r="BK66" s="253"/>
      <c r="BL66" s="253"/>
      <c r="BM66" s="253"/>
      <c r="BN66" s="253"/>
      <c r="BO66" s="253"/>
      <c r="BP66" s="253"/>
      <c r="BQ66" s="253"/>
      <c r="BR66" s="253"/>
      <c r="BS66" s="253"/>
      <c r="BT66" s="253"/>
      <c r="BU66" s="253"/>
      <c r="BV66" s="253"/>
      <c r="BW66" s="253"/>
      <c r="BX66" s="253"/>
      <c r="BY66" s="253"/>
      <c r="BZ66" s="253"/>
      <c r="CA66" s="253"/>
      <c r="CB66" s="253"/>
      <c r="CC66" s="253"/>
      <c r="CD66" s="253"/>
      <c r="CE66" s="253"/>
      <c r="CF66" s="253"/>
      <c r="CG66" s="253"/>
      <c r="CH66" s="253"/>
      <c r="CI66" s="253"/>
      <c r="CJ66" s="253"/>
      <c r="CK66" s="253"/>
      <c r="CL66" s="253"/>
      <c r="CM66" s="253"/>
      <c r="CN66" s="253"/>
      <c r="CO66" s="253"/>
      <c r="CP66" s="253">
        <v>2</v>
      </c>
      <c r="CQ66" s="253"/>
      <c r="CR66" s="253"/>
      <c r="CS66" s="253"/>
      <c r="CT66" s="253"/>
      <c r="CU66" s="253"/>
      <c r="CV66" s="253"/>
      <c r="CW66" s="253"/>
      <c r="CX66" s="253"/>
      <c r="CY66" s="253"/>
      <c r="CZ66" s="253"/>
      <c r="DA66" s="253"/>
      <c r="DB66" s="253"/>
      <c r="DC66" s="253"/>
      <c r="DD66" s="253"/>
      <c r="DE66" s="253"/>
      <c r="DF66" s="253"/>
      <c r="DG66" s="253"/>
      <c r="DH66" s="253"/>
      <c r="DI66" s="253"/>
      <c r="DJ66" s="253"/>
      <c r="DK66" s="253"/>
      <c r="DL66" s="253"/>
      <c r="DM66" s="253"/>
      <c r="DN66" s="253"/>
      <c r="DO66" s="253"/>
      <c r="DP66" s="253"/>
      <c r="DQ66" s="253"/>
      <c r="DR66" s="253"/>
      <c r="DS66" s="253"/>
      <c r="DT66" s="253"/>
      <c r="DU66" s="253"/>
      <c r="DV66" s="253"/>
      <c r="DW66" s="253"/>
      <c r="DX66" s="253"/>
      <c r="DY66" s="253"/>
      <c r="DZ66" s="253"/>
      <c r="EA66" s="253"/>
      <c r="EB66" s="253"/>
      <c r="EC66" s="253"/>
      <c r="ED66" s="253"/>
      <c r="EE66" s="253"/>
      <c r="EF66" s="253"/>
      <c r="EG66" s="253"/>
      <c r="EH66" s="253"/>
      <c r="EI66" s="253"/>
      <c r="EJ66" s="253"/>
      <c r="EK66" s="253"/>
      <c r="EL66" s="253"/>
      <c r="EM66" s="253"/>
      <c r="EN66" s="253"/>
      <c r="EO66" s="253"/>
      <c r="EP66" s="253"/>
      <c r="EQ66" s="253"/>
      <c r="ER66" s="253"/>
      <c r="ES66" s="253"/>
      <c r="ET66" s="253"/>
      <c r="EU66" s="253"/>
      <c r="EV66" s="253"/>
      <c r="EW66" s="253"/>
      <c r="EX66" s="253"/>
      <c r="EY66" s="253"/>
      <c r="EZ66" s="253"/>
      <c r="FA66" s="253"/>
      <c r="FB66" s="255">
        <f>200-200</f>
        <v>0</v>
      </c>
      <c r="FC66" s="253"/>
      <c r="FD66" s="253"/>
      <c r="FE66" s="253"/>
      <c r="FF66" s="253"/>
      <c r="FG66" s="253"/>
      <c r="FH66" s="253"/>
      <c r="FI66" s="253"/>
      <c r="FJ66" s="253"/>
      <c r="FK66" s="253"/>
      <c r="FL66" s="253"/>
      <c r="FM66" s="253"/>
      <c r="FN66" s="253"/>
      <c r="FO66" s="253"/>
      <c r="FP66" s="256"/>
      <c r="FQ66" s="257" t="s">
        <v>1322</v>
      </c>
      <c r="FR66" s="258" t="s">
        <v>389</v>
      </c>
      <c r="FS66" s="258"/>
      <c r="FT66" s="258" t="s">
        <v>423</v>
      </c>
      <c r="FU66" s="259">
        <f t="shared" si="1"/>
        <v>2</v>
      </c>
      <c r="FV66" s="260" t="s">
        <v>835</v>
      </c>
    </row>
    <row r="67" spans="1:178" s="260" customFormat="1" hidden="1">
      <c r="A67" s="251" t="s">
        <v>393</v>
      </c>
      <c r="B67" s="251" t="s">
        <v>385</v>
      </c>
      <c r="C67" s="251" t="s">
        <v>411</v>
      </c>
      <c r="D67" s="251" t="s">
        <v>291</v>
      </c>
      <c r="E67" s="252" t="s">
        <v>911</v>
      </c>
      <c r="F67" s="251" t="s">
        <v>388</v>
      </c>
      <c r="G67" s="251"/>
      <c r="H67" s="253"/>
      <c r="I67" s="253"/>
      <c r="J67" s="253"/>
      <c r="K67" s="253"/>
      <c r="L67" s="253"/>
      <c r="M67" s="253"/>
      <c r="N67" s="253"/>
      <c r="O67" s="253"/>
      <c r="P67" s="253"/>
      <c r="Q67" s="253"/>
      <c r="R67" s="253"/>
      <c r="S67" s="253"/>
      <c r="T67" s="253"/>
      <c r="U67" s="253"/>
      <c r="V67" s="253"/>
      <c r="W67" s="253"/>
      <c r="X67" s="253"/>
      <c r="Y67" s="253"/>
      <c r="Z67" s="253"/>
      <c r="AA67" s="253"/>
      <c r="AB67" s="253"/>
      <c r="AC67" s="253"/>
      <c r="AD67" s="253"/>
      <c r="AE67" s="253"/>
      <c r="AF67" s="253"/>
      <c r="AG67" s="253"/>
      <c r="AH67" s="253"/>
      <c r="AI67" s="253"/>
      <c r="AJ67" s="253"/>
      <c r="AK67" s="253"/>
      <c r="AL67" s="253"/>
      <c r="AM67" s="253"/>
      <c r="AN67" s="253"/>
      <c r="AO67" s="253"/>
      <c r="AP67" s="253"/>
      <c r="AQ67" s="253"/>
      <c r="AR67" s="253"/>
      <c r="AS67" s="253"/>
      <c r="AT67" s="253"/>
      <c r="AU67" s="253"/>
      <c r="AV67" s="253"/>
      <c r="AW67" s="253"/>
      <c r="AX67" s="253"/>
      <c r="AY67" s="253"/>
      <c r="AZ67" s="253"/>
      <c r="BA67" s="253"/>
      <c r="BB67" s="253"/>
      <c r="BC67" s="253"/>
      <c r="BD67" s="253"/>
      <c r="BE67" s="253"/>
      <c r="BF67" s="253"/>
      <c r="BG67" s="253"/>
      <c r="BH67" s="253"/>
      <c r="BI67" s="253"/>
      <c r="BJ67" s="253"/>
      <c r="BK67" s="253"/>
      <c r="BL67" s="253"/>
      <c r="BM67" s="253"/>
      <c r="BN67" s="253"/>
      <c r="BO67" s="253"/>
      <c r="BP67" s="253"/>
      <c r="BQ67" s="253"/>
      <c r="BR67" s="253"/>
      <c r="BS67" s="253"/>
      <c r="BT67" s="253"/>
      <c r="BU67" s="253"/>
      <c r="BV67" s="253"/>
      <c r="BW67" s="253"/>
      <c r="BX67" s="253"/>
      <c r="BY67" s="253"/>
      <c r="BZ67" s="253"/>
      <c r="CA67" s="253"/>
      <c r="CB67" s="253"/>
      <c r="CC67" s="253"/>
      <c r="CD67" s="253"/>
      <c r="CE67" s="253"/>
      <c r="CF67" s="253"/>
      <c r="CG67" s="253"/>
      <c r="CH67" s="253"/>
      <c r="CI67" s="253"/>
      <c r="CJ67" s="253"/>
      <c r="CK67" s="253"/>
      <c r="CL67" s="253"/>
      <c r="CM67" s="253"/>
      <c r="CN67" s="253"/>
      <c r="CO67" s="253"/>
      <c r="CP67" s="253"/>
      <c r="CQ67" s="253"/>
      <c r="CR67" s="253"/>
      <c r="CS67" s="253"/>
      <c r="CT67" s="253"/>
      <c r="CU67" s="253"/>
      <c r="CV67" s="253"/>
      <c r="CW67" s="253"/>
      <c r="CX67" s="253"/>
      <c r="CY67" s="253"/>
      <c r="CZ67" s="253"/>
      <c r="DA67" s="253"/>
      <c r="DB67" s="253"/>
      <c r="DC67" s="253"/>
      <c r="DD67" s="253"/>
      <c r="DE67" s="253"/>
      <c r="DF67" s="253"/>
      <c r="DG67" s="253"/>
      <c r="DH67" s="253"/>
      <c r="DI67" s="255">
        <f>100-100</f>
        <v>0</v>
      </c>
      <c r="DJ67" s="253"/>
      <c r="DK67" s="253"/>
      <c r="DL67" s="253"/>
      <c r="DM67" s="253"/>
      <c r="DN67" s="253"/>
      <c r="DO67" s="253"/>
      <c r="DP67" s="253"/>
      <c r="DQ67" s="253"/>
      <c r="DR67" s="253"/>
      <c r="DS67" s="253"/>
      <c r="DT67" s="253"/>
      <c r="DU67" s="253"/>
      <c r="DV67" s="253"/>
      <c r="DW67" s="253"/>
      <c r="DX67" s="255">
        <f>10-10</f>
        <v>0</v>
      </c>
      <c r="DY67" s="253"/>
      <c r="DZ67" s="253"/>
      <c r="EA67" s="253"/>
      <c r="EB67" s="253"/>
      <c r="EC67" s="253"/>
      <c r="ED67" s="253"/>
      <c r="EE67" s="253"/>
      <c r="EF67" s="255">
        <f>30-30</f>
        <v>0</v>
      </c>
      <c r="EG67" s="253"/>
      <c r="EH67" s="253"/>
      <c r="EI67" s="253"/>
      <c r="EJ67" s="253"/>
      <c r="EK67" s="253"/>
      <c r="EL67" s="253"/>
      <c r="EM67" s="253"/>
      <c r="EN67" s="253"/>
      <c r="EO67" s="253"/>
      <c r="EP67" s="253"/>
      <c r="EQ67" s="253"/>
      <c r="ER67" s="253"/>
      <c r="ES67" s="253"/>
      <c r="ET67" s="253"/>
      <c r="EU67" s="253"/>
      <c r="EV67" s="253"/>
      <c r="EW67" s="253"/>
      <c r="EX67" s="255">
        <f>20-20</f>
        <v>0</v>
      </c>
      <c r="EY67" s="253"/>
      <c r="EZ67" s="253"/>
      <c r="FA67" s="253"/>
      <c r="FB67" s="253"/>
      <c r="FC67" s="253"/>
      <c r="FD67" s="253"/>
      <c r="FE67" s="253"/>
      <c r="FF67" s="253"/>
      <c r="FG67" s="253"/>
      <c r="FH67" s="253"/>
      <c r="FI67" s="253"/>
      <c r="FJ67" s="253"/>
      <c r="FK67" s="253"/>
      <c r="FL67" s="253"/>
      <c r="FM67" s="253"/>
      <c r="FN67" s="253"/>
      <c r="FO67" s="253"/>
      <c r="FP67" s="256"/>
      <c r="FQ67" s="257" t="s">
        <v>1322</v>
      </c>
      <c r="FR67" s="258" t="s">
        <v>389</v>
      </c>
      <c r="FS67" s="258"/>
      <c r="FT67" s="258" t="s">
        <v>429</v>
      </c>
      <c r="FU67" s="259">
        <f t="shared" si="1"/>
        <v>0</v>
      </c>
      <c r="FV67" s="260" t="s">
        <v>414</v>
      </c>
    </row>
    <row r="68" spans="1:178" s="260" customFormat="1" hidden="1">
      <c r="A68" s="251" t="s">
        <v>393</v>
      </c>
      <c r="B68" s="251" t="s">
        <v>385</v>
      </c>
      <c r="C68" s="251" t="s">
        <v>411</v>
      </c>
      <c r="D68" s="251" t="s">
        <v>1</v>
      </c>
      <c r="E68" s="252" t="s">
        <v>911</v>
      </c>
      <c r="F68" s="251" t="s">
        <v>388</v>
      </c>
      <c r="G68" s="251"/>
      <c r="H68" s="253"/>
      <c r="I68" s="253"/>
      <c r="J68" s="253"/>
      <c r="K68" s="253"/>
      <c r="L68" s="253"/>
      <c r="M68" s="253"/>
      <c r="N68" s="253"/>
      <c r="O68" s="253"/>
      <c r="P68" s="253"/>
      <c r="Q68" s="253"/>
      <c r="R68" s="253"/>
      <c r="S68" s="253"/>
      <c r="T68" s="253"/>
      <c r="U68" s="253"/>
      <c r="V68" s="253"/>
      <c r="W68" s="253"/>
      <c r="X68" s="253"/>
      <c r="Y68" s="253"/>
      <c r="Z68" s="253"/>
      <c r="AA68" s="253"/>
      <c r="AB68" s="253"/>
      <c r="AC68" s="253"/>
      <c r="AD68" s="253"/>
      <c r="AE68" s="253"/>
      <c r="AF68" s="253"/>
      <c r="AG68" s="253"/>
      <c r="AH68" s="253"/>
      <c r="AI68" s="253"/>
      <c r="AJ68" s="253"/>
      <c r="AK68" s="253"/>
      <c r="AL68" s="253"/>
      <c r="AM68" s="253"/>
      <c r="AN68" s="253"/>
      <c r="AO68" s="253"/>
      <c r="AP68" s="253"/>
      <c r="AQ68" s="253"/>
      <c r="AR68" s="253"/>
      <c r="AS68" s="253"/>
      <c r="AT68" s="253"/>
      <c r="AU68" s="253"/>
      <c r="AV68" s="253"/>
      <c r="AW68" s="253"/>
      <c r="AX68" s="253"/>
      <c r="AY68" s="253"/>
      <c r="AZ68" s="253"/>
      <c r="BA68" s="253"/>
      <c r="BB68" s="253"/>
      <c r="BC68" s="253"/>
      <c r="BD68" s="253"/>
      <c r="BE68" s="253"/>
      <c r="BF68" s="253"/>
      <c r="BG68" s="253"/>
      <c r="BH68" s="253"/>
      <c r="BI68" s="253"/>
      <c r="BJ68" s="253"/>
      <c r="BK68" s="253"/>
      <c r="BL68" s="253"/>
      <c r="BM68" s="253"/>
      <c r="BN68" s="253"/>
      <c r="BO68" s="253"/>
      <c r="BP68" s="253"/>
      <c r="BQ68" s="253"/>
      <c r="BR68" s="253"/>
      <c r="BS68" s="253"/>
      <c r="BT68" s="253"/>
      <c r="BU68" s="253"/>
      <c r="BV68" s="253"/>
      <c r="BW68" s="253"/>
      <c r="BX68" s="253"/>
      <c r="BY68" s="253"/>
      <c r="BZ68" s="253"/>
      <c r="CA68" s="253"/>
      <c r="CB68" s="253"/>
      <c r="CC68" s="253"/>
      <c r="CD68" s="253"/>
      <c r="CE68" s="253"/>
      <c r="CF68" s="253"/>
      <c r="CG68" s="253"/>
      <c r="CH68" s="253"/>
      <c r="CI68" s="253"/>
      <c r="CJ68" s="253"/>
      <c r="CK68" s="253"/>
      <c r="CL68" s="253"/>
      <c r="CM68" s="253"/>
      <c r="CN68" s="253"/>
      <c r="CO68" s="253"/>
      <c r="CP68" s="253"/>
      <c r="CQ68" s="253"/>
      <c r="CR68" s="253"/>
      <c r="CS68" s="253"/>
      <c r="CT68" s="253"/>
      <c r="CU68" s="253"/>
      <c r="CV68" s="253"/>
      <c r="CW68" s="253"/>
      <c r="CX68" s="253"/>
      <c r="CY68" s="253"/>
      <c r="CZ68" s="253"/>
      <c r="DA68" s="253"/>
      <c r="DB68" s="253"/>
      <c r="DC68" s="253"/>
      <c r="DD68" s="253"/>
      <c r="DE68" s="253"/>
      <c r="DF68" s="253"/>
      <c r="DG68" s="253"/>
      <c r="DH68" s="253"/>
      <c r="DI68" s="253"/>
      <c r="DJ68" s="253"/>
      <c r="DK68" s="253"/>
      <c r="DL68" s="253"/>
      <c r="DM68" s="253"/>
      <c r="DN68" s="253"/>
      <c r="DO68" s="253"/>
      <c r="DP68" s="253"/>
      <c r="DQ68" s="253"/>
      <c r="DR68" s="253"/>
      <c r="DS68" s="253"/>
      <c r="DT68" s="253"/>
      <c r="DU68" s="255">
        <f>100-100</f>
        <v>0</v>
      </c>
      <c r="DV68" s="253"/>
      <c r="DW68" s="253"/>
      <c r="DX68" s="253"/>
      <c r="DY68" s="253"/>
      <c r="DZ68" s="253"/>
      <c r="EA68" s="253"/>
      <c r="EB68" s="255">
        <f>100-100</f>
        <v>0</v>
      </c>
      <c r="EC68" s="253"/>
      <c r="ED68" s="253"/>
      <c r="EE68" s="253"/>
      <c r="EF68" s="253"/>
      <c r="EG68" s="253"/>
      <c r="EH68" s="253"/>
      <c r="EI68" s="253"/>
      <c r="EJ68" s="253"/>
      <c r="EK68" s="253"/>
      <c r="EL68" s="255">
        <f>20-20</f>
        <v>0</v>
      </c>
      <c r="EM68" s="253"/>
      <c r="EN68" s="253"/>
      <c r="EO68" s="255">
        <f>20-20</f>
        <v>0</v>
      </c>
      <c r="EP68" s="253"/>
      <c r="EQ68" s="253"/>
      <c r="ER68" s="253"/>
      <c r="ES68" s="253"/>
      <c r="ET68" s="253"/>
      <c r="EU68" s="253"/>
      <c r="EV68" s="253"/>
      <c r="EW68" s="255">
        <f>20-20</f>
        <v>0</v>
      </c>
      <c r="EX68" s="253"/>
      <c r="EY68" s="253"/>
      <c r="EZ68" s="253"/>
      <c r="FA68" s="253"/>
      <c r="FB68" s="253"/>
      <c r="FC68" s="253"/>
      <c r="FD68" s="253"/>
      <c r="FE68" s="253"/>
      <c r="FF68" s="253"/>
      <c r="FG68" s="253"/>
      <c r="FH68" s="253"/>
      <c r="FI68" s="253"/>
      <c r="FJ68" s="253"/>
      <c r="FK68" s="253"/>
      <c r="FL68" s="253"/>
      <c r="FM68" s="253"/>
      <c r="FN68" s="253"/>
      <c r="FO68" s="253"/>
      <c r="FP68" s="256"/>
      <c r="FQ68" s="257" t="s">
        <v>1322</v>
      </c>
      <c r="FR68" s="258" t="s">
        <v>389</v>
      </c>
      <c r="FS68" s="258"/>
      <c r="FT68" s="258" t="s">
        <v>429</v>
      </c>
      <c r="FU68" s="259">
        <f t="shared" si="1"/>
        <v>0</v>
      </c>
      <c r="FV68" s="260" t="s">
        <v>414</v>
      </c>
    </row>
    <row r="69" spans="1:178" s="260" customFormat="1" hidden="1">
      <c r="A69" s="251" t="s">
        <v>393</v>
      </c>
      <c r="B69" s="251" t="s">
        <v>385</v>
      </c>
      <c r="C69" s="251" t="s">
        <v>411</v>
      </c>
      <c r="D69" s="251" t="s">
        <v>291</v>
      </c>
      <c r="E69" s="252" t="s">
        <v>428</v>
      </c>
      <c r="F69" s="251" t="s">
        <v>388</v>
      </c>
      <c r="G69" s="251"/>
      <c r="H69" s="253"/>
      <c r="I69" s="253"/>
      <c r="J69" s="253"/>
      <c r="K69" s="253"/>
      <c r="L69" s="253"/>
      <c r="M69" s="253"/>
      <c r="N69" s="253"/>
      <c r="O69" s="253"/>
      <c r="P69" s="253"/>
      <c r="Q69" s="253"/>
      <c r="R69" s="253"/>
      <c r="S69" s="253"/>
      <c r="T69" s="253"/>
      <c r="U69" s="253"/>
      <c r="V69" s="253"/>
      <c r="W69" s="253"/>
      <c r="X69" s="253"/>
      <c r="Y69" s="253"/>
      <c r="Z69" s="253"/>
      <c r="AA69" s="253"/>
      <c r="AB69" s="253"/>
      <c r="AC69" s="253"/>
      <c r="AD69" s="253"/>
      <c r="AE69" s="253"/>
      <c r="AF69" s="253"/>
      <c r="AG69" s="253"/>
      <c r="AH69" s="253"/>
      <c r="AI69" s="253"/>
      <c r="AJ69" s="253"/>
      <c r="AK69" s="253"/>
      <c r="AL69" s="253"/>
      <c r="AM69" s="253"/>
      <c r="AN69" s="253"/>
      <c r="AO69" s="253"/>
      <c r="AP69" s="253"/>
      <c r="AQ69" s="253"/>
      <c r="AR69" s="253"/>
      <c r="AS69" s="253"/>
      <c r="AT69" s="253"/>
      <c r="AU69" s="253"/>
      <c r="AV69" s="253"/>
      <c r="AW69" s="253"/>
      <c r="AX69" s="253"/>
      <c r="AY69" s="253"/>
      <c r="AZ69" s="253"/>
      <c r="BA69" s="253"/>
      <c r="BB69" s="253"/>
      <c r="BC69" s="253"/>
      <c r="BD69" s="253"/>
      <c r="BE69" s="253"/>
      <c r="BF69" s="253"/>
      <c r="BG69" s="253"/>
      <c r="BH69" s="253"/>
      <c r="BI69" s="253"/>
      <c r="BJ69" s="253"/>
      <c r="BK69" s="253"/>
      <c r="BL69" s="253"/>
      <c r="BM69" s="253"/>
      <c r="BN69" s="253"/>
      <c r="BO69" s="253"/>
      <c r="BP69" s="253"/>
      <c r="BQ69" s="253"/>
      <c r="BR69" s="253"/>
      <c r="BS69" s="253"/>
      <c r="BT69" s="253"/>
      <c r="BU69" s="253"/>
      <c r="BV69" s="253"/>
      <c r="BW69" s="253"/>
      <c r="BX69" s="253"/>
      <c r="BY69" s="253"/>
      <c r="BZ69" s="253"/>
      <c r="CA69" s="253"/>
      <c r="CB69" s="253"/>
      <c r="CC69" s="253"/>
      <c r="CD69" s="253"/>
      <c r="CE69" s="253"/>
      <c r="CF69" s="253"/>
      <c r="CG69" s="253"/>
      <c r="CH69" s="253"/>
      <c r="CI69" s="253"/>
      <c r="CJ69" s="253"/>
      <c r="CK69" s="253"/>
      <c r="CL69" s="253"/>
      <c r="CM69" s="253"/>
      <c r="CN69" s="253"/>
      <c r="CO69" s="253"/>
      <c r="CP69" s="253"/>
      <c r="CQ69" s="253"/>
      <c r="CR69" s="253"/>
      <c r="CS69" s="253"/>
      <c r="CT69" s="253"/>
      <c r="CU69" s="253"/>
      <c r="CV69" s="253"/>
      <c r="CW69" s="253"/>
      <c r="CX69" s="253"/>
      <c r="CY69" s="253"/>
      <c r="CZ69" s="253"/>
      <c r="DA69" s="253"/>
      <c r="DB69" s="253"/>
      <c r="DC69" s="253"/>
      <c r="DD69" s="253"/>
      <c r="DE69" s="253"/>
      <c r="DF69" s="253"/>
      <c r="DG69" s="253"/>
      <c r="DH69" s="253"/>
      <c r="DI69" s="255">
        <f>50-50</f>
        <v>0</v>
      </c>
      <c r="DJ69" s="253"/>
      <c r="DK69" s="253"/>
      <c r="DL69" s="253"/>
      <c r="DM69" s="253"/>
      <c r="DN69" s="253"/>
      <c r="DO69" s="253"/>
      <c r="DP69" s="253"/>
      <c r="DQ69" s="253"/>
      <c r="DR69" s="253"/>
      <c r="DS69" s="253"/>
      <c r="DT69" s="255">
        <f>100-100</f>
        <v>0</v>
      </c>
      <c r="DU69" s="253"/>
      <c r="DV69" s="253"/>
      <c r="DW69" s="255">
        <f>100-100</f>
        <v>0</v>
      </c>
      <c r="DX69" s="255">
        <f>100-100</f>
        <v>0</v>
      </c>
      <c r="DY69" s="253"/>
      <c r="DZ69" s="253"/>
      <c r="EA69" s="253"/>
      <c r="EB69" s="253"/>
      <c r="EC69" s="253"/>
      <c r="ED69" s="253"/>
      <c r="EE69" s="253"/>
      <c r="EF69" s="255">
        <f>100-100</f>
        <v>0</v>
      </c>
      <c r="EG69" s="255">
        <f>100-100</f>
        <v>0</v>
      </c>
      <c r="EH69" s="253"/>
      <c r="EI69" s="253"/>
      <c r="EJ69" s="253"/>
      <c r="EK69" s="253"/>
      <c r="EL69" s="253"/>
      <c r="EM69" s="253"/>
      <c r="EN69" s="253"/>
      <c r="EO69" s="253"/>
      <c r="EP69" s="253"/>
      <c r="EQ69" s="253"/>
      <c r="ER69" s="253"/>
      <c r="ES69" s="253"/>
      <c r="ET69" s="253"/>
      <c r="EU69" s="253"/>
      <c r="EV69" s="253"/>
      <c r="EW69" s="253"/>
      <c r="EX69" s="255">
        <f>200-200</f>
        <v>0</v>
      </c>
      <c r="EY69" s="253"/>
      <c r="EZ69" s="253"/>
      <c r="FA69" s="253"/>
      <c r="FB69" s="253"/>
      <c r="FC69" s="253"/>
      <c r="FD69" s="253"/>
      <c r="FE69" s="253"/>
      <c r="FF69" s="253"/>
      <c r="FG69" s="253"/>
      <c r="FH69" s="253"/>
      <c r="FI69" s="253"/>
      <c r="FJ69" s="253"/>
      <c r="FK69" s="253"/>
      <c r="FL69" s="253"/>
      <c r="FM69" s="253"/>
      <c r="FN69" s="253"/>
      <c r="FO69" s="253"/>
      <c r="FP69" s="256"/>
      <c r="FQ69" s="257" t="s">
        <v>1322</v>
      </c>
      <c r="FR69" s="258" t="s">
        <v>389</v>
      </c>
      <c r="FS69" s="258"/>
      <c r="FT69" s="258" t="s">
        <v>429</v>
      </c>
      <c r="FU69" s="259">
        <f t="shared" si="1"/>
        <v>0</v>
      </c>
      <c r="FV69" s="260" t="s">
        <v>414</v>
      </c>
    </row>
    <row r="70" spans="1:178" s="260" customFormat="1" hidden="1">
      <c r="A70" s="251" t="s">
        <v>393</v>
      </c>
      <c r="B70" s="251" t="s">
        <v>385</v>
      </c>
      <c r="C70" s="251" t="s">
        <v>411</v>
      </c>
      <c r="D70" s="251" t="s">
        <v>1</v>
      </c>
      <c r="E70" s="252" t="s">
        <v>428</v>
      </c>
      <c r="F70" s="251" t="s">
        <v>388</v>
      </c>
      <c r="G70" s="251"/>
      <c r="H70" s="253"/>
      <c r="I70" s="253"/>
      <c r="J70" s="253"/>
      <c r="K70" s="253"/>
      <c r="L70" s="253"/>
      <c r="M70" s="253"/>
      <c r="N70" s="253"/>
      <c r="O70" s="253"/>
      <c r="P70" s="253"/>
      <c r="Q70" s="253"/>
      <c r="R70" s="253"/>
      <c r="S70" s="253"/>
      <c r="T70" s="253"/>
      <c r="U70" s="253"/>
      <c r="V70" s="253"/>
      <c r="W70" s="253"/>
      <c r="X70" s="253"/>
      <c r="Y70" s="253"/>
      <c r="Z70" s="253"/>
      <c r="AA70" s="253"/>
      <c r="AB70" s="253"/>
      <c r="AC70" s="253"/>
      <c r="AD70" s="253"/>
      <c r="AE70" s="253"/>
      <c r="AF70" s="253"/>
      <c r="AG70" s="253"/>
      <c r="AH70" s="253"/>
      <c r="AI70" s="253"/>
      <c r="AJ70" s="253"/>
      <c r="AK70" s="253"/>
      <c r="AL70" s="253"/>
      <c r="AM70" s="253"/>
      <c r="AN70" s="253"/>
      <c r="AO70" s="253"/>
      <c r="AP70" s="253"/>
      <c r="AQ70" s="253"/>
      <c r="AR70" s="253"/>
      <c r="AS70" s="253"/>
      <c r="AT70" s="253"/>
      <c r="AU70" s="253"/>
      <c r="AV70" s="253"/>
      <c r="AW70" s="253"/>
      <c r="AX70" s="253"/>
      <c r="AY70" s="253"/>
      <c r="AZ70" s="253"/>
      <c r="BA70" s="253"/>
      <c r="BB70" s="253"/>
      <c r="BC70" s="253"/>
      <c r="BD70" s="253"/>
      <c r="BE70" s="253"/>
      <c r="BF70" s="253"/>
      <c r="BG70" s="253"/>
      <c r="BH70" s="253"/>
      <c r="BI70" s="253"/>
      <c r="BJ70" s="253"/>
      <c r="BK70" s="253"/>
      <c r="BL70" s="253"/>
      <c r="BM70" s="253"/>
      <c r="BN70" s="253"/>
      <c r="BO70" s="253"/>
      <c r="BP70" s="253"/>
      <c r="BQ70" s="253"/>
      <c r="BR70" s="253"/>
      <c r="BS70" s="253"/>
      <c r="BT70" s="253"/>
      <c r="BU70" s="253"/>
      <c r="BV70" s="253"/>
      <c r="BW70" s="253"/>
      <c r="BX70" s="253"/>
      <c r="BY70" s="253"/>
      <c r="BZ70" s="253"/>
      <c r="CA70" s="253"/>
      <c r="CB70" s="253"/>
      <c r="CC70" s="253"/>
      <c r="CD70" s="253"/>
      <c r="CE70" s="253"/>
      <c r="CF70" s="253"/>
      <c r="CG70" s="253"/>
      <c r="CH70" s="253"/>
      <c r="CI70" s="253"/>
      <c r="CJ70" s="253"/>
      <c r="CK70" s="253"/>
      <c r="CL70" s="253"/>
      <c r="CM70" s="253"/>
      <c r="CN70" s="253"/>
      <c r="CO70" s="253"/>
      <c r="CP70" s="253"/>
      <c r="CQ70" s="253"/>
      <c r="CR70" s="253"/>
      <c r="CS70" s="253"/>
      <c r="CT70" s="253"/>
      <c r="CU70" s="253"/>
      <c r="CV70" s="253"/>
      <c r="CW70" s="253"/>
      <c r="CX70" s="253"/>
      <c r="CY70" s="253"/>
      <c r="CZ70" s="253"/>
      <c r="DA70" s="253"/>
      <c r="DB70" s="253"/>
      <c r="DC70" s="253"/>
      <c r="DD70" s="253"/>
      <c r="DE70" s="253"/>
      <c r="DF70" s="253"/>
      <c r="DG70" s="253"/>
      <c r="DH70" s="253"/>
      <c r="DI70" s="253"/>
      <c r="DJ70" s="253"/>
      <c r="DK70" s="253"/>
      <c r="DL70" s="255">
        <f>50-50</f>
        <v>0</v>
      </c>
      <c r="DM70" s="253"/>
      <c r="DN70" s="253"/>
      <c r="DO70" s="253"/>
      <c r="DP70" s="253"/>
      <c r="DQ70" s="253"/>
      <c r="DR70" s="253"/>
      <c r="DS70" s="253"/>
      <c r="DT70" s="253"/>
      <c r="DU70" s="255">
        <f>100-100</f>
        <v>0</v>
      </c>
      <c r="DV70" s="253"/>
      <c r="DW70" s="253"/>
      <c r="DX70" s="253"/>
      <c r="DY70" s="253"/>
      <c r="DZ70" s="253"/>
      <c r="EA70" s="255">
        <f>100-100</f>
        <v>0</v>
      </c>
      <c r="EB70" s="255">
        <f>100-100</f>
        <v>0</v>
      </c>
      <c r="EC70" s="253"/>
      <c r="ED70" s="253"/>
      <c r="EE70" s="255">
        <f>100-100</f>
        <v>0</v>
      </c>
      <c r="EF70" s="253"/>
      <c r="EG70" s="253"/>
      <c r="EH70" s="253"/>
      <c r="EI70" s="253"/>
      <c r="EJ70" s="253"/>
      <c r="EK70" s="255">
        <f>50-50</f>
        <v>0</v>
      </c>
      <c r="EL70" s="255">
        <f>50-50</f>
        <v>0</v>
      </c>
      <c r="EM70" s="253"/>
      <c r="EN70" s="255">
        <f>50-50</f>
        <v>0</v>
      </c>
      <c r="EO70" s="255">
        <f>500-500</f>
        <v>0</v>
      </c>
      <c r="EP70" s="253"/>
      <c r="EQ70" s="255">
        <f>50-50</f>
        <v>0</v>
      </c>
      <c r="ER70" s="253"/>
      <c r="ES70" s="255">
        <f>50-50</f>
        <v>0</v>
      </c>
      <c r="ET70" s="253"/>
      <c r="EU70" s="253"/>
      <c r="EV70" s="253"/>
      <c r="EW70" s="255">
        <f>200-200</f>
        <v>0</v>
      </c>
      <c r="EX70" s="253"/>
      <c r="EY70" s="255">
        <f>200-200</f>
        <v>0</v>
      </c>
      <c r="EZ70" s="253"/>
      <c r="FA70" s="253"/>
      <c r="FB70" s="253"/>
      <c r="FC70" s="253"/>
      <c r="FD70" s="253"/>
      <c r="FE70" s="253"/>
      <c r="FF70" s="253"/>
      <c r="FG70" s="253"/>
      <c r="FH70" s="253"/>
      <c r="FI70" s="253"/>
      <c r="FJ70" s="253"/>
      <c r="FK70" s="253"/>
      <c r="FL70" s="253"/>
      <c r="FM70" s="253"/>
      <c r="FN70" s="253"/>
      <c r="FO70" s="253"/>
      <c r="FP70" s="256"/>
      <c r="FQ70" s="257" t="s">
        <v>1322</v>
      </c>
      <c r="FR70" s="258" t="s">
        <v>389</v>
      </c>
      <c r="FS70" s="258"/>
      <c r="FT70" s="258" t="s">
        <v>429</v>
      </c>
      <c r="FU70" s="259">
        <f t="shared" si="1"/>
        <v>0</v>
      </c>
      <c r="FV70" s="260" t="s">
        <v>414</v>
      </c>
    </row>
    <row r="71" spans="1:178" s="260" customFormat="1" hidden="1">
      <c r="A71" s="251" t="s">
        <v>393</v>
      </c>
      <c r="B71" s="251" t="s">
        <v>385</v>
      </c>
      <c r="C71" s="251" t="s">
        <v>411</v>
      </c>
      <c r="D71" s="251" t="s">
        <v>291</v>
      </c>
      <c r="E71" s="252" t="s">
        <v>430</v>
      </c>
      <c r="F71" s="251" t="s">
        <v>388</v>
      </c>
      <c r="G71" s="251" t="s">
        <v>1341</v>
      </c>
      <c r="H71" s="253"/>
      <c r="I71" s="253"/>
      <c r="J71" s="253"/>
      <c r="K71" s="253"/>
      <c r="L71" s="253"/>
      <c r="M71" s="253"/>
      <c r="N71" s="253"/>
      <c r="O71" s="253"/>
      <c r="P71" s="253"/>
      <c r="Q71" s="253"/>
      <c r="R71" s="253"/>
      <c r="S71" s="253"/>
      <c r="T71" s="253"/>
      <c r="U71" s="253"/>
      <c r="V71" s="253"/>
      <c r="W71" s="253"/>
      <c r="X71" s="253"/>
      <c r="Y71" s="253"/>
      <c r="Z71" s="253"/>
      <c r="AA71" s="253"/>
      <c r="AB71" s="253"/>
      <c r="AC71" s="253"/>
      <c r="AD71" s="253"/>
      <c r="AE71" s="253"/>
      <c r="AF71" s="253"/>
      <c r="AG71" s="253"/>
      <c r="AH71" s="253"/>
      <c r="AI71" s="253"/>
      <c r="AJ71" s="253"/>
      <c r="AK71" s="253"/>
      <c r="AL71" s="253"/>
      <c r="AM71" s="253"/>
      <c r="AN71" s="253"/>
      <c r="AO71" s="253"/>
      <c r="AP71" s="253"/>
      <c r="AQ71" s="253"/>
      <c r="AR71" s="253"/>
      <c r="AS71" s="253"/>
      <c r="AT71" s="253"/>
      <c r="AU71" s="253"/>
      <c r="AV71" s="253"/>
      <c r="AW71" s="253"/>
      <c r="AX71" s="253"/>
      <c r="AY71" s="253"/>
      <c r="AZ71" s="253"/>
      <c r="BA71" s="253"/>
      <c r="BB71" s="253"/>
      <c r="BC71" s="253"/>
      <c r="BD71" s="253"/>
      <c r="BE71" s="253"/>
      <c r="BF71" s="253"/>
      <c r="BG71" s="253"/>
      <c r="BH71" s="253"/>
      <c r="BI71" s="253"/>
      <c r="BJ71" s="253"/>
      <c r="BK71" s="253"/>
      <c r="BL71" s="253"/>
      <c r="BM71" s="253"/>
      <c r="BN71" s="253"/>
      <c r="BO71" s="253"/>
      <c r="BP71" s="253"/>
      <c r="BQ71" s="253"/>
      <c r="BR71" s="253"/>
      <c r="BS71" s="253"/>
      <c r="BT71" s="253"/>
      <c r="BU71" s="253"/>
      <c r="BV71" s="253"/>
      <c r="BW71" s="253"/>
      <c r="BX71" s="253"/>
      <c r="BY71" s="253"/>
      <c r="BZ71" s="253"/>
      <c r="CA71" s="253"/>
      <c r="CB71" s="253"/>
      <c r="CC71" s="253"/>
      <c r="CD71" s="253"/>
      <c r="CE71" s="253"/>
      <c r="CF71" s="253"/>
      <c r="CG71" s="253"/>
      <c r="CH71" s="253"/>
      <c r="CI71" s="253"/>
      <c r="CJ71" s="253"/>
      <c r="CK71" s="253"/>
      <c r="CL71" s="253"/>
      <c r="CM71" s="253"/>
      <c r="CN71" s="253"/>
      <c r="CO71" s="253"/>
      <c r="CP71" s="253"/>
      <c r="CQ71" s="253"/>
      <c r="CR71" s="253"/>
      <c r="CS71" s="253"/>
      <c r="CT71" s="253"/>
      <c r="CU71" s="253"/>
      <c r="CV71" s="253"/>
      <c r="CW71" s="253"/>
      <c r="CX71" s="253"/>
      <c r="CY71" s="253"/>
      <c r="CZ71" s="253"/>
      <c r="DA71" s="253"/>
      <c r="DB71" s="253"/>
      <c r="DC71" s="253"/>
      <c r="DD71" s="253"/>
      <c r="DE71" s="253"/>
      <c r="DF71" s="253"/>
      <c r="DG71" s="253"/>
      <c r="DH71" s="253"/>
      <c r="DI71" s="255">
        <f>110-110</f>
        <v>0</v>
      </c>
      <c r="DJ71" s="253"/>
      <c r="DK71" s="253"/>
      <c r="DL71" s="253"/>
      <c r="DM71" s="253"/>
      <c r="DN71" s="253"/>
      <c r="DO71" s="253"/>
      <c r="DP71" s="253"/>
      <c r="DQ71" s="253"/>
      <c r="DR71" s="253"/>
      <c r="DS71" s="253"/>
      <c r="DT71" s="255">
        <f>40-40</f>
        <v>0</v>
      </c>
      <c r="DU71" s="253"/>
      <c r="DV71" s="253"/>
      <c r="DW71" s="253"/>
      <c r="DX71" s="255">
        <f>610-610</f>
        <v>0</v>
      </c>
      <c r="DY71" s="253"/>
      <c r="DZ71" s="253"/>
      <c r="EA71" s="253"/>
      <c r="EB71" s="253"/>
      <c r="EC71" s="253"/>
      <c r="ED71" s="253"/>
      <c r="EE71" s="253"/>
      <c r="EF71" s="255">
        <f>110-110</f>
        <v>0</v>
      </c>
      <c r="EG71" s="255">
        <f>80-80</f>
        <v>0</v>
      </c>
      <c r="EH71" s="253"/>
      <c r="EI71" s="253"/>
      <c r="EJ71" s="255">
        <f>20-20</f>
        <v>0</v>
      </c>
      <c r="EK71" s="253"/>
      <c r="EL71" s="253"/>
      <c r="EM71" s="253"/>
      <c r="EN71" s="253"/>
      <c r="EO71" s="253"/>
      <c r="EP71" s="253"/>
      <c r="EQ71" s="253"/>
      <c r="ER71" s="253"/>
      <c r="ES71" s="253"/>
      <c r="ET71" s="253"/>
      <c r="EU71" s="255">
        <f>500-500</f>
        <v>0</v>
      </c>
      <c r="EV71" s="253"/>
      <c r="EW71" s="253"/>
      <c r="EX71" s="255">
        <f>20-20</f>
        <v>0</v>
      </c>
      <c r="EY71" s="253"/>
      <c r="EZ71" s="255">
        <f>90-90</f>
        <v>0</v>
      </c>
      <c r="FA71" s="255">
        <f>60-60</f>
        <v>0</v>
      </c>
      <c r="FB71" s="253"/>
      <c r="FC71" s="253"/>
      <c r="FD71" s="254">
        <f>20-20+20</f>
        <v>20</v>
      </c>
      <c r="FE71" s="253"/>
      <c r="FF71" s="253"/>
      <c r="FG71" s="253"/>
      <c r="FH71" s="253"/>
      <c r="FI71" s="253"/>
      <c r="FJ71" s="255">
        <f>270-270</f>
        <v>0</v>
      </c>
      <c r="FK71" s="253"/>
      <c r="FL71" s="253"/>
      <c r="FM71" s="253"/>
      <c r="FN71" s="253"/>
      <c r="FO71" s="253"/>
      <c r="FP71" s="256"/>
      <c r="FQ71" s="257" t="s">
        <v>1322</v>
      </c>
      <c r="FR71" s="258" t="s">
        <v>389</v>
      </c>
      <c r="FS71" s="258" t="s">
        <v>431</v>
      </c>
      <c r="FT71" s="258" t="s">
        <v>432</v>
      </c>
      <c r="FU71" s="259">
        <f t="shared" si="1"/>
        <v>20</v>
      </c>
      <c r="FV71" s="260" t="s">
        <v>433</v>
      </c>
    </row>
    <row r="72" spans="1:178" s="260" customFormat="1" hidden="1">
      <c r="A72" s="251" t="s">
        <v>393</v>
      </c>
      <c r="B72" s="251" t="s">
        <v>385</v>
      </c>
      <c r="C72" s="251" t="s">
        <v>411</v>
      </c>
      <c r="D72" s="251" t="s">
        <v>1</v>
      </c>
      <c r="E72" s="252" t="s">
        <v>430</v>
      </c>
      <c r="F72" s="251" t="s">
        <v>388</v>
      </c>
      <c r="G72" s="251" t="s">
        <v>1341</v>
      </c>
      <c r="H72" s="253"/>
      <c r="I72" s="253"/>
      <c r="J72" s="253"/>
      <c r="K72" s="253"/>
      <c r="L72" s="253"/>
      <c r="M72" s="253"/>
      <c r="N72" s="253"/>
      <c r="O72" s="253"/>
      <c r="P72" s="253"/>
      <c r="Q72" s="253"/>
      <c r="R72" s="253"/>
      <c r="S72" s="253"/>
      <c r="T72" s="253"/>
      <c r="U72" s="253"/>
      <c r="V72" s="253"/>
      <c r="W72" s="253"/>
      <c r="X72" s="253"/>
      <c r="Y72" s="253"/>
      <c r="Z72" s="253"/>
      <c r="AA72" s="255">
        <f>145-145</f>
        <v>0</v>
      </c>
      <c r="AB72" s="255">
        <f>330-330</f>
        <v>0</v>
      </c>
      <c r="AC72" s="253"/>
      <c r="AD72" s="255">
        <f>70-70</f>
        <v>0</v>
      </c>
      <c r="AE72" s="253"/>
      <c r="AF72" s="255">
        <f>10-10</f>
        <v>0</v>
      </c>
      <c r="AG72" s="255">
        <f>20-20</f>
        <v>0</v>
      </c>
      <c r="AH72" s="253"/>
      <c r="AI72" s="255">
        <f>70-70</f>
        <v>0</v>
      </c>
      <c r="AJ72" s="255">
        <f>30-30</f>
        <v>0</v>
      </c>
      <c r="AK72" s="253"/>
      <c r="AL72" s="255">
        <f>20-20</f>
        <v>0</v>
      </c>
      <c r="AM72" s="255">
        <f>10-10</f>
        <v>0</v>
      </c>
      <c r="AN72" s="253"/>
      <c r="AO72" s="253"/>
      <c r="AP72" s="253"/>
      <c r="AQ72" s="253"/>
      <c r="AR72" s="253"/>
      <c r="AS72" s="253"/>
      <c r="AT72" s="253"/>
      <c r="AU72" s="253"/>
      <c r="AV72" s="253"/>
      <c r="AW72" s="253"/>
      <c r="AX72" s="253"/>
      <c r="AY72" s="253"/>
      <c r="AZ72" s="253"/>
      <c r="BA72" s="253"/>
      <c r="BB72" s="253"/>
      <c r="BC72" s="253"/>
      <c r="BD72" s="253"/>
      <c r="BE72" s="253"/>
      <c r="BF72" s="253"/>
      <c r="BG72" s="253"/>
      <c r="BH72" s="253"/>
      <c r="BI72" s="253"/>
      <c r="BJ72" s="253"/>
      <c r="BK72" s="253"/>
      <c r="BL72" s="253"/>
      <c r="BM72" s="253"/>
      <c r="BN72" s="253"/>
      <c r="BO72" s="253"/>
      <c r="BP72" s="253"/>
      <c r="BQ72" s="253"/>
      <c r="BR72" s="253"/>
      <c r="BS72" s="253"/>
      <c r="BT72" s="253"/>
      <c r="BU72" s="253"/>
      <c r="BV72" s="253"/>
      <c r="BW72" s="253"/>
      <c r="BX72" s="253"/>
      <c r="BY72" s="253"/>
      <c r="BZ72" s="253"/>
      <c r="CA72" s="253"/>
      <c r="CB72" s="253"/>
      <c r="CC72" s="253"/>
      <c r="CD72" s="253"/>
      <c r="CE72" s="253"/>
      <c r="CF72" s="253"/>
      <c r="CG72" s="253"/>
      <c r="CH72" s="253"/>
      <c r="CI72" s="253"/>
      <c r="CJ72" s="253"/>
      <c r="CK72" s="253"/>
      <c r="CL72" s="253"/>
      <c r="CM72" s="253"/>
      <c r="CN72" s="253"/>
      <c r="CO72" s="253"/>
      <c r="CP72" s="253"/>
      <c r="CQ72" s="253"/>
      <c r="CR72" s="253"/>
      <c r="CS72" s="253"/>
      <c r="CT72" s="253"/>
      <c r="CU72" s="253"/>
      <c r="CV72" s="253"/>
      <c r="CW72" s="253"/>
      <c r="CX72" s="253"/>
      <c r="CY72" s="253"/>
      <c r="CZ72" s="253"/>
      <c r="DA72" s="253"/>
      <c r="DB72" s="253"/>
      <c r="DC72" s="253"/>
      <c r="DD72" s="253"/>
      <c r="DE72" s="253"/>
      <c r="DF72" s="253"/>
      <c r="DG72" s="253"/>
      <c r="DH72" s="255">
        <f>30-30</f>
        <v>0</v>
      </c>
      <c r="DI72" s="253"/>
      <c r="DJ72" s="253"/>
      <c r="DK72" s="253"/>
      <c r="DL72" s="255">
        <f>280-280</f>
        <v>0</v>
      </c>
      <c r="DM72" s="253"/>
      <c r="DN72" s="253"/>
      <c r="DO72" s="253"/>
      <c r="DP72" s="253"/>
      <c r="DQ72" s="253"/>
      <c r="DR72" s="253"/>
      <c r="DS72" s="253"/>
      <c r="DT72" s="253"/>
      <c r="DU72" s="255">
        <f>660-660</f>
        <v>0</v>
      </c>
      <c r="DV72" s="253"/>
      <c r="DW72" s="253"/>
      <c r="DX72" s="253"/>
      <c r="DY72" s="253"/>
      <c r="DZ72" s="253"/>
      <c r="EA72" s="253"/>
      <c r="EB72" s="253"/>
      <c r="EC72" s="253"/>
      <c r="ED72" s="253"/>
      <c r="EE72" s="255">
        <f>340-340</f>
        <v>0</v>
      </c>
      <c r="EF72" s="253"/>
      <c r="EG72" s="253"/>
      <c r="EH72" s="253"/>
      <c r="EI72" s="255">
        <f>10-10</f>
        <v>0</v>
      </c>
      <c r="EJ72" s="253"/>
      <c r="EK72" s="255">
        <f>70-70</f>
        <v>0</v>
      </c>
      <c r="EL72" s="255">
        <f>40-40</f>
        <v>0</v>
      </c>
      <c r="EM72" s="253"/>
      <c r="EN72" s="253"/>
      <c r="EO72" s="253"/>
      <c r="EP72" s="253"/>
      <c r="EQ72" s="255">
        <f>360-360</f>
        <v>0</v>
      </c>
      <c r="ER72" s="253"/>
      <c r="ES72" s="255">
        <f>230-230</f>
        <v>0</v>
      </c>
      <c r="ET72" s="253"/>
      <c r="EU72" s="253"/>
      <c r="EV72" s="253"/>
      <c r="EW72" s="253"/>
      <c r="EX72" s="253"/>
      <c r="EY72" s="253"/>
      <c r="EZ72" s="254">
        <f>70</f>
        <v>70</v>
      </c>
      <c r="FA72" s="253"/>
      <c r="FB72" s="253"/>
      <c r="FC72" s="254">
        <f>110-110+100</f>
        <v>100</v>
      </c>
      <c r="FD72" s="253"/>
      <c r="FE72" s="253"/>
      <c r="FF72" s="253"/>
      <c r="FG72" s="255">
        <f>360-360</f>
        <v>0</v>
      </c>
      <c r="FH72" s="253"/>
      <c r="FI72" s="253"/>
      <c r="FJ72" s="253"/>
      <c r="FK72" s="253"/>
      <c r="FL72" s="253"/>
      <c r="FM72" s="253"/>
      <c r="FN72" s="253"/>
      <c r="FO72" s="253"/>
      <c r="FP72" s="256"/>
      <c r="FQ72" s="257" t="s">
        <v>1322</v>
      </c>
      <c r="FR72" s="258" t="s">
        <v>389</v>
      </c>
      <c r="FS72" s="258" t="s">
        <v>431</v>
      </c>
      <c r="FT72" s="258" t="s">
        <v>432</v>
      </c>
      <c r="FU72" s="259">
        <f t="shared" ref="FU72:FU104" si="2">SUM(H72:FO72)</f>
        <v>170</v>
      </c>
      <c r="FV72" s="260" t="s">
        <v>433</v>
      </c>
    </row>
    <row r="73" spans="1:178" s="260" customFormat="1" hidden="1">
      <c r="A73" s="251" t="s">
        <v>393</v>
      </c>
      <c r="B73" s="251" t="s">
        <v>385</v>
      </c>
      <c r="C73" s="251" t="s">
        <v>411</v>
      </c>
      <c r="D73" s="251" t="s">
        <v>293</v>
      </c>
      <c r="E73" s="252" t="s">
        <v>430</v>
      </c>
      <c r="F73" s="251" t="s">
        <v>388</v>
      </c>
      <c r="G73" s="251" t="s">
        <v>1342</v>
      </c>
      <c r="H73" s="253"/>
      <c r="I73" s="253"/>
      <c r="J73" s="253"/>
      <c r="K73" s="253"/>
      <c r="L73" s="253"/>
      <c r="M73" s="253"/>
      <c r="N73" s="253"/>
      <c r="O73" s="253"/>
      <c r="P73" s="253"/>
      <c r="Q73" s="253"/>
      <c r="R73" s="253"/>
      <c r="S73" s="253"/>
      <c r="T73" s="253"/>
      <c r="U73" s="253"/>
      <c r="V73" s="253"/>
      <c r="W73" s="253"/>
      <c r="X73" s="253"/>
      <c r="Y73" s="253"/>
      <c r="Z73" s="253"/>
      <c r="AA73" s="253"/>
      <c r="AB73" s="253"/>
      <c r="AC73" s="253"/>
      <c r="AD73" s="253"/>
      <c r="AE73" s="253"/>
      <c r="AF73" s="253"/>
      <c r="AG73" s="253"/>
      <c r="AH73" s="253"/>
      <c r="AI73" s="253"/>
      <c r="AJ73" s="253"/>
      <c r="AK73" s="253"/>
      <c r="AL73" s="253"/>
      <c r="AM73" s="253"/>
      <c r="AN73" s="253"/>
      <c r="AO73" s="253"/>
      <c r="AP73" s="253"/>
      <c r="AQ73" s="253"/>
      <c r="AR73" s="253"/>
      <c r="AS73" s="253"/>
      <c r="AT73" s="253"/>
      <c r="AU73" s="253"/>
      <c r="AV73" s="253"/>
      <c r="AW73" s="253"/>
      <c r="AX73" s="253"/>
      <c r="AY73" s="253"/>
      <c r="AZ73" s="253"/>
      <c r="BA73" s="253"/>
      <c r="BB73" s="253"/>
      <c r="BC73" s="253"/>
      <c r="BD73" s="253"/>
      <c r="BE73" s="253"/>
      <c r="BF73" s="253"/>
      <c r="BG73" s="253"/>
      <c r="BH73" s="253"/>
      <c r="BI73" s="253"/>
      <c r="BJ73" s="253"/>
      <c r="BK73" s="253"/>
      <c r="BL73" s="253"/>
      <c r="BM73" s="253"/>
      <c r="BN73" s="253"/>
      <c r="BO73" s="253"/>
      <c r="BP73" s="253"/>
      <c r="BQ73" s="253"/>
      <c r="BR73" s="253"/>
      <c r="BS73" s="253"/>
      <c r="BT73" s="253"/>
      <c r="BU73" s="253"/>
      <c r="BV73" s="253"/>
      <c r="BW73" s="253"/>
      <c r="BX73" s="253"/>
      <c r="BY73" s="253"/>
      <c r="BZ73" s="253"/>
      <c r="CA73" s="253"/>
      <c r="CB73" s="253"/>
      <c r="CC73" s="253"/>
      <c r="CD73" s="253"/>
      <c r="CE73" s="253"/>
      <c r="CF73" s="253"/>
      <c r="CG73" s="253"/>
      <c r="CH73" s="253"/>
      <c r="CI73" s="253"/>
      <c r="CJ73" s="253"/>
      <c r="CK73" s="253"/>
      <c r="CL73" s="253"/>
      <c r="CM73" s="253"/>
      <c r="CN73" s="253"/>
      <c r="CO73" s="253"/>
      <c r="CP73" s="253"/>
      <c r="CQ73" s="253"/>
      <c r="CR73" s="253"/>
      <c r="CS73" s="253"/>
      <c r="CT73" s="253"/>
      <c r="CU73" s="253"/>
      <c r="CV73" s="253"/>
      <c r="CW73" s="253"/>
      <c r="CX73" s="253"/>
      <c r="CY73" s="253"/>
      <c r="CZ73" s="253"/>
      <c r="DA73" s="253"/>
      <c r="DB73" s="253"/>
      <c r="DC73" s="253"/>
      <c r="DD73" s="253"/>
      <c r="DE73" s="253"/>
      <c r="DF73" s="253"/>
      <c r="DG73" s="253"/>
      <c r="DH73" s="253"/>
      <c r="DI73" s="253"/>
      <c r="DJ73" s="253"/>
      <c r="DK73" s="253"/>
      <c r="DL73" s="253"/>
      <c r="DM73" s="253"/>
      <c r="DN73" s="253"/>
      <c r="DO73" s="253"/>
      <c r="DP73" s="253"/>
      <c r="DQ73" s="253"/>
      <c r="DR73" s="253"/>
      <c r="DS73" s="253"/>
      <c r="DT73" s="253"/>
      <c r="DU73" s="253"/>
      <c r="DV73" s="253"/>
      <c r="DW73" s="253"/>
      <c r="DX73" s="253"/>
      <c r="DY73" s="253"/>
      <c r="DZ73" s="253"/>
      <c r="EA73" s="253"/>
      <c r="EB73" s="253"/>
      <c r="EC73" s="253"/>
      <c r="ED73" s="253"/>
      <c r="EE73" s="253"/>
      <c r="EF73" s="253"/>
      <c r="EG73" s="253"/>
      <c r="EH73" s="253"/>
      <c r="EI73" s="253"/>
      <c r="EJ73" s="253"/>
      <c r="EK73" s="253"/>
      <c r="EL73" s="253"/>
      <c r="EM73" s="253"/>
      <c r="EN73" s="253"/>
      <c r="EO73" s="253"/>
      <c r="EP73" s="253"/>
      <c r="EQ73" s="253"/>
      <c r="ER73" s="253"/>
      <c r="ES73" s="253"/>
      <c r="ET73" s="253"/>
      <c r="EU73" s="253"/>
      <c r="EV73" s="253"/>
      <c r="EW73" s="253"/>
      <c r="EX73" s="253"/>
      <c r="EY73" s="253"/>
      <c r="EZ73" s="253"/>
      <c r="FA73" s="253"/>
      <c r="FB73" s="255">
        <f>60-60</f>
        <v>0</v>
      </c>
      <c r="FC73" s="253"/>
      <c r="FD73" s="253"/>
      <c r="FE73" s="253"/>
      <c r="FF73" s="253"/>
      <c r="FG73" s="253"/>
      <c r="FH73" s="253"/>
      <c r="FI73" s="253"/>
      <c r="FJ73" s="253"/>
      <c r="FK73" s="253"/>
      <c r="FL73" s="253"/>
      <c r="FM73" s="253"/>
      <c r="FN73" s="253"/>
      <c r="FO73" s="253"/>
      <c r="FP73" s="256"/>
      <c r="FQ73" s="257" t="s">
        <v>1322</v>
      </c>
      <c r="FR73" s="258" t="s">
        <v>389</v>
      </c>
      <c r="FS73" s="258" t="s">
        <v>431</v>
      </c>
      <c r="FT73" s="258" t="s">
        <v>432</v>
      </c>
      <c r="FU73" s="259">
        <f t="shared" si="2"/>
        <v>0</v>
      </c>
      <c r="FV73" s="260" t="s">
        <v>433</v>
      </c>
    </row>
    <row r="74" spans="1:178" s="260" customFormat="1" hidden="1">
      <c r="A74" s="251" t="s">
        <v>393</v>
      </c>
      <c r="B74" s="251" t="s">
        <v>392</v>
      </c>
      <c r="C74" s="251" t="s">
        <v>411</v>
      </c>
      <c r="D74" s="251" t="s">
        <v>291</v>
      </c>
      <c r="E74" s="263" t="s">
        <v>430</v>
      </c>
      <c r="F74" s="251" t="s">
        <v>388</v>
      </c>
      <c r="G74" s="251" t="s">
        <v>1343</v>
      </c>
      <c r="H74" s="253"/>
      <c r="I74" s="253"/>
      <c r="J74" s="253"/>
      <c r="K74" s="253"/>
      <c r="L74" s="253"/>
      <c r="M74" s="253"/>
      <c r="N74" s="253"/>
      <c r="O74" s="253"/>
      <c r="P74" s="253"/>
      <c r="Q74" s="253"/>
      <c r="R74" s="253"/>
      <c r="S74" s="253"/>
      <c r="T74" s="253"/>
      <c r="U74" s="253"/>
      <c r="V74" s="253"/>
      <c r="W74" s="253"/>
      <c r="X74" s="253"/>
      <c r="Y74" s="253"/>
      <c r="Z74" s="253"/>
      <c r="AA74" s="253"/>
      <c r="AB74" s="253"/>
      <c r="AC74" s="253"/>
      <c r="AD74" s="253"/>
      <c r="AE74" s="253"/>
      <c r="AF74" s="253"/>
      <c r="AG74" s="253"/>
      <c r="AH74" s="253"/>
      <c r="AI74" s="253"/>
      <c r="AJ74" s="253"/>
      <c r="AK74" s="253"/>
      <c r="AL74" s="253"/>
      <c r="AM74" s="253"/>
      <c r="AN74" s="253"/>
      <c r="AO74" s="253"/>
      <c r="AP74" s="253"/>
      <c r="AQ74" s="253"/>
      <c r="AR74" s="253"/>
      <c r="AS74" s="253"/>
      <c r="AT74" s="253"/>
      <c r="AU74" s="253"/>
      <c r="AV74" s="253"/>
      <c r="AW74" s="253"/>
      <c r="AX74" s="253"/>
      <c r="AY74" s="253"/>
      <c r="AZ74" s="253"/>
      <c r="BA74" s="253"/>
      <c r="BB74" s="253"/>
      <c r="BC74" s="253"/>
      <c r="BD74" s="253"/>
      <c r="BE74" s="253"/>
      <c r="BF74" s="253"/>
      <c r="BG74" s="253"/>
      <c r="BH74" s="253"/>
      <c r="BI74" s="253"/>
      <c r="BJ74" s="253"/>
      <c r="BK74" s="253"/>
      <c r="BL74" s="253"/>
      <c r="BM74" s="253"/>
      <c r="BN74" s="253"/>
      <c r="BO74" s="253"/>
      <c r="BP74" s="253"/>
      <c r="BQ74" s="253"/>
      <c r="BR74" s="253"/>
      <c r="BS74" s="253"/>
      <c r="BT74" s="253"/>
      <c r="BU74" s="253"/>
      <c r="BV74" s="253"/>
      <c r="BW74" s="253"/>
      <c r="BX74" s="253"/>
      <c r="BY74" s="253"/>
      <c r="BZ74" s="253"/>
      <c r="CA74" s="253"/>
      <c r="CB74" s="253"/>
      <c r="CC74" s="253"/>
      <c r="CD74" s="253"/>
      <c r="CE74" s="253"/>
      <c r="CF74" s="253"/>
      <c r="CG74" s="253"/>
      <c r="CH74" s="253"/>
      <c r="CI74" s="253"/>
      <c r="CJ74" s="253"/>
      <c r="CK74" s="253"/>
      <c r="CL74" s="253"/>
      <c r="CM74" s="253"/>
      <c r="CN74" s="253"/>
      <c r="CO74" s="253"/>
      <c r="CP74" s="253"/>
      <c r="CQ74" s="253"/>
      <c r="CR74" s="253"/>
      <c r="CS74" s="253"/>
      <c r="CT74" s="253"/>
      <c r="CU74" s="253"/>
      <c r="CV74" s="253"/>
      <c r="CW74" s="253"/>
      <c r="CX74" s="253"/>
      <c r="CY74" s="253"/>
      <c r="CZ74" s="253"/>
      <c r="DA74" s="253"/>
      <c r="DB74" s="253"/>
      <c r="DC74" s="253"/>
      <c r="DD74" s="253"/>
      <c r="DE74" s="253"/>
      <c r="DF74" s="253"/>
      <c r="DG74" s="253"/>
      <c r="DH74" s="253"/>
      <c r="DI74" s="255">
        <f>40-40</f>
        <v>0</v>
      </c>
      <c r="DJ74" s="253"/>
      <c r="DK74" s="253"/>
      <c r="DL74" s="253"/>
      <c r="DM74" s="253"/>
      <c r="DN74" s="253"/>
      <c r="DO74" s="253"/>
      <c r="DP74" s="253"/>
      <c r="DQ74" s="253"/>
      <c r="DR74" s="253"/>
      <c r="DS74" s="253"/>
      <c r="DT74" s="255">
        <f>90-90</f>
        <v>0</v>
      </c>
      <c r="DU74" s="253"/>
      <c r="DV74" s="253"/>
      <c r="DW74" s="253"/>
      <c r="DX74" s="255">
        <f>141-141</f>
        <v>0</v>
      </c>
      <c r="DY74" s="253"/>
      <c r="DZ74" s="253"/>
      <c r="EA74" s="253"/>
      <c r="EB74" s="253"/>
      <c r="EC74" s="253"/>
      <c r="ED74" s="253"/>
      <c r="EE74" s="253"/>
      <c r="EF74" s="255">
        <f>40-40</f>
        <v>0</v>
      </c>
      <c r="EG74" s="255">
        <f>40-40</f>
        <v>0</v>
      </c>
      <c r="EH74" s="253"/>
      <c r="EI74" s="253"/>
      <c r="EJ74" s="255">
        <f>60-60</f>
        <v>0</v>
      </c>
      <c r="EK74" s="253"/>
      <c r="EL74" s="253"/>
      <c r="EM74" s="253"/>
      <c r="EN74" s="253"/>
      <c r="EO74" s="253"/>
      <c r="EP74" s="253"/>
      <c r="EQ74" s="253"/>
      <c r="ER74" s="253"/>
      <c r="ES74" s="253"/>
      <c r="ET74" s="253"/>
      <c r="EU74" s="255">
        <f>300-300</f>
        <v>0</v>
      </c>
      <c r="EV74" s="253"/>
      <c r="EW74" s="253"/>
      <c r="EX74" s="255">
        <f>20-20</f>
        <v>0</v>
      </c>
      <c r="EY74" s="253"/>
      <c r="EZ74" s="255">
        <f>50-50</f>
        <v>0</v>
      </c>
      <c r="FA74" s="255">
        <f>20-20</f>
        <v>0</v>
      </c>
      <c r="FB74" s="253"/>
      <c r="FC74" s="253"/>
      <c r="FD74" s="255">
        <f>20-20</f>
        <v>0</v>
      </c>
      <c r="FE74" s="253"/>
      <c r="FF74" s="253"/>
      <c r="FG74" s="253"/>
      <c r="FH74" s="253"/>
      <c r="FI74" s="253"/>
      <c r="FJ74" s="255">
        <f>150-150</f>
        <v>0</v>
      </c>
      <c r="FK74" s="253"/>
      <c r="FL74" s="253"/>
      <c r="FM74" s="253"/>
      <c r="FN74" s="253"/>
      <c r="FO74" s="253"/>
      <c r="FP74" s="256"/>
      <c r="FQ74" s="257" t="s">
        <v>1322</v>
      </c>
      <c r="FR74" s="258" t="s">
        <v>389</v>
      </c>
      <c r="FS74" s="258" t="s">
        <v>431</v>
      </c>
      <c r="FT74" s="258" t="s">
        <v>432</v>
      </c>
      <c r="FU74" s="259">
        <f t="shared" si="2"/>
        <v>0</v>
      </c>
      <c r="FV74" s="260" t="s">
        <v>433</v>
      </c>
    </row>
    <row r="75" spans="1:178" s="260" customFormat="1" hidden="1">
      <c r="A75" s="251" t="s">
        <v>393</v>
      </c>
      <c r="B75" s="251" t="s">
        <v>392</v>
      </c>
      <c r="C75" s="251" t="s">
        <v>411</v>
      </c>
      <c r="D75" s="251" t="s">
        <v>1</v>
      </c>
      <c r="E75" s="263" t="s">
        <v>430</v>
      </c>
      <c r="F75" s="251" t="s">
        <v>388</v>
      </c>
      <c r="G75" s="251" t="s">
        <v>1343</v>
      </c>
      <c r="H75" s="253"/>
      <c r="I75" s="253"/>
      <c r="J75" s="253"/>
      <c r="K75" s="253"/>
      <c r="L75" s="253"/>
      <c r="M75" s="253"/>
      <c r="N75" s="253"/>
      <c r="O75" s="253"/>
      <c r="P75" s="253"/>
      <c r="Q75" s="253"/>
      <c r="R75" s="253"/>
      <c r="S75" s="253"/>
      <c r="T75" s="253"/>
      <c r="U75" s="253"/>
      <c r="V75" s="253"/>
      <c r="W75" s="253"/>
      <c r="X75" s="253"/>
      <c r="Y75" s="253"/>
      <c r="Z75" s="253"/>
      <c r="AA75" s="255">
        <f>30-30</f>
        <v>0</v>
      </c>
      <c r="AB75" s="255">
        <f>95-95</f>
        <v>0</v>
      </c>
      <c r="AC75" s="253"/>
      <c r="AD75" s="255">
        <f>40-40</f>
        <v>0</v>
      </c>
      <c r="AE75" s="253"/>
      <c r="AF75" s="255">
        <f>4-4</f>
        <v>0</v>
      </c>
      <c r="AG75" s="255">
        <f>20-20</f>
        <v>0</v>
      </c>
      <c r="AH75" s="253"/>
      <c r="AI75" s="253"/>
      <c r="AJ75" s="255">
        <f>40-40</f>
        <v>0</v>
      </c>
      <c r="AK75" s="253"/>
      <c r="AL75" s="253"/>
      <c r="AM75" s="255">
        <f>10-10</f>
        <v>0</v>
      </c>
      <c r="AN75" s="253"/>
      <c r="AO75" s="253"/>
      <c r="AP75" s="253"/>
      <c r="AQ75" s="253"/>
      <c r="AR75" s="253"/>
      <c r="AS75" s="253"/>
      <c r="AT75" s="253"/>
      <c r="AU75" s="253"/>
      <c r="AV75" s="253"/>
      <c r="AW75" s="253"/>
      <c r="AX75" s="253"/>
      <c r="AY75" s="253"/>
      <c r="AZ75" s="253"/>
      <c r="BA75" s="253"/>
      <c r="BB75" s="253"/>
      <c r="BC75" s="253"/>
      <c r="BD75" s="253"/>
      <c r="BE75" s="253"/>
      <c r="BF75" s="253"/>
      <c r="BG75" s="253"/>
      <c r="BH75" s="253"/>
      <c r="BI75" s="253"/>
      <c r="BJ75" s="253"/>
      <c r="BK75" s="253"/>
      <c r="BL75" s="253"/>
      <c r="BM75" s="253"/>
      <c r="BN75" s="253"/>
      <c r="BO75" s="253"/>
      <c r="BP75" s="253"/>
      <c r="BQ75" s="253"/>
      <c r="BR75" s="253"/>
      <c r="BS75" s="253"/>
      <c r="BT75" s="253"/>
      <c r="BU75" s="253"/>
      <c r="BV75" s="253"/>
      <c r="BW75" s="253"/>
      <c r="BX75" s="253"/>
      <c r="BY75" s="253"/>
      <c r="BZ75" s="253"/>
      <c r="CA75" s="253"/>
      <c r="CB75" s="253"/>
      <c r="CC75" s="253"/>
      <c r="CD75" s="253"/>
      <c r="CE75" s="253"/>
      <c r="CF75" s="253"/>
      <c r="CG75" s="253"/>
      <c r="CH75" s="253"/>
      <c r="CI75" s="253"/>
      <c r="CJ75" s="253"/>
      <c r="CK75" s="253"/>
      <c r="CL75" s="253"/>
      <c r="CM75" s="253"/>
      <c r="CN75" s="253"/>
      <c r="CO75" s="253"/>
      <c r="CP75" s="253"/>
      <c r="CQ75" s="253"/>
      <c r="CR75" s="253"/>
      <c r="CS75" s="253"/>
      <c r="CT75" s="253"/>
      <c r="CU75" s="253"/>
      <c r="CV75" s="253"/>
      <c r="CW75" s="253"/>
      <c r="CX75" s="253"/>
      <c r="CY75" s="253"/>
      <c r="CZ75" s="253"/>
      <c r="DA75" s="253"/>
      <c r="DB75" s="253"/>
      <c r="DC75" s="253"/>
      <c r="DD75" s="253"/>
      <c r="DE75" s="253"/>
      <c r="DF75" s="253"/>
      <c r="DG75" s="253"/>
      <c r="DH75" s="255">
        <f>40-40</f>
        <v>0</v>
      </c>
      <c r="DI75" s="253"/>
      <c r="DJ75" s="253"/>
      <c r="DK75" s="253"/>
      <c r="DL75" s="253"/>
      <c r="DM75" s="253"/>
      <c r="DN75" s="253"/>
      <c r="DO75" s="253"/>
      <c r="DP75" s="253"/>
      <c r="DQ75" s="253"/>
      <c r="DR75" s="253"/>
      <c r="DS75" s="253"/>
      <c r="DT75" s="253"/>
      <c r="DU75" s="255">
        <f>350-350</f>
        <v>0</v>
      </c>
      <c r="DV75" s="253"/>
      <c r="DW75" s="253"/>
      <c r="DX75" s="253"/>
      <c r="DY75" s="253"/>
      <c r="DZ75" s="253"/>
      <c r="EA75" s="253"/>
      <c r="EB75" s="253"/>
      <c r="EC75" s="253"/>
      <c r="ED75" s="253"/>
      <c r="EE75" s="255">
        <f>360-360</f>
        <v>0</v>
      </c>
      <c r="EF75" s="253"/>
      <c r="EG75" s="253"/>
      <c r="EH75" s="253"/>
      <c r="EI75" s="255">
        <f>10-10</f>
        <v>0</v>
      </c>
      <c r="EJ75" s="253"/>
      <c r="EK75" s="255">
        <f>110-110</f>
        <v>0</v>
      </c>
      <c r="EL75" s="255">
        <f>40-40</f>
        <v>0</v>
      </c>
      <c r="EM75" s="253"/>
      <c r="EN75" s="253"/>
      <c r="EO75" s="253"/>
      <c r="EP75" s="253"/>
      <c r="EQ75" s="255">
        <f>100-100</f>
        <v>0</v>
      </c>
      <c r="ER75" s="253"/>
      <c r="ES75" s="255">
        <f>80-80</f>
        <v>0</v>
      </c>
      <c r="ET75" s="253"/>
      <c r="EU75" s="253"/>
      <c r="EV75" s="253"/>
      <c r="EW75" s="253"/>
      <c r="EX75" s="253"/>
      <c r="EY75" s="253"/>
      <c r="EZ75" s="253"/>
      <c r="FA75" s="253"/>
      <c r="FB75" s="253"/>
      <c r="FC75" s="254">
        <f>70-70+70</f>
        <v>70</v>
      </c>
      <c r="FD75" s="253"/>
      <c r="FE75" s="253"/>
      <c r="FF75" s="253"/>
      <c r="FG75" s="255">
        <f>240-240</f>
        <v>0</v>
      </c>
      <c r="FH75" s="253"/>
      <c r="FI75" s="253"/>
      <c r="FJ75" s="253"/>
      <c r="FK75" s="253"/>
      <c r="FL75" s="253"/>
      <c r="FM75" s="253"/>
      <c r="FN75" s="253"/>
      <c r="FO75" s="253"/>
      <c r="FP75" s="256"/>
      <c r="FQ75" s="257" t="s">
        <v>1322</v>
      </c>
      <c r="FR75" s="258" t="s">
        <v>389</v>
      </c>
      <c r="FS75" s="258" t="s">
        <v>431</v>
      </c>
      <c r="FT75" s="258" t="s">
        <v>432</v>
      </c>
      <c r="FU75" s="259">
        <f t="shared" si="2"/>
        <v>70</v>
      </c>
      <c r="FV75" s="260" t="s">
        <v>433</v>
      </c>
    </row>
    <row r="76" spans="1:178" s="260" customFormat="1" hidden="1">
      <c r="A76" s="251" t="s">
        <v>393</v>
      </c>
      <c r="B76" s="251" t="s">
        <v>392</v>
      </c>
      <c r="C76" s="251" t="s">
        <v>411</v>
      </c>
      <c r="D76" s="251" t="s">
        <v>293</v>
      </c>
      <c r="E76" s="263" t="s">
        <v>430</v>
      </c>
      <c r="F76" s="251" t="s">
        <v>388</v>
      </c>
      <c r="G76" s="251" t="s">
        <v>1344</v>
      </c>
      <c r="H76" s="253"/>
      <c r="I76" s="253"/>
      <c r="J76" s="253"/>
      <c r="K76" s="253"/>
      <c r="L76" s="253"/>
      <c r="M76" s="253"/>
      <c r="N76" s="253"/>
      <c r="O76" s="253"/>
      <c r="P76" s="253"/>
      <c r="Q76" s="253"/>
      <c r="R76" s="253"/>
      <c r="S76" s="253"/>
      <c r="T76" s="253"/>
      <c r="U76" s="253"/>
      <c r="V76" s="253"/>
      <c r="W76" s="253"/>
      <c r="X76" s="253"/>
      <c r="Y76" s="253"/>
      <c r="Z76" s="253"/>
      <c r="AA76" s="253"/>
      <c r="AB76" s="253"/>
      <c r="AC76" s="253"/>
      <c r="AD76" s="253"/>
      <c r="AE76" s="253"/>
      <c r="AF76" s="253"/>
      <c r="AG76" s="253"/>
      <c r="AH76" s="253"/>
      <c r="AI76" s="253"/>
      <c r="AJ76" s="253"/>
      <c r="AK76" s="253"/>
      <c r="AL76" s="253"/>
      <c r="AM76" s="253"/>
      <c r="AN76" s="253"/>
      <c r="AO76" s="253"/>
      <c r="AP76" s="253"/>
      <c r="AQ76" s="253"/>
      <c r="AR76" s="253"/>
      <c r="AS76" s="253"/>
      <c r="AT76" s="253"/>
      <c r="AU76" s="253"/>
      <c r="AV76" s="253"/>
      <c r="AW76" s="253"/>
      <c r="AX76" s="253"/>
      <c r="AY76" s="253"/>
      <c r="AZ76" s="253"/>
      <c r="BA76" s="253"/>
      <c r="BB76" s="253"/>
      <c r="BC76" s="253"/>
      <c r="BD76" s="253"/>
      <c r="BE76" s="253"/>
      <c r="BF76" s="253"/>
      <c r="BG76" s="253"/>
      <c r="BH76" s="253"/>
      <c r="BI76" s="253"/>
      <c r="BJ76" s="253"/>
      <c r="BK76" s="253"/>
      <c r="BL76" s="253"/>
      <c r="BM76" s="253"/>
      <c r="BN76" s="253"/>
      <c r="BO76" s="253"/>
      <c r="BP76" s="253"/>
      <c r="BQ76" s="253"/>
      <c r="BR76" s="253"/>
      <c r="BS76" s="253"/>
      <c r="BT76" s="253"/>
      <c r="BU76" s="253"/>
      <c r="BV76" s="253"/>
      <c r="BW76" s="253"/>
      <c r="BX76" s="253"/>
      <c r="BY76" s="253"/>
      <c r="BZ76" s="253"/>
      <c r="CA76" s="253"/>
      <c r="CB76" s="253"/>
      <c r="CC76" s="253"/>
      <c r="CD76" s="253"/>
      <c r="CE76" s="253"/>
      <c r="CF76" s="253"/>
      <c r="CG76" s="253"/>
      <c r="CH76" s="253"/>
      <c r="CI76" s="253"/>
      <c r="CJ76" s="253"/>
      <c r="CK76" s="253"/>
      <c r="CL76" s="253"/>
      <c r="CM76" s="253"/>
      <c r="CN76" s="253"/>
      <c r="CO76" s="253"/>
      <c r="CP76" s="253"/>
      <c r="CQ76" s="253"/>
      <c r="CR76" s="253"/>
      <c r="CS76" s="253"/>
      <c r="CT76" s="253"/>
      <c r="CU76" s="253"/>
      <c r="CV76" s="253"/>
      <c r="CW76" s="253"/>
      <c r="CX76" s="253"/>
      <c r="CY76" s="253"/>
      <c r="CZ76" s="253"/>
      <c r="DA76" s="253"/>
      <c r="DB76" s="253"/>
      <c r="DC76" s="253"/>
      <c r="DD76" s="253"/>
      <c r="DE76" s="253"/>
      <c r="DF76" s="253"/>
      <c r="DG76" s="253"/>
      <c r="DH76" s="253"/>
      <c r="DI76" s="253"/>
      <c r="DJ76" s="253"/>
      <c r="DK76" s="253"/>
      <c r="DL76" s="253"/>
      <c r="DM76" s="253"/>
      <c r="DN76" s="253"/>
      <c r="DO76" s="253"/>
      <c r="DP76" s="253"/>
      <c r="DQ76" s="253"/>
      <c r="DR76" s="253"/>
      <c r="DS76" s="253"/>
      <c r="DT76" s="253"/>
      <c r="DU76" s="253"/>
      <c r="DV76" s="253"/>
      <c r="DW76" s="253"/>
      <c r="DX76" s="253"/>
      <c r="DY76" s="253"/>
      <c r="DZ76" s="253"/>
      <c r="EA76" s="253"/>
      <c r="EB76" s="253"/>
      <c r="EC76" s="253"/>
      <c r="ED76" s="253"/>
      <c r="EE76" s="253"/>
      <c r="EF76" s="253"/>
      <c r="EG76" s="253"/>
      <c r="EH76" s="253"/>
      <c r="EI76" s="253"/>
      <c r="EJ76" s="253"/>
      <c r="EK76" s="253"/>
      <c r="EL76" s="253"/>
      <c r="EM76" s="253"/>
      <c r="EN76" s="253"/>
      <c r="EO76" s="253"/>
      <c r="EP76" s="253"/>
      <c r="EQ76" s="253"/>
      <c r="ER76" s="253"/>
      <c r="ES76" s="253"/>
      <c r="ET76" s="253"/>
      <c r="EU76" s="253"/>
      <c r="EV76" s="253"/>
      <c r="EW76" s="253"/>
      <c r="EX76" s="253"/>
      <c r="EY76" s="253"/>
      <c r="EZ76" s="253"/>
      <c r="FA76" s="253"/>
      <c r="FB76" s="255">
        <f>60-60</f>
        <v>0</v>
      </c>
      <c r="FC76" s="253"/>
      <c r="FD76" s="253"/>
      <c r="FE76" s="253"/>
      <c r="FF76" s="253"/>
      <c r="FG76" s="253"/>
      <c r="FH76" s="253"/>
      <c r="FI76" s="253"/>
      <c r="FJ76" s="253"/>
      <c r="FK76" s="253"/>
      <c r="FL76" s="253"/>
      <c r="FM76" s="253"/>
      <c r="FN76" s="253"/>
      <c r="FO76" s="253"/>
      <c r="FP76" s="256"/>
      <c r="FQ76" s="257" t="s">
        <v>1322</v>
      </c>
      <c r="FR76" s="258" t="s">
        <v>389</v>
      </c>
      <c r="FS76" s="258" t="s">
        <v>431</v>
      </c>
      <c r="FT76" s="258" t="s">
        <v>432</v>
      </c>
      <c r="FU76" s="259">
        <f t="shared" si="2"/>
        <v>0</v>
      </c>
      <c r="FV76" s="260" t="s">
        <v>433</v>
      </c>
    </row>
    <row r="77" spans="1:178" s="260" customFormat="1" hidden="1">
      <c r="A77" s="251" t="s">
        <v>385</v>
      </c>
      <c r="B77" s="251" t="s">
        <v>385</v>
      </c>
      <c r="C77" s="251" t="s">
        <v>411</v>
      </c>
      <c r="D77" s="251" t="s">
        <v>291</v>
      </c>
      <c r="E77" s="252" t="s">
        <v>1345</v>
      </c>
      <c r="F77" s="251" t="s">
        <v>388</v>
      </c>
      <c r="G77" s="251" t="s">
        <v>1346</v>
      </c>
      <c r="H77" s="253"/>
      <c r="I77" s="253"/>
      <c r="J77" s="253"/>
      <c r="K77" s="253"/>
      <c r="L77" s="253"/>
      <c r="M77" s="253"/>
      <c r="N77" s="253"/>
      <c r="O77" s="253"/>
      <c r="P77" s="253"/>
      <c r="Q77" s="253"/>
      <c r="R77" s="253"/>
      <c r="S77" s="253"/>
      <c r="T77" s="253"/>
      <c r="U77" s="253"/>
      <c r="V77" s="253"/>
      <c r="W77" s="253"/>
      <c r="X77" s="253"/>
      <c r="Y77" s="253"/>
      <c r="Z77" s="253"/>
      <c r="AA77" s="253"/>
      <c r="AB77" s="253"/>
      <c r="AC77" s="253"/>
      <c r="AD77" s="253"/>
      <c r="AE77" s="253"/>
      <c r="AF77" s="253"/>
      <c r="AG77" s="253"/>
      <c r="AH77" s="253"/>
      <c r="AI77" s="253"/>
      <c r="AJ77" s="253"/>
      <c r="AK77" s="253"/>
      <c r="AL77" s="253"/>
      <c r="AM77" s="253"/>
      <c r="AN77" s="253"/>
      <c r="AO77" s="253"/>
      <c r="AP77" s="253"/>
      <c r="AQ77" s="253"/>
      <c r="AR77" s="253"/>
      <c r="AS77" s="253"/>
      <c r="AT77" s="253"/>
      <c r="AU77" s="253"/>
      <c r="AV77" s="253"/>
      <c r="AW77" s="253"/>
      <c r="AX77" s="253"/>
      <c r="AY77" s="253"/>
      <c r="AZ77" s="253"/>
      <c r="BA77" s="253"/>
      <c r="BB77" s="253"/>
      <c r="BC77" s="253"/>
      <c r="BD77" s="253"/>
      <c r="BE77" s="253"/>
      <c r="BF77" s="253"/>
      <c r="BG77" s="253"/>
      <c r="BH77" s="253"/>
      <c r="BI77" s="253"/>
      <c r="BJ77" s="253"/>
      <c r="BK77" s="253"/>
      <c r="BL77" s="253"/>
      <c r="BM77" s="253"/>
      <c r="BN77" s="253"/>
      <c r="BO77" s="253"/>
      <c r="BP77" s="253"/>
      <c r="BQ77" s="253"/>
      <c r="BR77" s="253"/>
      <c r="BS77" s="253"/>
      <c r="BT77" s="253"/>
      <c r="BU77" s="253"/>
      <c r="BV77" s="253"/>
      <c r="BW77" s="253"/>
      <c r="BX77" s="253"/>
      <c r="BY77" s="253"/>
      <c r="BZ77" s="253"/>
      <c r="CA77" s="253"/>
      <c r="CB77" s="253"/>
      <c r="CC77" s="253"/>
      <c r="CD77" s="253"/>
      <c r="CE77" s="253"/>
      <c r="CF77" s="253"/>
      <c r="CG77" s="253"/>
      <c r="CH77" s="253"/>
      <c r="CI77" s="253"/>
      <c r="CJ77" s="253"/>
      <c r="CK77" s="253"/>
      <c r="CL77" s="253"/>
      <c r="CM77" s="253"/>
      <c r="CN77" s="253"/>
      <c r="CO77" s="253"/>
      <c r="CP77" s="253"/>
      <c r="CQ77" s="253"/>
      <c r="CR77" s="253"/>
      <c r="CS77" s="253"/>
      <c r="CT77" s="253"/>
      <c r="CU77" s="253"/>
      <c r="CV77" s="253"/>
      <c r="CW77" s="253"/>
      <c r="CX77" s="253"/>
      <c r="CY77" s="253"/>
      <c r="CZ77" s="253"/>
      <c r="DA77" s="253"/>
      <c r="DB77" s="253"/>
      <c r="DC77" s="253"/>
      <c r="DD77" s="253"/>
      <c r="DE77" s="253"/>
      <c r="DF77" s="253"/>
      <c r="DG77" s="253"/>
      <c r="DH77" s="253"/>
      <c r="DI77" s="255">
        <f>50-50</f>
        <v>0</v>
      </c>
      <c r="DJ77" s="253"/>
      <c r="DK77" s="253"/>
      <c r="DL77" s="253"/>
      <c r="DM77" s="253"/>
      <c r="DN77" s="253"/>
      <c r="DO77" s="253"/>
      <c r="DP77" s="253"/>
      <c r="DQ77" s="253"/>
      <c r="DR77" s="253"/>
      <c r="DS77" s="253"/>
      <c r="DT77" s="255">
        <f>150-150</f>
        <v>0</v>
      </c>
      <c r="DU77" s="253"/>
      <c r="DV77" s="253"/>
      <c r="DW77" s="253"/>
      <c r="DX77" s="255">
        <f>150-150</f>
        <v>0</v>
      </c>
      <c r="DY77" s="253"/>
      <c r="DZ77" s="253"/>
      <c r="EA77" s="253"/>
      <c r="EB77" s="253"/>
      <c r="EC77" s="253"/>
      <c r="ED77" s="253"/>
      <c r="EE77" s="253"/>
      <c r="EF77" s="255">
        <f>150-150</f>
        <v>0</v>
      </c>
      <c r="EG77" s="255">
        <f>150-150</f>
        <v>0</v>
      </c>
      <c r="EH77" s="253"/>
      <c r="EI77" s="253"/>
      <c r="EJ77" s="255">
        <f>150-150</f>
        <v>0</v>
      </c>
      <c r="EK77" s="253"/>
      <c r="EL77" s="253"/>
      <c r="EM77" s="253"/>
      <c r="EN77" s="253"/>
      <c r="EO77" s="253"/>
      <c r="EP77" s="253"/>
      <c r="EQ77" s="253"/>
      <c r="ER77" s="253"/>
      <c r="ES77" s="253"/>
      <c r="ET77" s="253"/>
      <c r="EU77" s="255">
        <f>150-150</f>
        <v>0</v>
      </c>
      <c r="EV77" s="253"/>
      <c r="EW77" s="253"/>
      <c r="EX77" s="255">
        <f>150-150</f>
        <v>0</v>
      </c>
      <c r="EY77" s="253"/>
      <c r="EZ77" s="255">
        <f>150-150</f>
        <v>0</v>
      </c>
      <c r="FA77" s="255">
        <f>150-150</f>
        <v>0</v>
      </c>
      <c r="FB77" s="253"/>
      <c r="FC77" s="253"/>
      <c r="FD77" s="253"/>
      <c r="FE77" s="253"/>
      <c r="FF77" s="253"/>
      <c r="FG77" s="253"/>
      <c r="FH77" s="253"/>
      <c r="FI77" s="253"/>
      <c r="FJ77" s="253"/>
      <c r="FK77" s="254">
        <f>100-100+100</f>
        <v>100</v>
      </c>
      <c r="FL77" s="253"/>
      <c r="FM77" s="253"/>
      <c r="FN77" s="253"/>
      <c r="FO77" s="253"/>
      <c r="FP77" s="256"/>
      <c r="FQ77" s="257" t="s">
        <v>1322</v>
      </c>
      <c r="FR77" s="258" t="s">
        <v>389</v>
      </c>
      <c r="FS77" s="258" t="s">
        <v>438</v>
      </c>
      <c r="FT77" s="258" t="s">
        <v>439</v>
      </c>
      <c r="FU77" s="259">
        <f t="shared" si="2"/>
        <v>100</v>
      </c>
      <c r="FV77" s="260" t="s">
        <v>421</v>
      </c>
    </row>
    <row r="78" spans="1:178" s="260" customFormat="1" hidden="1">
      <c r="A78" s="251" t="s">
        <v>385</v>
      </c>
      <c r="B78" s="251" t="s">
        <v>385</v>
      </c>
      <c r="C78" s="251" t="s">
        <v>411</v>
      </c>
      <c r="D78" s="251" t="s">
        <v>1</v>
      </c>
      <c r="E78" s="252" t="s">
        <v>1345</v>
      </c>
      <c r="F78" s="251" t="s">
        <v>388</v>
      </c>
      <c r="G78" s="251" t="s">
        <v>1346</v>
      </c>
      <c r="H78" s="253"/>
      <c r="I78" s="253"/>
      <c r="J78" s="253"/>
      <c r="K78" s="253"/>
      <c r="L78" s="253"/>
      <c r="M78" s="253"/>
      <c r="N78" s="253"/>
      <c r="O78" s="253"/>
      <c r="P78" s="253"/>
      <c r="Q78" s="253"/>
      <c r="R78" s="253"/>
      <c r="S78" s="253"/>
      <c r="T78" s="253"/>
      <c r="U78" s="253"/>
      <c r="V78" s="253"/>
      <c r="W78" s="253"/>
      <c r="X78" s="253"/>
      <c r="Y78" s="253"/>
      <c r="Z78" s="253"/>
      <c r="AA78" s="253"/>
      <c r="AB78" s="253"/>
      <c r="AC78" s="253"/>
      <c r="AD78" s="253"/>
      <c r="AE78" s="253"/>
      <c r="AF78" s="253"/>
      <c r="AG78" s="253"/>
      <c r="AH78" s="253"/>
      <c r="AI78" s="253"/>
      <c r="AJ78" s="253"/>
      <c r="AK78" s="253"/>
      <c r="AL78" s="253"/>
      <c r="AM78" s="253"/>
      <c r="AN78" s="253"/>
      <c r="AO78" s="253"/>
      <c r="AP78" s="253"/>
      <c r="AQ78" s="253"/>
      <c r="AR78" s="253"/>
      <c r="AS78" s="253"/>
      <c r="AT78" s="253"/>
      <c r="AU78" s="253"/>
      <c r="AV78" s="253"/>
      <c r="AW78" s="253"/>
      <c r="AX78" s="253"/>
      <c r="AY78" s="253"/>
      <c r="AZ78" s="253"/>
      <c r="BA78" s="253"/>
      <c r="BB78" s="253"/>
      <c r="BC78" s="253"/>
      <c r="BD78" s="253"/>
      <c r="BE78" s="253"/>
      <c r="BF78" s="253"/>
      <c r="BG78" s="253"/>
      <c r="BH78" s="253"/>
      <c r="BI78" s="253"/>
      <c r="BJ78" s="253"/>
      <c r="BK78" s="253"/>
      <c r="BL78" s="253"/>
      <c r="BM78" s="253"/>
      <c r="BN78" s="253"/>
      <c r="BO78" s="253"/>
      <c r="BP78" s="253"/>
      <c r="BQ78" s="253"/>
      <c r="BR78" s="253"/>
      <c r="BS78" s="253"/>
      <c r="BT78" s="253"/>
      <c r="BU78" s="253"/>
      <c r="BV78" s="253"/>
      <c r="BW78" s="253"/>
      <c r="BX78" s="253"/>
      <c r="BY78" s="253"/>
      <c r="BZ78" s="253"/>
      <c r="CA78" s="253"/>
      <c r="CB78" s="253"/>
      <c r="CC78" s="253"/>
      <c r="CD78" s="253"/>
      <c r="CE78" s="253"/>
      <c r="CF78" s="253"/>
      <c r="CG78" s="253"/>
      <c r="CH78" s="253"/>
      <c r="CI78" s="253"/>
      <c r="CJ78" s="253"/>
      <c r="CK78" s="253"/>
      <c r="CL78" s="253"/>
      <c r="CM78" s="253"/>
      <c r="CN78" s="253"/>
      <c r="CO78" s="253"/>
      <c r="CP78" s="253"/>
      <c r="CQ78" s="253"/>
      <c r="CR78" s="253"/>
      <c r="CS78" s="253"/>
      <c r="CT78" s="253"/>
      <c r="CU78" s="253"/>
      <c r="CV78" s="253"/>
      <c r="CW78" s="253"/>
      <c r="CX78" s="253"/>
      <c r="CY78" s="253"/>
      <c r="CZ78" s="253"/>
      <c r="DA78" s="253"/>
      <c r="DB78" s="253"/>
      <c r="DC78" s="253"/>
      <c r="DD78" s="253"/>
      <c r="DE78" s="253"/>
      <c r="DF78" s="253"/>
      <c r="DG78" s="253"/>
      <c r="DH78" s="253"/>
      <c r="DI78" s="253"/>
      <c r="DJ78" s="253"/>
      <c r="DK78" s="253"/>
      <c r="DL78" s="255">
        <f>50-50</f>
        <v>0</v>
      </c>
      <c r="DM78" s="253"/>
      <c r="DN78" s="253"/>
      <c r="DO78" s="253"/>
      <c r="DP78" s="253"/>
      <c r="DQ78" s="253"/>
      <c r="DR78" s="253"/>
      <c r="DS78" s="253"/>
      <c r="DT78" s="253"/>
      <c r="DU78" s="255">
        <f>150-150</f>
        <v>0</v>
      </c>
      <c r="DV78" s="253"/>
      <c r="DW78" s="253"/>
      <c r="DX78" s="253"/>
      <c r="DY78" s="253"/>
      <c r="DZ78" s="253"/>
      <c r="EA78" s="253"/>
      <c r="EB78" s="255">
        <f>150-150</f>
        <v>0</v>
      </c>
      <c r="EC78" s="253"/>
      <c r="ED78" s="253"/>
      <c r="EE78" s="255">
        <f>150-150</f>
        <v>0</v>
      </c>
      <c r="EF78" s="253"/>
      <c r="EG78" s="253"/>
      <c r="EH78" s="255">
        <f>150-150</f>
        <v>0</v>
      </c>
      <c r="EI78" s="253"/>
      <c r="EJ78" s="253"/>
      <c r="EK78" s="255">
        <f>150-150</f>
        <v>0</v>
      </c>
      <c r="EL78" s="253"/>
      <c r="EM78" s="253"/>
      <c r="EN78" s="255">
        <f>150-150</f>
        <v>0</v>
      </c>
      <c r="EO78" s="255">
        <f>150-150</f>
        <v>0</v>
      </c>
      <c r="EP78" s="253"/>
      <c r="EQ78" s="255">
        <f>150-150</f>
        <v>0</v>
      </c>
      <c r="ER78" s="255">
        <f>150-150</f>
        <v>0</v>
      </c>
      <c r="ES78" s="253"/>
      <c r="ET78" s="253"/>
      <c r="EU78" s="253"/>
      <c r="EV78" s="253"/>
      <c r="EW78" s="255">
        <f>100-100</f>
        <v>0</v>
      </c>
      <c r="EX78" s="253"/>
      <c r="EY78" s="253"/>
      <c r="EZ78" s="254">
        <f>60</f>
        <v>60</v>
      </c>
      <c r="FA78" s="253"/>
      <c r="FB78" s="253"/>
      <c r="FC78" s="254">
        <f>150-150+100</f>
        <v>100</v>
      </c>
      <c r="FD78" s="253"/>
      <c r="FE78" s="253"/>
      <c r="FF78" s="253"/>
      <c r="FG78" s="255">
        <f>100-100</f>
        <v>0</v>
      </c>
      <c r="FH78" s="253"/>
      <c r="FI78" s="253"/>
      <c r="FJ78" s="253"/>
      <c r="FK78" s="253"/>
      <c r="FL78" s="253"/>
      <c r="FM78" s="253"/>
      <c r="FN78" s="253"/>
      <c r="FO78" s="253"/>
      <c r="FP78" s="256"/>
      <c r="FQ78" s="257" t="s">
        <v>1322</v>
      </c>
      <c r="FR78" s="258" t="s">
        <v>389</v>
      </c>
      <c r="FS78" s="258" t="s">
        <v>438</v>
      </c>
      <c r="FT78" s="258" t="s">
        <v>439</v>
      </c>
      <c r="FU78" s="259">
        <f t="shared" si="2"/>
        <v>160</v>
      </c>
      <c r="FV78" s="260" t="s">
        <v>421</v>
      </c>
    </row>
    <row r="79" spans="1:178" s="260" customFormat="1" hidden="1">
      <c r="A79" s="251" t="s">
        <v>385</v>
      </c>
      <c r="B79" s="251" t="s">
        <v>385</v>
      </c>
      <c r="C79" s="251" t="s">
        <v>411</v>
      </c>
      <c r="D79" s="251" t="s">
        <v>293</v>
      </c>
      <c r="E79" s="252" t="s">
        <v>1345</v>
      </c>
      <c r="F79" s="251" t="s">
        <v>388</v>
      </c>
      <c r="G79" s="251" t="s">
        <v>1347</v>
      </c>
      <c r="H79" s="253"/>
      <c r="I79" s="253"/>
      <c r="J79" s="253"/>
      <c r="K79" s="253"/>
      <c r="L79" s="253"/>
      <c r="M79" s="253"/>
      <c r="N79" s="253"/>
      <c r="O79" s="253"/>
      <c r="P79" s="253"/>
      <c r="Q79" s="253"/>
      <c r="R79" s="253"/>
      <c r="S79" s="253"/>
      <c r="T79" s="253"/>
      <c r="U79" s="253"/>
      <c r="V79" s="253"/>
      <c r="W79" s="253"/>
      <c r="X79" s="253"/>
      <c r="Y79" s="253"/>
      <c r="Z79" s="253"/>
      <c r="AA79" s="253"/>
      <c r="AB79" s="253"/>
      <c r="AC79" s="253"/>
      <c r="AD79" s="253"/>
      <c r="AE79" s="253"/>
      <c r="AF79" s="253"/>
      <c r="AG79" s="253"/>
      <c r="AH79" s="253"/>
      <c r="AI79" s="253"/>
      <c r="AJ79" s="253"/>
      <c r="AK79" s="253"/>
      <c r="AL79" s="253"/>
      <c r="AM79" s="253"/>
      <c r="AN79" s="253"/>
      <c r="AO79" s="253"/>
      <c r="AP79" s="253"/>
      <c r="AQ79" s="253"/>
      <c r="AR79" s="253"/>
      <c r="AS79" s="253"/>
      <c r="AT79" s="253"/>
      <c r="AU79" s="253"/>
      <c r="AV79" s="253"/>
      <c r="AW79" s="253"/>
      <c r="AX79" s="253"/>
      <c r="AY79" s="253"/>
      <c r="AZ79" s="253"/>
      <c r="BA79" s="253"/>
      <c r="BB79" s="253"/>
      <c r="BC79" s="253"/>
      <c r="BD79" s="253"/>
      <c r="BE79" s="253"/>
      <c r="BF79" s="253"/>
      <c r="BG79" s="253"/>
      <c r="BH79" s="253"/>
      <c r="BI79" s="253"/>
      <c r="BJ79" s="253"/>
      <c r="BK79" s="253"/>
      <c r="BL79" s="253"/>
      <c r="BM79" s="253"/>
      <c r="BN79" s="253"/>
      <c r="BO79" s="253"/>
      <c r="BP79" s="253"/>
      <c r="BQ79" s="253"/>
      <c r="BR79" s="253"/>
      <c r="BS79" s="253"/>
      <c r="BT79" s="253"/>
      <c r="BU79" s="253"/>
      <c r="BV79" s="253"/>
      <c r="BW79" s="253"/>
      <c r="BX79" s="253"/>
      <c r="BY79" s="253"/>
      <c r="BZ79" s="253"/>
      <c r="CA79" s="253"/>
      <c r="CB79" s="253"/>
      <c r="CC79" s="253"/>
      <c r="CD79" s="253"/>
      <c r="CE79" s="253"/>
      <c r="CF79" s="253"/>
      <c r="CG79" s="253"/>
      <c r="CH79" s="253"/>
      <c r="CI79" s="253"/>
      <c r="CJ79" s="253"/>
      <c r="CK79" s="253"/>
      <c r="CL79" s="253"/>
      <c r="CM79" s="253"/>
      <c r="CN79" s="253"/>
      <c r="CO79" s="253"/>
      <c r="CP79" s="253"/>
      <c r="CQ79" s="253"/>
      <c r="CR79" s="253"/>
      <c r="CS79" s="253"/>
      <c r="CT79" s="253"/>
      <c r="CU79" s="253"/>
      <c r="CV79" s="253"/>
      <c r="CW79" s="253"/>
      <c r="CX79" s="253"/>
      <c r="CY79" s="253"/>
      <c r="CZ79" s="253"/>
      <c r="DA79" s="253"/>
      <c r="DB79" s="253"/>
      <c r="DC79" s="253"/>
      <c r="DD79" s="253"/>
      <c r="DE79" s="253"/>
      <c r="DF79" s="253"/>
      <c r="DG79" s="253"/>
      <c r="DH79" s="253"/>
      <c r="DI79" s="253"/>
      <c r="DJ79" s="253"/>
      <c r="DK79" s="253"/>
      <c r="DL79" s="253"/>
      <c r="DM79" s="253"/>
      <c r="DN79" s="253"/>
      <c r="DO79" s="253"/>
      <c r="DP79" s="253"/>
      <c r="DQ79" s="253"/>
      <c r="DR79" s="253"/>
      <c r="DS79" s="253"/>
      <c r="DT79" s="253"/>
      <c r="DU79" s="253"/>
      <c r="DV79" s="253"/>
      <c r="DW79" s="253"/>
      <c r="DX79" s="253"/>
      <c r="DY79" s="253"/>
      <c r="DZ79" s="253"/>
      <c r="EA79" s="253"/>
      <c r="EB79" s="253"/>
      <c r="EC79" s="253"/>
      <c r="ED79" s="253"/>
      <c r="EE79" s="253"/>
      <c r="EF79" s="253"/>
      <c r="EG79" s="253"/>
      <c r="EH79" s="253"/>
      <c r="EI79" s="253"/>
      <c r="EJ79" s="253"/>
      <c r="EK79" s="253"/>
      <c r="EL79" s="253"/>
      <c r="EM79" s="253"/>
      <c r="EN79" s="253"/>
      <c r="EO79" s="253"/>
      <c r="EP79" s="253"/>
      <c r="EQ79" s="253"/>
      <c r="ER79" s="253"/>
      <c r="ES79" s="253"/>
      <c r="ET79" s="253"/>
      <c r="EU79" s="253"/>
      <c r="EV79" s="253"/>
      <c r="EW79" s="253"/>
      <c r="EX79" s="253"/>
      <c r="EY79" s="253"/>
      <c r="EZ79" s="253"/>
      <c r="FA79" s="253"/>
      <c r="FB79" s="255">
        <f>150-150</f>
        <v>0</v>
      </c>
      <c r="FC79" s="253"/>
      <c r="FD79" s="253"/>
      <c r="FE79" s="253"/>
      <c r="FF79" s="253"/>
      <c r="FG79" s="253"/>
      <c r="FH79" s="253"/>
      <c r="FI79" s="253"/>
      <c r="FJ79" s="253"/>
      <c r="FK79" s="253"/>
      <c r="FL79" s="253"/>
      <c r="FM79" s="253"/>
      <c r="FN79" s="253"/>
      <c r="FO79" s="253"/>
      <c r="FP79" s="256"/>
      <c r="FQ79" s="257" t="s">
        <v>1322</v>
      </c>
      <c r="FR79" s="258" t="s">
        <v>389</v>
      </c>
      <c r="FS79" s="258" t="s">
        <v>438</v>
      </c>
      <c r="FT79" s="258" t="s">
        <v>439</v>
      </c>
      <c r="FU79" s="259">
        <f t="shared" si="2"/>
        <v>0</v>
      </c>
      <c r="FV79" s="260" t="s">
        <v>421</v>
      </c>
    </row>
    <row r="80" spans="1:178" s="260" customFormat="1" hidden="1">
      <c r="A80" s="251" t="s">
        <v>385</v>
      </c>
      <c r="B80" s="251" t="s">
        <v>385</v>
      </c>
      <c r="C80" s="251" t="s">
        <v>411</v>
      </c>
      <c r="D80" s="251" t="s">
        <v>291</v>
      </c>
      <c r="E80" s="252" t="s">
        <v>434</v>
      </c>
      <c r="F80" s="251" t="s">
        <v>388</v>
      </c>
      <c r="G80" s="251" t="s">
        <v>1348</v>
      </c>
      <c r="H80" s="253"/>
      <c r="I80" s="253"/>
      <c r="J80" s="253"/>
      <c r="K80" s="253"/>
      <c r="L80" s="253"/>
      <c r="M80" s="253"/>
      <c r="N80" s="253"/>
      <c r="O80" s="253"/>
      <c r="P80" s="253"/>
      <c r="Q80" s="253"/>
      <c r="R80" s="253"/>
      <c r="S80" s="253"/>
      <c r="T80" s="253"/>
      <c r="U80" s="253"/>
      <c r="V80" s="253"/>
      <c r="W80" s="253"/>
      <c r="X80" s="253"/>
      <c r="Y80" s="253"/>
      <c r="Z80" s="253"/>
      <c r="AA80" s="253"/>
      <c r="AB80" s="253"/>
      <c r="AC80" s="253"/>
      <c r="AD80" s="253"/>
      <c r="AE80" s="253"/>
      <c r="AF80" s="253"/>
      <c r="AG80" s="253"/>
      <c r="AH80" s="253"/>
      <c r="AI80" s="253"/>
      <c r="AJ80" s="253"/>
      <c r="AK80" s="253"/>
      <c r="AL80" s="253"/>
      <c r="AM80" s="253"/>
      <c r="AN80" s="253"/>
      <c r="AO80" s="253"/>
      <c r="AP80" s="253"/>
      <c r="AQ80" s="253"/>
      <c r="AR80" s="253"/>
      <c r="AS80" s="253"/>
      <c r="AT80" s="253"/>
      <c r="AU80" s="253"/>
      <c r="AV80" s="253"/>
      <c r="AW80" s="253"/>
      <c r="AX80" s="253"/>
      <c r="AY80" s="253"/>
      <c r="AZ80" s="253"/>
      <c r="BA80" s="253"/>
      <c r="BB80" s="253"/>
      <c r="BC80" s="253"/>
      <c r="BD80" s="253"/>
      <c r="BE80" s="253"/>
      <c r="BF80" s="253"/>
      <c r="BG80" s="253"/>
      <c r="BH80" s="253"/>
      <c r="BI80" s="253"/>
      <c r="BJ80" s="253"/>
      <c r="BK80" s="253"/>
      <c r="BL80" s="253"/>
      <c r="BM80" s="253"/>
      <c r="BN80" s="253"/>
      <c r="BO80" s="253"/>
      <c r="BP80" s="253"/>
      <c r="BQ80" s="253"/>
      <c r="BR80" s="253"/>
      <c r="BS80" s="253"/>
      <c r="BT80" s="253"/>
      <c r="BU80" s="253"/>
      <c r="BV80" s="253"/>
      <c r="BW80" s="253"/>
      <c r="BX80" s="253"/>
      <c r="BY80" s="253"/>
      <c r="BZ80" s="253"/>
      <c r="CA80" s="253"/>
      <c r="CB80" s="253"/>
      <c r="CC80" s="253"/>
      <c r="CD80" s="253"/>
      <c r="CE80" s="253"/>
      <c r="CF80" s="253"/>
      <c r="CG80" s="253"/>
      <c r="CH80" s="253"/>
      <c r="CI80" s="253"/>
      <c r="CJ80" s="253"/>
      <c r="CK80" s="253"/>
      <c r="CL80" s="253"/>
      <c r="CM80" s="253"/>
      <c r="CN80" s="253"/>
      <c r="CO80" s="253"/>
      <c r="CP80" s="253"/>
      <c r="CQ80" s="253"/>
      <c r="CR80" s="253"/>
      <c r="CS80" s="253"/>
      <c r="CT80" s="253"/>
      <c r="CU80" s="253"/>
      <c r="CV80" s="253"/>
      <c r="CW80" s="253"/>
      <c r="CX80" s="253"/>
      <c r="CY80" s="253"/>
      <c r="CZ80" s="253"/>
      <c r="DA80" s="253"/>
      <c r="DB80" s="253"/>
      <c r="DC80" s="253"/>
      <c r="DD80" s="253"/>
      <c r="DE80" s="253"/>
      <c r="DF80" s="253"/>
      <c r="DG80" s="253"/>
      <c r="DH80" s="253"/>
      <c r="DI80" s="255">
        <f>500-500</f>
        <v>0</v>
      </c>
      <c r="DJ80" s="253"/>
      <c r="DK80" s="253"/>
      <c r="DL80" s="253"/>
      <c r="DM80" s="253"/>
      <c r="DN80" s="253"/>
      <c r="DO80" s="253"/>
      <c r="DP80" s="253"/>
      <c r="DQ80" s="253"/>
      <c r="DR80" s="253"/>
      <c r="DS80" s="253"/>
      <c r="DT80" s="253"/>
      <c r="DU80" s="253"/>
      <c r="DV80" s="253"/>
      <c r="DW80" s="253"/>
      <c r="DX80" s="255">
        <f>300-300</f>
        <v>0</v>
      </c>
      <c r="DY80" s="253"/>
      <c r="DZ80" s="253"/>
      <c r="EA80" s="253"/>
      <c r="EB80" s="253"/>
      <c r="EC80" s="253"/>
      <c r="ED80" s="253"/>
      <c r="EE80" s="253"/>
      <c r="EF80" s="253"/>
      <c r="EG80" s="253"/>
      <c r="EH80" s="253"/>
      <c r="EI80" s="253"/>
      <c r="EJ80" s="255">
        <f>300-300</f>
        <v>0</v>
      </c>
      <c r="EK80" s="253"/>
      <c r="EL80" s="253"/>
      <c r="EM80" s="253"/>
      <c r="EN80" s="253"/>
      <c r="EO80" s="253"/>
      <c r="EP80" s="253"/>
      <c r="EQ80" s="253"/>
      <c r="ER80" s="253"/>
      <c r="ES80" s="253"/>
      <c r="ET80" s="253"/>
      <c r="EU80" s="253"/>
      <c r="EV80" s="253"/>
      <c r="EW80" s="253"/>
      <c r="EX80" s="253"/>
      <c r="EY80" s="253"/>
      <c r="EZ80" s="253"/>
      <c r="FA80" s="253"/>
      <c r="FB80" s="253"/>
      <c r="FC80" s="253"/>
      <c r="FD80" s="253"/>
      <c r="FE80" s="253"/>
      <c r="FF80" s="253"/>
      <c r="FG80" s="253"/>
      <c r="FH80" s="253"/>
      <c r="FI80" s="253"/>
      <c r="FJ80" s="253"/>
      <c r="FK80" s="253"/>
      <c r="FL80" s="253"/>
      <c r="FM80" s="253"/>
      <c r="FN80" s="253"/>
      <c r="FO80" s="253"/>
      <c r="FP80" s="256"/>
      <c r="FQ80" s="257" t="s">
        <v>1322</v>
      </c>
      <c r="FR80" s="258" t="s">
        <v>389</v>
      </c>
      <c r="FS80" s="258" t="s">
        <v>1082</v>
      </c>
      <c r="FT80" s="258" t="s">
        <v>420</v>
      </c>
      <c r="FU80" s="259">
        <f t="shared" si="2"/>
        <v>0</v>
      </c>
      <c r="FV80" s="260" t="s">
        <v>421</v>
      </c>
    </row>
    <row r="81" spans="1:178" s="260" customFormat="1" hidden="1">
      <c r="A81" s="251" t="s">
        <v>385</v>
      </c>
      <c r="B81" s="251" t="s">
        <v>385</v>
      </c>
      <c r="C81" s="251" t="s">
        <v>411</v>
      </c>
      <c r="D81" s="251" t="s">
        <v>1</v>
      </c>
      <c r="E81" s="252" t="s">
        <v>434</v>
      </c>
      <c r="F81" s="251" t="s">
        <v>388</v>
      </c>
      <c r="G81" s="251" t="s">
        <v>1348</v>
      </c>
      <c r="H81" s="253"/>
      <c r="I81" s="253"/>
      <c r="J81" s="253"/>
      <c r="K81" s="253"/>
      <c r="L81" s="253"/>
      <c r="M81" s="253"/>
      <c r="N81" s="253"/>
      <c r="O81" s="253"/>
      <c r="P81" s="253"/>
      <c r="Q81" s="253"/>
      <c r="R81" s="253"/>
      <c r="S81" s="253"/>
      <c r="T81" s="253"/>
      <c r="U81" s="253"/>
      <c r="V81" s="253"/>
      <c r="W81" s="253"/>
      <c r="X81" s="253"/>
      <c r="Y81" s="253"/>
      <c r="Z81" s="253"/>
      <c r="AA81" s="253"/>
      <c r="AB81" s="253"/>
      <c r="AC81" s="253"/>
      <c r="AD81" s="253"/>
      <c r="AE81" s="253"/>
      <c r="AF81" s="253"/>
      <c r="AG81" s="253"/>
      <c r="AH81" s="253"/>
      <c r="AI81" s="253"/>
      <c r="AJ81" s="253"/>
      <c r="AK81" s="253"/>
      <c r="AL81" s="253"/>
      <c r="AM81" s="253"/>
      <c r="AN81" s="253"/>
      <c r="AO81" s="253"/>
      <c r="AP81" s="253"/>
      <c r="AQ81" s="253"/>
      <c r="AR81" s="253"/>
      <c r="AS81" s="253"/>
      <c r="AT81" s="253"/>
      <c r="AU81" s="253"/>
      <c r="AV81" s="253"/>
      <c r="AW81" s="253"/>
      <c r="AX81" s="253"/>
      <c r="AY81" s="253"/>
      <c r="AZ81" s="253"/>
      <c r="BA81" s="253"/>
      <c r="BB81" s="253"/>
      <c r="BC81" s="253"/>
      <c r="BD81" s="253"/>
      <c r="BE81" s="253"/>
      <c r="BF81" s="253"/>
      <c r="BG81" s="253"/>
      <c r="BH81" s="253"/>
      <c r="BI81" s="253"/>
      <c r="BJ81" s="253"/>
      <c r="BK81" s="253"/>
      <c r="BL81" s="253"/>
      <c r="BM81" s="253"/>
      <c r="BN81" s="253"/>
      <c r="BO81" s="253"/>
      <c r="BP81" s="253"/>
      <c r="BQ81" s="253"/>
      <c r="BR81" s="253"/>
      <c r="BS81" s="253"/>
      <c r="BT81" s="253"/>
      <c r="BU81" s="253"/>
      <c r="BV81" s="253"/>
      <c r="BW81" s="253"/>
      <c r="BX81" s="253"/>
      <c r="BY81" s="253"/>
      <c r="BZ81" s="253"/>
      <c r="CA81" s="253"/>
      <c r="CB81" s="253"/>
      <c r="CC81" s="253"/>
      <c r="CD81" s="253"/>
      <c r="CE81" s="253"/>
      <c r="CF81" s="253"/>
      <c r="CG81" s="253"/>
      <c r="CH81" s="253"/>
      <c r="CI81" s="253"/>
      <c r="CJ81" s="253"/>
      <c r="CK81" s="253"/>
      <c r="CL81" s="253"/>
      <c r="CM81" s="253"/>
      <c r="CN81" s="253"/>
      <c r="CO81" s="253"/>
      <c r="CP81" s="253"/>
      <c r="CQ81" s="253"/>
      <c r="CR81" s="253"/>
      <c r="CS81" s="253"/>
      <c r="CT81" s="253"/>
      <c r="CU81" s="253"/>
      <c r="CV81" s="253"/>
      <c r="CW81" s="253"/>
      <c r="CX81" s="253"/>
      <c r="CY81" s="253"/>
      <c r="CZ81" s="253"/>
      <c r="DA81" s="253"/>
      <c r="DB81" s="253"/>
      <c r="DC81" s="253"/>
      <c r="DD81" s="253"/>
      <c r="DE81" s="253"/>
      <c r="DF81" s="253"/>
      <c r="DG81" s="253"/>
      <c r="DH81" s="253"/>
      <c r="DI81" s="253"/>
      <c r="DJ81" s="253"/>
      <c r="DK81" s="253"/>
      <c r="DL81" s="255">
        <f>500-500</f>
        <v>0</v>
      </c>
      <c r="DM81" s="253"/>
      <c r="DN81" s="253"/>
      <c r="DO81" s="253"/>
      <c r="DP81" s="253"/>
      <c r="DQ81" s="253"/>
      <c r="DR81" s="253"/>
      <c r="DS81" s="253"/>
      <c r="DT81" s="253"/>
      <c r="DU81" s="255">
        <f>300-300</f>
        <v>0</v>
      </c>
      <c r="DV81" s="253"/>
      <c r="DW81" s="253"/>
      <c r="DX81" s="253"/>
      <c r="DY81" s="253"/>
      <c r="DZ81" s="253"/>
      <c r="EA81" s="253"/>
      <c r="EB81" s="253"/>
      <c r="EC81" s="253"/>
      <c r="ED81" s="253"/>
      <c r="EE81" s="253"/>
      <c r="EF81" s="253"/>
      <c r="EG81" s="253"/>
      <c r="EH81" s="253"/>
      <c r="EI81" s="253"/>
      <c r="EJ81" s="253"/>
      <c r="EK81" s="253"/>
      <c r="EL81" s="255">
        <f>200-200</f>
        <v>0</v>
      </c>
      <c r="EM81" s="253"/>
      <c r="EN81" s="253"/>
      <c r="EO81" s="253"/>
      <c r="EP81" s="253"/>
      <c r="EQ81" s="253"/>
      <c r="ER81" s="253"/>
      <c r="ES81" s="253"/>
      <c r="ET81" s="253"/>
      <c r="EU81" s="253"/>
      <c r="EV81" s="253"/>
      <c r="EW81" s="253"/>
      <c r="EX81" s="253"/>
      <c r="EY81" s="253"/>
      <c r="EZ81" s="253"/>
      <c r="FA81" s="253"/>
      <c r="FB81" s="253"/>
      <c r="FC81" s="253"/>
      <c r="FD81" s="253"/>
      <c r="FE81" s="253"/>
      <c r="FF81" s="253"/>
      <c r="FG81" s="253"/>
      <c r="FH81" s="253"/>
      <c r="FI81" s="253"/>
      <c r="FJ81" s="253"/>
      <c r="FK81" s="253"/>
      <c r="FL81" s="253"/>
      <c r="FM81" s="253"/>
      <c r="FN81" s="253"/>
      <c r="FO81" s="253"/>
      <c r="FP81" s="256"/>
      <c r="FQ81" s="257" t="s">
        <v>1322</v>
      </c>
      <c r="FR81" s="258" t="s">
        <v>389</v>
      </c>
      <c r="FS81" s="258" t="s">
        <v>1082</v>
      </c>
      <c r="FT81" s="258" t="s">
        <v>420</v>
      </c>
      <c r="FU81" s="259">
        <f t="shared" si="2"/>
        <v>0</v>
      </c>
      <c r="FV81" s="260" t="s">
        <v>421</v>
      </c>
    </row>
    <row r="82" spans="1:178" s="260" customFormat="1" hidden="1">
      <c r="A82" s="251" t="s">
        <v>385</v>
      </c>
      <c r="B82" s="251" t="s">
        <v>385</v>
      </c>
      <c r="C82" s="251" t="s">
        <v>411</v>
      </c>
      <c r="D82" s="251" t="s">
        <v>291</v>
      </c>
      <c r="E82" s="263" t="s">
        <v>434</v>
      </c>
      <c r="F82" s="251" t="s">
        <v>388</v>
      </c>
      <c r="G82" s="251" t="s">
        <v>1349</v>
      </c>
      <c r="H82" s="253"/>
      <c r="I82" s="253"/>
      <c r="J82" s="253"/>
      <c r="K82" s="253"/>
      <c r="L82" s="253"/>
      <c r="M82" s="253"/>
      <c r="N82" s="253"/>
      <c r="O82" s="253"/>
      <c r="P82" s="253"/>
      <c r="Q82" s="253"/>
      <c r="R82" s="253"/>
      <c r="S82" s="253"/>
      <c r="T82" s="253"/>
      <c r="U82" s="253"/>
      <c r="V82" s="253"/>
      <c r="W82" s="253"/>
      <c r="X82" s="253"/>
      <c r="Y82" s="253"/>
      <c r="Z82" s="253"/>
      <c r="AA82" s="253"/>
      <c r="AB82" s="253"/>
      <c r="AC82" s="253"/>
      <c r="AD82" s="253"/>
      <c r="AE82" s="253"/>
      <c r="AF82" s="253"/>
      <c r="AG82" s="253"/>
      <c r="AH82" s="253"/>
      <c r="AI82" s="253"/>
      <c r="AJ82" s="253"/>
      <c r="AK82" s="253"/>
      <c r="AL82" s="253"/>
      <c r="AM82" s="253"/>
      <c r="AN82" s="253"/>
      <c r="AO82" s="253"/>
      <c r="AP82" s="253"/>
      <c r="AQ82" s="253"/>
      <c r="AR82" s="253"/>
      <c r="AS82" s="253"/>
      <c r="AT82" s="253"/>
      <c r="AU82" s="253"/>
      <c r="AV82" s="253"/>
      <c r="AW82" s="253"/>
      <c r="AX82" s="253"/>
      <c r="AY82" s="253"/>
      <c r="AZ82" s="253"/>
      <c r="BA82" s="253"/>
      <c r="BB82" s="253"/>
      <c r="BC82" s="253"/>
      <c r="BD82" s="253"/>
      <c r="BE82" s="253"/>
      <c r="BF82" s="253"/>
      <c r="BG82" s="253"/>
      <c r="BH82" s="253"/>
      <c r="BI82" s="253"/>
      <c r="BJ82" s="253"/>
      <c r="BK82" s="253"/>
      <c r="BL82" s="253"/>
      <c r="BM82" s="253"/>
      <c r="BN82" s="253"/>
      <c r="BO82" s="253"/>
      <c r="BP82" s="253"/>
      <c r="BQ82" s="253"/>
      <c r="BR82" s="253"/>
      <c r="BS82" s="253"/>
      <c r="BT82" s="253"/>
      <c r="BU82" s="253"/>
      <c r="BV82" s="253"/>
      <c r="BW82" s="253"/>
      <c r="BX82" s="253"/>
      <c r="BY82" s="253"/>
      <c r="BZ82" s="253"/>
      <c r="CA82" s="253"/>
      <c r="CB82" s="253"/>
      <c r="CC82" s="253"/>
      <c r="CD82" s="253"/>
      <c r="CE82" s="253"/>
      <c r="CF82" s="253"/>
      <c r="CG82" s="253"/>
      <c r="CH82" s="253"/>
      <c r="CI82" s="253"/>
      <c r="CJ82" s="253"/>
      <c r="CK82" s="253"/>
      <c r="CL82" s="253"/>
      <c r="CM82" s="253"/>
      <c r="CN82" s="253"/>
      <c r="CO82" s="253"/>
      <c r="CP82" s="253"/>
      <c r="CQ82" s="253"/>
      <c r="CR82" s="253"/>
      <c r="CS82" s="253"/>
      <c r="CT82" s="253"/>
      <c r="CU82" s="253"/>
      <c r="CV82" s="253"/>
      <c r="CW82" s="253"/>
      <c r="CX82" s="253"/>
      <c r="CY82" s="253"/>
      <c r="CZ82" s="253"/>
      <c r="DA82" s="253"/>
      <c r="DB82" s="253"/>
      <c r="DC82" s="253"/>
      <c r="DD82" s="253"/>
      <c r="DE82" s="253"/>
      <c r="DF82" s="253"/>
      <c r="DG82" s="253"/>
      <c r="DH82" s="253"/>
      <c r="DI82" s="255">
        <f>500-500</f>
        <v>0</v>
      </c>
      <c r="DJ82" s="253"/>
      <c r="DK82" s="253"/>
      <c r="DL82" s="253"/>
      <c r="DM82" s="253"/>
      <c r="DN82" s="253"/>
      <c r="DO82" s="253"/>
      <c r="DP82" s="253"/>
      <c r="DQ82" s="253"/>
      <c r="DR82" s="253"/>
      <c r="DS82" s="253"/>
      <c r="DT82" s="253"/>
      <c r="DU82" s="253"/>
      <c r="DV82" s="253"/>
      <c r="DW82" s="253"/>
      <c r="DX82" s="255">
        <f>300-300</f>
        <v>0</v>
      </c>
      <c r="DY82" s="253"/>
      <c r="DZ82" s="253"/>
      <c r="EA82" s="253"/>
      <c r="EB82" s="253"/>
      <c r="EC82" s="253"/>
      <c r="ED82" s="253"/>
      <c r="EE82" s="253"/>
      <c r="EF82" s="253"/>
      <c r="EG82" s="253"/>
      <c r="EH82" s="253"/>
      <c r="EI82" s="253"/>
      <c r="EJ82" s="255">
        <f>300-300</f>
        <v>0</v>
      </c>
      <c r="EK82" s="253"/>
      <c r="EL82" s="253"/>
      <c r="EM82" s="253"/>
      <c r="EN82" s="253"/>
      <c r="EO82" s="253"/>
      <c r="EP82" s="253"/>
      <c r="EQ82" s="253"/>
      <c r="ER82" s="253"/>
      <c r="ES82" s="253"/>
      <c r="ET82" s="253"/>
      <c r="EU82" s="253"/>
      <c r="EV82" s="253"/>
      <c r="EW82" s="253"/>
      <c r="EX82" s="253"/>
      <c r="EY82" s="253"/>
      <c r="EZ82" s="253"/>
      <c r="FA82" s="253"/>
      <c r="FB82" s="253"/>
      <c r="FC82" s="253"/>
      <c r="FD82" s="253"/>
      <c r="FE82" s="253"/>
      <c r="FF82" s="253"/>
      <c r="FG82" s="253"/>
      <c r="FH82" s="253"/>
      <c r="FI82" s="253"/>
      <c r="FJ82" s="253"/>
      <c r="FK82" s="253"/>
      <c r="FL82" s="253"/>
      <c r="FM82" s="253"/>
      <c r="FN82" s="253"/>
      <c r="FO82" s="253"/>
      <c r="FP82" s="256"/>
      <c r="FQ82" s="257" t="s">
        <v>1322</v>
      </c>
      <c r="FR82" s="258" t="s">
        <v>389</v>
      </c>
      <c r="FS82" s="258" t="s">
        <v>435</v>
      </c>
      <c r="FT82" s="258" t="s">
        <v>420</v>
      </c>
      <c r="FU82" s="259">
        <f t="shared" si="2"/>
        <v>0</v>
      </c>
      <c r="FV82" s="260" t="s">
        <v>421</v>
      </c>
    </row>
    <row r="83" spans="1:178" s="260" customFormat="1" hidden="1">
      <c r="A83" s="251" t="s">
        <v>385</v>
      </c>
      <c r="B83" s="251" t="s">
        <v>385</v>
      </c>
      <c r="C83" s="251" t="s">
        <v>411</v>
      </c>
      <c r="D83" s="251" t="s">
        <v>1</v>
      </c>
      <c r="E83" s="263" t="s">
        <v>434</v>
      </c>
      <c r="F83" s="251" t="s">
        <v>388</v>
      </c>
      <c r="G83" s="251" t="s">
        <v>1349</v>
      </c>
      <c r="H83" s="253"/>
      <c r="I83" s="253"/>
      <c r="J83" s="253"/>
      <c r="K83" s="253"/>
      <c r="L83" s="253"/>
      <c r="M83" s="253"/>
      <c r="N83" s="253"/>
      <c r="O83" s="253"/>
      <c r="P83" s="253"/>
      <c r="Q83" s="253"/>
      <c r="R83" s="253"/>
      <c r="S83" s="253"/>
      <c r="T83" s="253"/>
      <c r="U83" s="253"/>
      <c r="V83" s="253"/>
      <c r="W83" s="253"/>
      <c r="X83" s="253"/>
      <c r="Y83" s="253"/>
      <c r="Z83" s="253"/>
      <c r="AA83" s="253"/>
      <c r="AB83" s="253"/>
      <c r="AC83" s="253"/>
      <c r="AD83" s="253"/>
      <c r="AE83" s="253"/>
      <c r="AF83" s="253"/>
      <c r="AG83" s="253"/>
      <c r="AH83" s="253"/>
      <c r="AI83" s="253"/>
      <c r="AJ83" s="253"/>
      <c r="AK83" s="253"/>
      <c r="AL83" s="253"/>
      <c r="AM83" s="253"/>
      <c r="AN83" s="253"/>
      <c r="AO83" s="253"/>
      <c r="AP83" s="253"/>
      <c r="AQ83" s="253"/>
      <c r="AR83" s="253"/>
      <c r="AS83" s="253"/>
      <c r="AT83" s="253"/>
      <c r="AU83" s="253"/>
      <c r="AV83" s="253"/>
      <c r="AW83" s="253"/>
      <c r="AX83" s="253"/>
      <c r="AY83" s="253"/>
      <c r="AZ83" s="253"/>
      <c r="BA83" s="253"/>
      <c r="BB83" s="253"/>
      <c r="BC83" s="253"/>
      <c r="BD83" s="253"/>
      <c r="BE83" s="253"/>
      <c r="BF83" s="253"/>
      <c r="BG83" s="253"/>
      <c r="BH83" s="253"/>
      <c r="BI83" s="253"/>
      <c r="BJ83" s="253"/>
      <c r="BK83" s="253"/>
      <c r="BL83" s="253"/>
      <c r="BM83" s="253"/>
      <c r="BN83" s="253"/>
      <c r="BO83" s="253"/>
      <c r="BP83" s="253"/>
      <c r="BQ83" s="253"/>
      <c r="BR83" s="253"/>
      <c r="BS83" s="253"/>
      <c r="BT83" s="253"/>
      <c r="BU83" s="253"/>
      <c r="BV83" s="253"/>
      <c r="BW83" s="253"/>
      <c r="BX83" s="253"/>
      <c r="BY83" s="253"/>
      <c r="BZ83" s="253"/>
      <c r="CA83" s="253"/>
      <c r="CB83" s="253"/>
      <c r="CC83" s="253"/>
      <c r="CD83" s="253"/>
      <c r="CE83" s="253"/>
      <c r="CF83" s="253"/>
      <c r="CG83" s="253"/>
      <c r="CH83" s="253"/>
      <c r="CI83" s="253"/>
      <c r="CJ83" s="253"/>
      <c r="CK83" s="253"/>
      <c r="CL83" s="253"/>
      <c r="CM83" s="253"/>
      <c r="CN83" s="253"/>
      <c r="CO83" s="253"/>
      <c r="CP83" s="253"/>
      <c r="CQ83" s="253"/>
      <c r="CR83" s="253"/>
      <c r="CS83" s="253"/>
      <c r="CT83" s="253"/>
      <c r="CU83" s="253"/>
      <c r="CV83" s="253"/>
      <c r="CW83" s="253"/>
      <c r="CX83" s="253"/>
      <c r="CY83" s="253"/>
      <c r="CZ83" s="253"/>
      <c r="DA83" s="253"/>
      <c r="DB83" s="253"/>
      <c r="DC83" s="253"/>
      <c r="DD83" s="253"/>
      <c r="DE83" s="253"/>
      <c r="DF83" s="253"/>
      <c r="DG83" s="253"/>
      <c r="DH83" s="253"/>
      <c r="DI83" s="253"/>
      <c r="DJ83" s="253"/>
      <c r="DK83" s="253"/>
      <c r="DL83" s="255">
        <f>500-500</f>
        <v>0</v>
      </c>
      <c r="DM83" s="253"/>
      <c r="DN83" s="253"/>
      <c r="DO83" s="253"/>
      <c r="DP83" s="253"/>
      <c r="DQ83" s="253"/>
      <c r="DR83" s="253"/>
      <c r="DS83" s="253"/>
      <c r="DT83" s="253"/>
      <c r="DU83" s="255">
        <f>300-300</f>
        <v>0</v>
      </c>
      <c r="DV83" s="253"/>
      <c r="DW83" s="253"/>
      <c r="DX83" s="253"/>
      <c r="DY83" s="253"/>
      <c r="DZ83" s="253"/>
      <c r="EA83" s="253"/>
      <c r="EB83" s="253"/>
      <c r="EC83" s="253"/>
      <c r="ED83" s="253"/>
      <c r="EE83" s="253"/>
      <c r="EF83" s="253"/>
      <c r="EG83" s="253"/>
      <c r="EH83" s="253"/>
      <c r="EI83" s="253"/>
      <c r="EJ83" s="253"/>
      <c r="EK83" s="253"/>
      <c r="EL83" s="255">
        <f>200-200</f>
        <v>0</v>
      </c>
      <c r="EM83" s="253"/>
      <c r="EN83" s="253"/>
      <c r="EO83" s="253"/>
      <c r="EP83" s="253"/>
      <c r="EQ83" s="253"/>
      <c r="ER83" s="253"/>
      <c r="ES83" s="253"/>
      <c r="ET83" s="253"/>
      <c r="EU83" s="253"/>
      <c r="EV83" s="253"/>
      <c r="EW83" s="253"/>
      <c r="EX83" s="253"/>
      <c r="EY83" s="253"/>
      <c r="EZ83" s="253"/>
      <c r="FA83" s="253"/>
      <c r="FB83" s="253"/>
      <c r="FC83" s="253"/>
      <c r="FD83" s="253"/>
      <c r="FE83" s="253"/>
      <c r="FF83" s="253"/>
      <c r="FG83" s="253"/>
      <c r="FH83" s="253"/>
      <c r="FI83" s="253"/>
      <c r="FJ83" s="253"/>
      <c r="FK83" s="253"/>
      <c r="FL83" s="253"/>
      <c r="FM83" s="253"/>
      <c r="FN83" s="253"/>
      <c r="FO83" s="253"/>
      <c r="FP83" s="256"/>
      <c r="FQ83" s="257" t="s">
        <v>1322</v>
      </c>
      <c r="FR83" s="258" t="s">
        <v>389</v>
      </c>
      <c r="FS83" s="258" t="s">
        <v>435</v>
      </c>
      <c r="FT83" s="258" t="s">
        <v>420</v>
      </c>
      <c r="FU83" s="259">
        <f t="shared" si="2"/>
        <v>0</v>
      </c>
      <c r="FV83" s="260" t="s">
        <v>421</v>
      </c>
    </row>
    <row r="84" spans="1:178" s="260" customFormat="1" hidden="1">
      <c r="A84" s="251" t="s">
        <v>393</v>
      </c>
      <c r="B84" s="251" t="s">
        <v>385</v>
      </c>
      <c r="C84" s="251" t="s">
        <v>411</v>
      </c>
      <c r="D84" s="251" t="s">
        <v>291</v>
      </c>
      <c r="E84" s="252" t="s">
        <v>437</v>
      </c>
      <c r="F84" s="251" t="s">
        <v>388</v>
      </c>
      <c r="G84" s="251" t="s">
        <v>1350</v>
      </c>
      <c r="H84" s="253"/>
      <c r="I84" s="253"/>
      <c r="J84" s="253"/>
      <c r="K84" s="253"/>
      <c r="L84" s="253"/>
      <c r="M84" s="253"/>
      <c r="N84" s="253"/>
      <c r="O84" s="253"/>
      <c r="P84" s="253"/>
      <c r="Q84" s="253"/>
      <c r="R84" s="253"/>
      <c r="S84" s="253"/>
      <c r="T84" s="253"/>
      <c r="U84" s="253"/>
      <c r="V84" s="253"/>
      <c r="W84" s="253"/>
      <c r="X84" s="253"/>
      <c r="Y84" s="253"/>
      <c r="Z84" s="253"/>
      <c r="AA84" s="253"/>
      <c r="AB84" s="253"/>
      <c r="AC84" s="253"/>
      <c r="AD84" s="253"/>
      <c r="AE84" s="253"/>
      <c r="AF84" s="253"/>
      <c r="AG84" s="253"/>
      <c r="AH84" s="253"/>
      <c r="AI84" s="253"/>
      <c r="AJ84" s="253"/>
      <c r="AK84" s="253"/>
      <c r="AL84" s="253"/>
      <c r="AM84" s="253"/>
      <c r="AN84" s="253"/>
      <c r="AO84" s="253"/>
      <c r="AP84" s="253"/>
      <c r="AQ84" s="253"/>
      <c r="AR84" s="253"/>
      <c r="AS84" s="253"/>
      <c r="AT84" s="253"/>
      <c r="AU84" s="253"/>
      <c r="AV84" s="253"/>
      <c r="AW84" s="253"/>
      <c r="AX84" s="253"/>
      <c r="AY84" s="253"/>
      <c r="AZ84" s="253"/>
      <c r="BA84" s="253"/>
      <c r="BB84" s="253"/>
      <c r="BC84" s="253"/>
      <c r="BD84" s="253"/>
      <c r="BE84" s="253"/>
      <c r="BF84" s="253"/>
      <c r="BG84" s="253"/>
      <c r="BH84" s="253"/>
      <c r="BI84" s="253"/>
      <c r="BJ84" s="253"/>
      <c r="BK84" s="253"/>
      <c r="BL84" s="253"/>
      <c r="BM84" s="253"/>
      <c r="BN84" s="253"/>
      <c r="BO84" s="253"/>
      <c r="BP84" s="253"/>
      <c r="BQ84" s="253"/>
      <c r="BR84" s="253"/>
      <c r="BS84" s="253"/>
      <c r="BT84" s="253"/>
      <c r="BU84" s="253"/>
      <c r="BV84" s="253"/>
      <c r="BW84" s="253"/>
      <c r="BX84" s="253"/>
      <c r="BY84" s="253"/>
      <c r="BZ84" s="253"/>
      <c r="CA84" s="253"/>
      <c r="CB84" s="253"/>
      <c r="CC84" s="253"/>
      <c r="CD84" s="253"/>
      <c r="CE84" s="253"/>
      <c r="CF84" s="253"/>
      <c r="CG84" s="253"/>
      <c r="CH84" s="253"/>
      <c r="CI84" s="253"/>
      <c r="CJ84" s="253"/>
      <c r="CK84" s="253"/>
      <c r="CL84" s="253"/>
      <c r="CM84" s="253"/>
      <c r="CN84" s="253"/>
      <c r="CO84" s="253"/>
      <c r="CP84" s="253"/>
      <c r="CQ84" s="253"/>
      <c r="CR84" s="253"/>
      <c r="CS84" s="253"/>
      <c r="CT84" s="253"/>
      <c r="CU84" s="253"/>
      <c r="CV84" s="253"/>
      <c r="CW84" s="253"/>
      <c r="CX84" s="253"/>
      <c r="CY84" s="253"/>
      <c r="CZ84" s="253"/>
      <c r="DA84" s="253"/>
      <c r="DB84" s="253"/>
      <c r="DC84" s="253"/>
      <c r="DD84" s="253"/>
      <c r="DE84" s="253"/>
      <c r="DF84" s="253"/>
      <c r="DG84" s="253"/>
      <c r="DH84" s="253"/>
      <c r="DI84" s="255">
        <f>50-50</f>
        <v>0</v>
      </c>
      <c r="DJ84" s="253"/>
      <c r="DK84" s="253"/>
      <c r="DL84" s="253"/>
      <c r="DM84" s="253"/>
      <c r="DN84" s="253"/>
      <c r="DO84" s="253"/>
      <c r="DP84" s="253"/>
      <c r="DQ84" s="253"/>
      <c r="DR84" s="253"/>
      <c r="DS84" s="253"/>
      <c r="DT84" s="255">
        <f>150-150</f>
        <v>0</v>
      </c>
      <c r="DU84" s="253"/>
      <c r="DV84" s="253"/>
      <c r="DW84" s="253"/>
      <c r="DX84" s="255">
        <f>150-150</f>
        <v>0</v>
      </c>
      <c r="DY84" s="253"/>
      <c r="DZ84" s="253"/>
      <c r="EA84" s="253"/>
      <c r="EB84" s="253"/>
      <c r="EC84" s="253"/>
      <c r="ED84" s="253"/>
      <c r="EE84" s="253"/>
      <c r="EF84" s="255">
        <f>150-150</f>
        <v>0</v>
      </c>
      <c r="EG84" s="255">
        <f>150-150</f>
        <v>0</v>
      </c>
      <c r="EH84" s="253"/>
      <c r="EI84" s="253"/>
      <c r="EJ84" s="255">
        <f>150-150</f>
        <v>0</v>
      </c>
      <c r="EK84" s="253"/>
      <c r="EL84" s="253"/>
      <c r="EM84" s="253"/>
      <c r="EN84" s="253"/>
      <c r="EO84" s="253"/>
      <c r="EP84" s="253"/>
      <c r="EQ84" s="253"/>
      <c r="ER84" s="253"/>
      <c r="ES84" s="253"/>
      <c r="ET84" s="253"/>
      <c r="EU84" s="255">
        <f>150-150</f>
        <v>0</v>
      </c>
      <c r="EV84" s="253"/>
      <c r="EW84" s="253"/>
      <c r="EX84" s="255">
        <f>150-150</f>
        <v>0</v>
      </c>
      <c r="EY84" s="253"/>
      <c r="EZ84" s="255">
        <f>150-150</f>
        <v>0</v>
      </c>
      <c r="FA84" s="255">
        <f>150-150</f>
        <v>0</v>
      </c>
      <c r="FB84" s="253"/>
      <c r="FC84" s="253"/>
      <c r="FD84" s="253"/>
      <c r="FE84" s="253"/>
      <c r="FF84" s="253"/>
      <c r="FG84" s="253"/>
      <c r="FH84" s="253"/>
      <c r="FI84" s="253"/>
      <c r="FJ84" s="253"/>
      <c r="FK84" s="254">
        <f>100-100+100</f>
        <v>100</v>
      </c>
      <c r="FL84" s="253"/>
      <c r="FM84" s="253"/>
      <c r="FN84" s="253"/>
      <c r="FO84" s="253"/>
      <c r="FP84" s="256"/>
      <c r="FQ84" s="257" t="s">
        <v>1322</v>
      </c>
      <c r="FR84" s="258" t="s">
        <v>389</v>
      </c>
      <c r="FS84" s="258" t="s">
        <v>438</v>
      </c>
      <c r="FT84" s="258" t="s">
        <v>439</v>
      </c>
      <c r="FU84" s="259">
        <f t="shared" si="2"/>
        <v>100</v>
      </c>
      <c r="FV84" s="260" t="s">
        <v>421</v>
      </c>
    </row>
    <row r="85" spans="1:178" s="260" customFormat="1" hidden="1">
      <c r="A85" s="251" t="s">
        <v>393</v>
      </c>
      <c r="B85" s="251" t="s">
        <v>385</v>
      </c>
      <c r="C85" s="251" t="s">
        <v>411</v>
      </c>
      <c r="D85" s="251" t="s">
        <v>1</v>
      </c>
      <c r="E85" s="252" t="s">
        <v>437</v>
      </c>
      <c r="F85" s="251" t="s">
        <v>388</v>
      </c>
      <c r="G85" s="251" t="s">
        <v>1350</v>
      </c>
      <c r="H85" s="253"/>
      <c r="I85" s="253"/>
      <c r="J85" s="253"/>
      <c r="K85" s="253"/>
      <c r="L85" s="253"/>
      <c r="M85" s="253"/>
      <c r="N85" s="253"/>
      <c r="O85" s="253"/>
      <c r="P85" s="253"/>
      <c r="Q85" s="253"/>
      <c r="R85" s="253"/>
      <c r="S85" s="253"/>
      <c r="T85" s="253"/>
      <c r="U85" s="253"/>
      <c r="V85" s="253"/>
      <c r="W85" s="253"/>
      <c r="X85" s="253"/>
      <c r="Y85" s="253"/>
      <c r="Z85" s="253"/>
      <c r="AA85" s="253"/>
      <c r="AB85" s="253"/>
      <c r="AC85" s="253"/>
      <c r="AD85" s="253"/>
      <c r="AE85" s="253"/>
      <c r="AF85" s="253"/>
      <c r="AG85" s="253"/>
      <c r="AH85" s="253"/>
      <c r="AI85" s="253"/>
      <c r="AJ85" s="253"/>
      <c r="AK85" s="253"/>
      <c r="AL85" s="253"/>
      <c r="AM85" s="253"/>
      <c r="AN85" s="253"/>
      <c r="AO85" s="253"/>
      <c r="AP85" s="253"/>
      <c r="AQ85" s="253"/>
      <c r="AR85" s="253"/>
      <c r="AS85" s="253"/>
      <c r="AT85" s="253"/>
      <c r="AU85" s="253"/>
      <c r="AV85" s="253"/>
      <c r="AW85" s="253"/>
      <c r="AX85" s="253"/>
      <c r="AY85" s="253"/>
      <c r="AZ85" s="253"/>
      <c r="BA85" s="253"/>
      <c r="BB85" s="253"/>
      <c r="BC85" s="253"/>
      <c r="BD85" s="253"/>
      <c r="BE85" s="253"/>
      <c r="BF85" s="253"/>
      <c r="BG85" s="253"/>
      <c r="BH85" s="253"/>
      <c r="BI85" s="253"/>
      <c r="BJ85" s="253"/>
      <c r="BK85" s="253"/>
      <c r="BL85" s="253"/>
      <c r="BM85" s="253"/>
      <c r="BN85" s="253"/>
      <c r="BO85" s="253"/>
      <c r="BP85" s="253"/>
      <c r="BQ85" s="253"/>
      <c r="BR85" s="253"/>
      <c r="BS85" s="253"/>
      <c r="BT85" s="253"/>
      <c r="BU85" s="253"/>
      <c r="BV85" s="253"/>
      <c r="BW85" s="253"/>
      <c r="BX85" s="253"/>
      <c r="BY85" s="253"/>
      <c r="BZ85" s="253"/>
      <c r="CA85" s="253"/>
      <c r="CB85" s="253"/>
      <c r="CC85" s="253"/>
      <c r="CD85" s="253"/>
      <c r="CE85" s="253"/>
      <c r="CF85" s="253"/>
      <c r="CG85" s="253"/>
      <c r="CH85" s="253"/>
      <c r="CI85" s="253"/>
      <c r="CJ85" s="253"/>
      <c r="CK85" s="253"/>
      <c r="CL85" s="253"/>
      <c r="CM85" s="253"/>
      <c r="CN85" s="253"/>
      <c r="CO85" s="253"/>
      <c r="CP85" s="253"/>
      <c r="CQ85" s="253"/>
      <c r="CR85" s="253"/>
      <c r="CS85" s="253"/>
      <c r="CT85" s="253"/>
      <c r="CU85" s="253"/>
      <c r="CV85" s="253"/>
      <c r="CW85" s="253"/>
      <c r="CX85" s="253"/>
      <c r="CY85" s="253"/>
      <c r="CZ85" s="253"/>
      <c r="DA85" s="253"/>
      <c r="DB85" s="253"/>
      <c r="DC85" s="253"/>
      <c r="DD85" s="253"/>
      <c r="DE85" s="253"/>
      <c r="DF85" s="253"/>
      <c r="DG85" s="253"/>
      <c r="DH85" s="253"/>
      <c r="DI85" s="253"/>
      <c r="DJ85" s="253"/>
      <c r="DK85" s="253"/>
      <c r="DL85" s="255">
        <f>50-50</f>
        <v>0</v>
      </c>
      <c r="DM85" s="253"/>
      <c r="DN85" s="253"/>
      <c r="DO85" s="253"/>
      <c r="DP85" s="253"/>
      <c r="DQ85" s="253"/>
      <c r="DR85" s="253"/>
      <c r="DS85" s="253"/>
      <c r="DT85" s="253"/>
      <c r="DU85" s="255">
        <f>150-150</f>
        <v>0</v>
      </c>
      <c r="DV85" s="253"/>
      <c r="DW85" s="253"/>
      <c r="DX85" s="253"/>
      <c r="DY85" s="253"/>
      <c r="DZ85" s="253"/>
      <c r="EA85" s="253"/>
      <c r="EB85" s="255">
        <f>150-150</f>
        <v>0</v>
      </c>
      <c r="EC85" s="253"/>
      <c r="ED85" s="253"/>
      <c r="EE85" s="255">
        <f>150-150</f>
        <v>0</v>
      </c>
      <c r="EF85" s="253"/>
      <c r="EG85" s="253"/>
      <c r="EH85" s="255">
        <f>150-150</f>
        <v>0</v>
      </c>
      <c r="EI85" s="253"/>
      <c r="EJ85" s="253"/>
      <c r="EK85" s="255">
        <f>150-150</f>
        <v>0</v>
      </c>
      <c r="EL85" s="253"/>
      <c r="EM85" s="253"/>
      <c r="EN85" s="255">
        <f>150-150</f>
        <v>0</v>
      </c>
      <c r="EO85" s="255">
        <f>150-150</f>
        <v>0</v>
      </c>
      <c r="EP85" s="253"/>
      <c r="EQ85" s="255">
        <f>150-150</f>
        <v>0</v>
      </c>
      <c r="ER85" s="255">
        <f>150-150</f>
        <v>0</v>
      </c>
      <c r="ES85" s="253"/>
      <c r="ET85" s="253"/>
      <c r="EU85" s="253"/>
      <c r="EV85" s="253"/>
      <c r="EW85" s="255">
        <f>100-100</f>
        <v>0</v>
      </c>
      <c r="EX85" s="253"/>
      <c r="EY85" s="253"/>
      <c r="EZ85" s="254">
        <f>60</f>
        <v>60</v>
      </c>
      <c r="FA85" s="253"/>
      <c r="FB85" s="253"/>
      <c r="FC85" s="254">
        <f>150-150+100</f>
        <v>100</v>
      </c>
      <c r="FD85" s="253"/>
      <c r="FE85" s="253"/>
      <c r="FF85" s="253"/>
      <c r="FG85" s="255">
        <f>100-100</f>
        <v>0</v>
      </c>
      <c r="FH85" s="253"/>
      <c r="FI85" s="253"/>
      <c r="FJ85" s="253"/>
      <c r="FK85" s="253"/>
      <c r="FL85" s="253"/>
      <c r="FM85" s="253"/>
      <c r="FN85" s="253"/>
      <c r="FO85" s="253"/>
      <c r="FP85" s="256"/>
      <c r="FQ85" s="257" t="s">
        <v>1322</v>
      </c>
      <c r="FR85" s="258" t="s">
        <v>389</v>
      </c>
      <c r="FS85" s="258" t="s">
        <v>438</v>
      </c>
      <c r="FT85" s="258" t="s">
        <v>439</v>
      </c>
      <c r="FU85" s="259">
        <f t="shared" si="2"/>
        <v>160</v>
      </c>
      <c r="FV85" s="260" t="s">
        <v>421</v>
      </c>
    </row>
    <row r="86" spans="1:178" s="260" customFormat="1" hidden="1">
      <c r="A86" s="251" t="s">
        <v>393</v>
      </c>
      <c r="B86" s="251" t="s">
        <v>385</v>
      </c>
      <c r="C86" s="251" t="s">
        <v>411</v>
      </c>
      <c r="D86" s="251" t="s">
        <v>293</v>
      </c>
      <c r="E86" s="252" t="s">
        <v>437</v>
      </c>
      <c r="F86" s="251" t="s">
        <v>388</v>
      </c>
      <c r="G86" s="251" t="s">
        <v>1351</v>
      </c>
      <c r="H86" s="253"/>
      <c r="I86" s="253"/>
      <c r="J86" s="253"/>
      <c r="K86" s="253"/>
      <c r="L86" s="253"/>
      <c r="M86" s="253"/>
      <c r="N86" s="253"/>
      <c r="O86" s="253"/>
      <c r="P86" s="253"/>
      <c r="Q86" s="253"/>
      <c r="R86" s="253"/>
      <c r="S86" s="253"/>
      <c r="T86" s="253"/>
      <c r="U86" s="253"/>
      <c r="V86" s="253"/>
      <c r="W86" s="253"/>
      <c r="X86" s="253"/>
      <c r="Y86" s="253"/>
      <c r="Z86" s="253"/>
      <c r="AA86" s="253"/>
      <c r="AB86" s="253"/>
      <c r="AC86" s="253"/>
      <c r="AD86" s="253"/>
      <c r="AE86" s="253"/>
      <c r="AF86" s="253"/>
      <c r="AG86" s="253"/>
      <c r="AH86" s="253"/>
      <c r="AI86" s="253"/>
      <c r="AJ86" s="253"/>
      <c r="AK86" s="253"/>
      <c r="AL86" s="253"/>
      <c r="AM86" s="253"/>
      <c r="AN86" s="253"/>
      <c r="AO86" s="253"/>
      <c r="AP86" s="253"/>
      <c r="AQ86" s="253"/>
      <c r="AR86" s="253"/>
      <c r="AS86" s="253"/>
      <c r="AT86" s="253"/>
      <c r="AU86" s="253"/>
      <c r="AV86" s="253"/>
      <c r="AW86" s="253"/>
      <c r="AX86" s="253"/>
      <c r="AY86" s="253"/>
      <c r="AZ86" s="253"/>
      <c r="BA86" s="253"/>
      <c r="BB86" s="253"/>
      <c r="BC86" s="253"/>
      <c r="BD86" s="253"/>
      <c r="BE86" s="253"/>
      <c r="BF86" s="253"/>
      <c r="BG86" s="253"/>
      <c r="BH86" s="253"/>
      <c r="BI86" s="253"/>
      <c r="BJ86" s="253"/>
      <c r="BK86" s="253"/>
      <c r="BL86" s="253"/>
      <c r="BM86" s="253"/>
      <c r="BN86" s="253"/>
      <c r="BO86" s="253"/>
      <c r="BP86" s="253"/>
      <c r="BQ86" s="253"/>
      <c r="BR86" s="253"/>
      <c r="BS86" s="253"/>
      <c r="BT86" s="253"/>
      <c r="BU86" s="253"/>
      <c r="BV86" s="253"/>
      <c r="BW86" s="253"/>
      <c r="BX86" s="253"/>
      <c r="BY86" s="253"/>
      <c r="BZ86" s="253"/>
      <c r="CA86" s="253"/>
      <c r="CB86" s="253"/>
      <c r="CC86" s="253"/>
      <c r="CD86" s="253"/>
      <c r="CE86" s="253"/>
      <c r="CF86" s="253"/>
      <c r="CG86" s="253"/>
      <c r="CH86" s="253"/>
      <c r="CI86" s="253"/>
      <c r="CJ86" s="253"/>
      <c r="CK86" s="253"/>
      <c r="CL86" s="253"/>
      <c r="CM86" s="253"/>
      <c r="CN86" s="253"/>
      <c r="CO86" s="253"/>
      <c r="CP86" s="253"/>
      <c r="CQ86" s="253"/>
      <c r="CR86" s="253"/>
      <c r="CS86" s="253"/>
      <c r="CT86" s="253"/>
      <c r="CU86" s="253"/>
      <c r="CV86" s="253"/>
      <c r="CW86" s="253"/>
      <c r="CX86" s="253"/>
      <c r="CY86" s="253"/>
      <c r="CZ86" s="253"/>
      <c r="DA86" s="253"/>
      <c r="DB86" s="253"/>
      <c r="DC86" s="253"/>
      <c r="DD86" s="253"/>
      <c r="DE86" s="253"/>
      <c r="DF86" s="253"/>
      <c r="DG86" s="253"/>
      <c r="DH86" s="253"/>
      <c r="DI86" s="253"/>
      <c r="DJ86" s="253"/>
      <c r="DK86" s="253"/>
      <c r="DL86" s="253"/>
      <c r="DM86" s="253"/>
      <c r="DN86" s="253"/>
      <c r="DO86" s="253"/>
      <c r="DP86" s="253"/>
      <c r="DQ86" s="253"/>
      <c r="DR86" s="253"/>
      <c r="DS86" s="253"/>
      <c r="DT86" s="253"/>
      <c r="DU86" s="253"/>
      <c r="DV86" s="253"/>
      <c r="DW86" s="253"/>
      <c r="DX86" s="253"/>
      <c r="DY86" s="253"/>
      <c r="DZ86" s="253"/>
      <c r="EA86" s="253"/>
      <c r="EB86" s="253"/>
      <c r="EC86" s="253"/>
      <c r="ED86" s="253"/>
      <c r="EE86" s="253"/>
      <c r="EF86" s="253"/>
      <c r="EG86" s="253"/>
      <c r="EH86" s="253"/>
      <c r="EI86" s="253"/>
      <c r="EJ86" s="253"/>
      <c r="EK86" s="253"/>
      <c r="EL86" s="253"/>
      <c r="EM86" s="253"/>
      <c r="EN86" s="253"/>
      <c r="EO86" s="253"/>
      <c r="EP86" s="253"/>
      <c r="EQ86" s="253"/>
      <c r="ER86" s="253"/>
      <c r="ES86" s="253"/>
      <c r="ET86" s="253"/>
      <c r="EU86" s="253"/>
      <c r="EV86" s="253"/>
      <c r="EW86" s="253"/>
      <c r="EX86" s="253"/>
      <c r="EY86" s="253"/>
      <c r="EZ86" s="253"/>
      <c r="FA86" s="253"/>
      <c r="FB86" s="255">
        <f>150-150</f>
        <v>0</v>
      </c>
      <c r="FC86" s="253"/>
      <c r="FD86" s="253"/>
      <c r="FE86" s="253"/>
      <c r="FF86" s="253"/>
      <c r="FG86" s="253"/>
      <c r="FH86" s="253"/>
      <c r="FI86" s="253"/>
      <c r="FJ86" s="253"/>
      <c r="FK86" s="253"/>
      <c r="FL86" s="253"/>
      <c r="FM86" s="253"/>
      <c r="FN86" s="253"/>
      <c r="FO86" s="253"/>
      <c r="FP86" s="256"/>
      <c r="FQ86" s="257" t="s">
        <v>1322</v>
      </c>
      <c r="FR86" s="258" t="s">
        <v>389</v>
      </c>
      <c r="FS86" s="258" t="s">
        <v>438</v>
      </c>
      <c r="FT86" s="258" t="s">
        <v>439</v>
      </c>
      <c r="FU86" s="259">
        <f t="shared" si="2"/>
        <v>0</v>
      </c>
      <c r="FV86" s="260" t="s">
        <v>421</v>
      </c>
    </row>
    <row r="87" spans="1:178" s="260" customFormat="1">
      <c r="A87" s="251" t="s">
        <v>393</v>
      </c>
      <c r="B87" s="251" t="s">
        <v>385</v>
      </c>
      <c r="C87" s="251" t="s">
        <v>411</v>
      </c>
      <c r="D87" s="251" t="s">
        <v>291</v>
      </c>
      <c r="E87" s="252" t="s">
        <v>440</v>
      </c>
      <c r="F87" s="251" t="s">
        <v>388</v>
      </c>
      <c r="G87" s="251"/>
      <c r="H87" s="253"/>
      <c r="I87" s="253"/>
      <c r="J87" s="253"/>
      <c r="K87" s="253"/>
      <c r="L87" s="253"/>
      <c r="M87" s="253"/>
      <c r="N87" s="253"/>
      <c r="O87" s="253"/>
      <c r="P87" s="253"/>
      <c r="Q87" s="253"/>
      <c r="R87" s="253"/>
      <c r="S87" s="253"/>
      <c r="T87" s="253"/>
      <c r="U87" s="253"/>
      <c r="V87" s="253"/>
      <c r="W87" s="253"/>
      <c r="X87" s="253"/>
      <c r="Y87" s="253"/>
      <c r="Z87" s="253"/>
      <c r="AA87" s="253"/>
      <c r="AB87" s="253"/>
      <c r="AC87" s="253"/>
      <c r="AD87" s="253"/>
      <c r="AE87" s="253"/>
      <c r="AF87" s="253"/>
      <c r="AG87" s="253"/>
      <c r="AH87" s="253"/>
      <c r="AI87" s="253"/>
      <c r="AJ87" s="253"/>
      <c r="AK87" s="253"/>
      <c r="AL87" s="253"/>
      <c r="AM87" s="253"/>
      <c r="AN87" s="253"/>
      <c r="AO87" s="253"/>
      <c r="AP87" s="253"/>
      <c r="AQ87" s="253"/>
      <c r="AR87" s="253"/>
      <c r="AS87" s="253"/>
      <c r="AT87" s="253"/>
      <c r="AU87" s="253"/>
      <c r="AV87" s="253"/>
      <c r="AW87" s="253"/>
      <c r="AX87" s="253"/>
      <c r="AY87" s="253"/>
      <c r="AZ87" s="253"/>
      <c r="BA87" s="253"/>
      <c r="BB87" s="253"/>
      <c r="BC87" s="253"/>
      <c r="BD87" s="253"/>
      <c r="BE87" s="253"/>
      <c r="BF87" s="253"/>
      <c r="BG87" s="253"/>
      <c r="BH87" s="253"/>
      <c r="BI87" s="253"/>
      <c r="BJ87" s="253"/>
      <c r="BK87" s="253"/>
      <c r="BL87" s="253"/>
      <c r="BM87" s="253"/>
      <c r="BN87" s="253"/>
      <c r="BO87" s="253"/>
      <c r="BP87" s="253"/>
      <c r="BQ87" s="253"/>
      <c r="BR87" s="253"/>
      <c r="BS87" s="253"/>
      <c r="BT87" s="253"/>
      <c r="BU87" s="253"/>
      <c r="BV87" s="253"/>
      <c r="BW87" s="253"/>
      <c r="BX87" s="253"/>
      <c r="BY87" s="253"/>
      <c r="BZ87" s="253"/>
      <c r="CA87" s="253"/>
      <c r="CB87" s="253"/>
      <c r="CC87" s="253"/>
      <c r="CD87" s="253"/>
      <c r="CE87" s="253"/>
      <c r="CF87" s="253"/>
      <c r="CG87" s="253"/>
      <c r="CH87" s="253"/>
      <c r="CI87" s="253"/>
      <c r="CJ87" s="253"/>
      <c r="CK87" s="253"/>
      <c r="CL87" s="253"/>
      <c r="CM87" s="253"/>
      <c r="CN87" s="253"/>
      <c r="CO87" s="253"/>
      <c r="CP87" s="253"/>
      <c r="CQ87" s="253"/>
      <c r="CR87" s="253"/>
      <c r="CS87" s="253"/>
      <c r="CT87" s="253"/>
      <c r="CU87" s="253"/>
      <c r="CV87" s="253"/>
      <c r="CW87" s="253"/>
      <c r="CX87" s="253"/>
      <c r="CY87" s="253"/>
      <c r="CZ87" s="253"/>
      <c r="DA87" s="253"/>
      <c r="DB87" s="253"/>
      <c r="DC87" s="253"/>
      <c r="DD87" s="253"/>
      <c r="DE87" s="253"/>
      <c r="DF87" s="253"/>
      <c r="DG87" s="253"/>
      <c r="DH87" s="253"/>
      <c r="DI87" s="255">
        <f>410-410</f>
        <v>0</v>
      </c>
      <c r="DJ87" s="253"/>
      <c r="DK87" s="253"/>
      <c r="DL87" s="253"/>
      <c r="DM87" s="253"/>
      <c r="DN87" s="253"/>
      <c r="DO87" s="253"/>
      <c r="DP87" s="253"/>
      <c r="DQ87" s="253"/>
      <c r="DR87" s="253"/>
      <c r="DS87" s="253"/>
      <c r="DT87" s="253"/>
      <c r="DU87" s="253"/>
      <c r="DV87" s="253"/>
      <c r="DW87" s="253"/>
      <c r="DX87" s="255">
        <v>50</v>
      </c>
      <c r="DY87" s="253"/>
      <c r="DZ87" s="253"/>
      <c r="EA87" s="253"/>
      <c r="EB87" s="253"/>
      <c r="EC87" s="253"/>
      <c r="ED87" s="253"/>
      <c r="EE87" s="253"/>
      <c r="EF87" s="255">
        <f>500-500</f>
        <v>0</v>
      </c>
      <c r="EG87" s="255">
        <f>500-500</f>
        <v>0</v>
      </c>
      <c r="EH87" s="253"/>
      <c r="EI87" s="253"/>
      <c r="EJ87" s="255">
        <v>20</v>
      </c>
      <c r="EK87" s="253"/>
      <c r="EL87" s="253"/>
      <c r="EM87" s="253"/>
      <c r="EN87" s="253"/>
      <c r="EO87" s="253"/>
      <c r="EP87" s="253"/>
      <c r="EQ87" s="253"/>
      <c r="ER87" s="253"/>
      <c r="ES87" s="253"/>
      <c r="ET87" s="253"/>
      <c r="EU87" s="255">
        <f>500-500</f>
        <v>0</v>
      </c>
      <c r="EV87" s="255">
        <f>500-500</f>
        <v>0</v>
      </c>
      <c r="EW87" s="428">
        <v>20</v>
      </c>
      <c r="EX87" s="255">
        <v>20</v>
      </c>
      <c r="EY87" s="253"/>
      <c r="EZ87" s="253"/>
      <c r="FA87" s="253"/>
      <c r="FB87" s="253"/>
      <c r="FC87" s="253"/>
      <c r="FD87" s="255">
        <f>500-500</f>
        <v>0</v>
      </c>
      <c r="FE87" s="253"/>
      <c r="FF87" s="253"/>
      <c r="FG87" s="253"/>
      <c r="FH87" s="253"/>
      <c r="FI87" s="253"/>
      <c r="FJ87" s="253"/>
      <c r="FK87" s="253"/>
      <c r="FL87" s="253"/>
      <c r="FM87" s="253"/>
      <c r="FN87" s="253"/>
      <c r="FO87" s="253"/>
      <c r="FP87" s="256"/>
      <c r="FQ87" s="257" t="s">
        <v>1322</v>
      </c>
      <c r="FR87" s="258" t="s">
        <v>389</v>
      </c>
      <c r="FS87" s="258"/>
      <c r="FT87" s="258" t="s">
        <v>423</v>
      </c>
      <c r="FU87" s="259">
        <f t="shared" si="2"/>
        <v>110</v>
      </c>
      <c r="FV87" s="260" t="s">
        <v>424</v>
      </c>
    </row>
    <row r="88" spans="1:178" s="260" customFormat="1">
      <c r="A88" s="251" t="s">
        <v>393</v>
      </c>
      <c r="B88" s="251" t="s">
        <v>385</v>
      </c>
      <c r="C88" s="251" t="s">
        <v>411</v>
      </c>
      <c r="D88" s="251" t="s">
        <v>1</v>
      </c>
      <c r="E88" s="252" t="s">
        <v>440</v>
      </c>
      <c r="F88" s="251" t="s">
        <v>388</v>
      </c>
      <c r="G88" s="251"/>
      <c r="H88" s="253"/>
      <c r="I88" s="253"/>
      <c r="J88" s="255">
        <f>500-500</f>
        <v>0</v>
      </c>
      <c r="K88" s="255">
        <f>500-500</f>
        <v>0</v>
      </c>
      <c r="L88" s="255">
        <f>490-490</f>
        <v>0</v>
      </c>
      <c r="M88" s="253"/>
      <c r="N88" s="255">
        <f>500-500</f>
        <v>0</v>
      </c>
      <c r="O88" s="255">
        <f>500-500</f>
        <v>0</v>
      </c>
      <c r="P88" s="255">
        <f>500-500</f>
        <v>0</v>
      </c>
      <c r="Q88" s="253"/>
      <c r="R88" s="255">
        <f>496-496</f>
        <v>0</v>
      </c>
      <c r="S88" s="255">
        <f>500-500</f>
        <v>0</v>
      </c>
      <c r="T88" s="253"/>
      <c r="U88" s="255">
        <v>10</v>
      </c>
      <c r="V88" s="255">
        <v>0</v>
      </c>
      <c r="W88" s="255">
        <f>490-490</f>
        <v>0</v>
      </c>
      <c r="X88" s="253"/>
      <c r="Y88" s="253"/>
      <c r="Z88" s="253"/>
      <c r="AA88" s="255">
        <f>490-490</f>
        <v>0</v>
      </c>
      <c r="AB88" s="255">
        <f>490-490</f>
        <v>0</v>
      </c>
      <c r="AC88" s="255">
        <f>500-500</f>
        <v>0</v>
      </c>
      <c r="AD88" s="253"/>
      <c r="AE88" s="253"/>
      <c r="AF88" s="255">
        <f>500-500</f>
        <v>0</v>
      </c>
      <c r="AG88" s="255">
        <f>500-500</f>
        <v>0</v>
      </c>
      <c r="AH88" s="255">
        <f>500-500</f>
        <v>0</v>
      </c>
      <c r="AI88" s="253"/>
      <c r="AJ88" s="255">
        <f>500-500</f>
        <v>0</v>
      </c>
      <c r="AK88" s="255">
        <f>500-500</f>
        <v>0</v>
      </c>
      <c r="AL88" s="253"/>
      <c r="AM88" s="255">
        <f>500-500</f>
        <v>0</v>
      </c>
      <c r="AN88" s="255">
        <f>500-500</f>
        <v>0</v>
      </c>
      <c r="AO88" s="253"/>
      <c r="AP88" s="255">
        <f>500-500</f>
        <v>0</v>
      </c>
      <c r="AQ88" s="253"/>
      <c r="AR88" s="255">
        <f>500-500</f>
        <v>0</v>
      </c>
      <c r="AS88" s="253"/>
      <c r="AT88" s="253"/>
      <c r="AU88" s="255">
        <v>3</v>
      </c>
      <c r="AV88" s="253"/>
      <c r="AW88" s="253"/>
      <c r="AX88" s="253"/>
      <c r="AY88" s="253"/>
      <c r="AZ88" s="253"/>
      <c r="BA88" s="255">
        <f>96-96</f>
        <v>0</v>
      </c>
      <c r="BB88" s="255">
        <f>97-97</f>
        <v>0</v>
      </c>
      <c r="BC88" s="255">
        <f>90-90</f>
        <v>0</v>
      </c>
      <c r="BD88" s="255">
        <v>5</v>
      </c>
      <c r="BE88" s="255">
        <f>85-85</f>
        <v>0</v>
      </c>
      <c r="BF88" s="255">
        <f>500-500</f>
        <v>0</v>
      </c>
      <c r="BG88" s="255">
        <f>100-100</f>
        <v>0</v>
      </c>
      <c r="BH88" s="255">
        <f>100-100</f>
        <v>0</v>
      </c>
      <c r="BI88" s="253"/>
      <c r="BJ88" s="253"/>
      <c r="BK88" s="255">
        <f t="shared" ref="BK88:BV88" si="3">500-500</f>
        <v>0</v>
      </c>
      <c r="BL88" s="255">
        <f t="shared" si="3"/>
        <v>0</v>
      </c>
      <c r="BM88" s="255">
        <f t="shared" si="3"/>
        <v>0</v>
      </c>
      <c r="BN88" s="255">
        <f t="shared" si="3"/>
        <v>0</v>
      </c>
      <c r="BO88" s="255">
        <f t="shared" si="3"/>
        <v>0</v>
      </c>
      <c r="BP88" s="255">
        <f t="shared" si="3"/>
        <v>0</v>
      </c>
      <c r="BQ88" s="255">
        <f t="shared" si="3"/>
        <v>0</v>
      </c>
      <c r="BR88" s="255">
        <f t="shared" si="3"/>
        <v>0</v>
      </c>
      <c r="BS88" s="255">
        <f t="shared" si="3"/>
        <v>0</v>
      </c>
      <c r="BT88" s="255">
        <f t="shared" si="3"/>
        <v>0</v>
      </c>
      <c r="BU88" s="255">
        <f t="shared" si="3"/>
        <v>0</v>
      </c>
      <c r="BV88" s="255">
        <f t="shared" si="3"/>
        <v>0</v>
      </c>
      <c r="BW88" s="253"/>
      <c r="BX88" s="253"/>
      <c r="BY88" s="253"/>
      <c r="BZ88" s="253"/>
      <c r="CA88" s="253"/>
      <c r="CB88" s="253"/>
      <c r="CC88" s="255">
        <v>6</v>
      </c>
      <c r="CD88" s="255">
        <v>10</v>
      </c>
      <c r="CE88" s="255"/>
      <c r="CF88" s="255">
        <f>490-490</f>
        <v>0</v>
      </c>
      <c r="CG88" s="255">
        <v>10</v>
      </c>
      <c r="CH88" s="255">
        <v>10</v>
      </c>
      <c r="CI88" s="255">
        <v>10</v>
      </c>
      <c r="CJ88" s="255">
        <f>500-500</f>
        <v>0</v>
      </c>
      <c r="CK88" s="255">
        <f>490-490</f>
        <v>0</v>
      </c>
      <c r="CL88" s="255">
        <f>500-500</f>
        <v>0</v>
      </c>
      <c r="CM88" s="255">
        <v>20</v>
      </c>
      <c r="CN88" s="255">
        <v>20</v>
      </c>
      <c r="CO88" s="255">
        <v>10</v>
      </c>
      <c r="CP88" s="255">
        <f>490-490</f>
        <v>0</v>
      </c>
      <c r="CQ88" s="255">
        <f>480-480</f>
        <v>0</v>
      </c>
      <c r="CR88" s="255">
        <f>495-495</f>
        <v>0</v>
      </c>
      <c r="CS88" s="255">
        <f>500-500</f>
        <v>0</v>
      </c>
      <c r="CT88" s="255">
        <f>497-497</f>
        <v>0</v>
      </c>
      <c r="CU88" s="255">
        <f>500-500</f>
        <v>0</v>
      </c>
      <c r="CV88" s="255">
        <f>498-498</f>
        <v>0</v>
      </c>
      <c r="CW88" s="255">
        <f>500-500</f>
        <v>0</v>
      </c>
      <c r="CX88" s="255">
        <f>500-500</f>
        <v>0</v>
      </c>
      <c r="CY88" s="253"/>
      <c r="CZ88" s="255">
        <f>498-498</f>
        <v>0</v>
      </c>
      <c r="DA88" s="255">
        <f>470-470</f>
        <v>0</v>
      </c>
      <c r="DB88" s="255">
        <v>30</v>
      </c>
      <c r="DC88" s="255">
        <f>495-495</f>
        <v>0</v>
      </c>
      <c r="DD88" s="255">
        <f>480-480</f>
        <v>0</v>
      </c>
      <c r="DE88" s="255">
        <f>500-500</f>
        <v>0</v>
      </c>
      <c r="DF88" s="253"/>
      <c r="DG88" s="253"/>
      <c r="DH88" s="253"/>
      <c r="DI88" s="253"/>
      <c r="DJ88" s="253"/>
      <c r="DK88" s="253"/>
      <c r="DL88" s="255">
        <f>440-440</f>
        <v>0</v>
      </c>
      <c r="DM88" s="253"/>
      <c r="DN88" s="253"/>
      <c r="DO88" s="253"/>
      <c r="DP88" s="253"/>
      <c r="DQ88" s="253"/>
      <c r="DR88" s="253"/>
      <c r="DS88" s="253"/>
      <c r="DT88" s="253"/>
      <c r="DU88" s="255">
        <f>490-490</f>
        <v>0</v>
      </c>
      <c r="DV88" s="253"/>
      <c r="DW88" s="253"/>
      <c r="DX88" s="253"/>
      <c r="DY88" s="253"/>
      <c r="DZ88" s="253"/>
      <c r="EA88" s="253"/>
      <c r="EB88" s="255">
        <f>420-420</f>
        <v>0</v>
      </c>
      <c r="EC88" s="253"/>
      <c r="ED88" s="255">
        <f>500-500</f>
        <v>0</v>
      </c>
      <c r="EE88" s="255">
        <f>500-500</f>
        <v>0</v>
      </c>
      <c r="EF88" s="253"/>
      <c r="EG88" s="253"/>
      <c r="EH88" s="255">
        <f>490-490</f>
        <v>0</v>
      </c>
      <c r="EI88" s="253"/>
      <c r="EJ88" s="253"/>
      <c r="EK88" s="427">
        <v>30</v>
      </c>
      <c r="EL88" s="255">
        <v>40</v>
      </c>
      <c r="EM88" s="255">
        <f>500-500</f>
        <v>0</v>
      </c>
      <c r="EN88" s="255">
        <f>500-500</f>
        <v>0</v>
      </c>
      <c r="EO88" s="255">
        <f>500-500</f>
        <v>0</v>
      </c>
      <c r="EP88" s="253"/>
      <c r="EQ88" s="255">
        <f>420-420</f>
        <v>0</v>
      </c>
      <c r="ER88" s="255">
        <v>40</v>
      </c>
      <c r="ES88" s="255">
        <f>500-500</f>
        <v>0</v>
      </c>
      <c r="ET88" s="255">
        <f>500-500</f>
        <v>0</v>
      </c>
      <c r="EU88" s="253"/>
      <c r="EV88" s="253"/>
      <c r="EX88" s="253"/>
      <c r="EY88" s="253">
        <v>40</v>
      </c>
      <c r="EZ88" s="253"/>
      <c r="FA88" s="253"/>
      <c r="FB88" s="253"/>
      <c r="FC88" s="253"/>
      <c r="FD88" s="253"/>
      <c r="FE88" s="253"/>
      <c r="FF88" s="253"/>
      <c r="FG88" s="253"/>
      <c r="FH88" s="253"/>
      <c r="FI88" s="253"/>
      <c r="FJ88" s="253"/>
      <c r="FK88" s="253"/>
      <c r="FL88" s="253"/>
      <c r="FM88" s="253"/>
      <c r="FN88" s="253"/>
      <c r="FO88" s="253"/>
      <c r="FP88" s="256"/>
      <c r="FQ88" s="257" t="s">
        <v>1322</v>
      </c>
      <c r="FR88" s="258" t="s">
        <v>389</v>
      </c>
      <c r="FS88" s="258"/>
      <c r="FT88" s="258" t="s">
        <v>423</v>
      </c>
      <c r="FU88" s="259">
        <f t="shared" si="2"/>
        <v>294</v>
      </c>
      <c r="FV88" s="260" t="s">
        <v>424</v>
      </c>
    </row>
    <row r="89" spans="1:178" s="260" customFormat="1">
      <c r="A89" s="251" t="s">
        <v>393</v>
      </c>
      <c r="B89" s="251" t="s">
        <v>385</v>
      </c>
      <c r="C89" s="251" t="s">
        <v>411</v>
      </c>
      <c r="D89" s="251" t="s">
        <v>293</v>
      </c>
      <c r="E89" s="252" t="s">
        <v>440</v>
      </c>
      <c r="F89" s="251" t="s">
        <v>388</v>
      </c>
      <c r="G89" s="251"/>
      <c r="H89" s="253"/>
      <c r="I89" s="255">
        <f>500-500</f>
        <v>0</v>
      </c>
      <c r="J89" s="253"/>
      <c r="K89" s="253"/>
      <c r="L89" s="253"/>
      <c r="M89" s="255">
        <f>500-500</f>
        <v>0</v>
      </c>
      <c r="N89" s="253"/>
      <c r="O89" s="253"/>
      <c r="P89" s="253"/>
      <c r="Q89" s="255">
        <f>500-500</f>
        <v>0</v>
      </c>
      <c r="R89" s="253"/>
      <c r="S89" s="253"/>
      <c r="T89" s="255">
        <f>500-500</f>
        <v>0</v>
      </c>
      <c r="U89" s="253"/>
      <c r="V89" s="253"/>
      <c r="W89" s="253"/>
      <c r="X89" s="253"/>
      <c r="Y89" s="253"/>
      <c r="Z89" s="253"/>
      <c r="AA89" s="253"/>
      <c r="AB89" s="253"/>
      <c r="AC89" s="253"/>
      <c r="AD89" s="253"/>
      <c r="AE89" s="253"/>
      <c r="AF89" s="253"/>
      <c r="AG89" s="253"/>
      <c r="AH89" s="253"/>
      <c r="AI89" s="253"/>
      <c r="AJ89" s="253"/>
      <c r="AK89" s="253"/>
      <c r="AL89" s="253"/>
      <c r="AM89" s="253"/>
      <c r="AN89" s="253"/>
      <c r="AO89" s="253"/>
      <c r="AP89" s="253"/>
      <c r="AQ89" s="253"/>
      <c r="AR89" s="253"/>
      <c r="AS89" s="253"/>
      <c r="AT89" s="253"/>
      <c r="AU89" s="253"/>
      <c r="AV89" s="253"/>
      <c r="AW89" s="253"/>
      <c r="AX89" s="253"/>
      <c r="AY89" s="253"/>
      <c r="AZ89" s="253"/>
      <c r="BA89" s="253"/>
      <c r="BB89" s="253"/>
      <c r="BC89" s="253"/>
      <c r="BD89" s="253"/>
      <c r="BE89" s="253"/>
      <c r="BF89" s="253"/>
      <c r="BG89" s="253"/>
      <c r="BH89" s="253"/>
      <c r="BI89" s="253"/>
      <c r="BJ89" s="253"/>
      <c r="BK89" s="253"/>
      <c r="BL89" s="253"/>
      <c r="BM89" s="253"/>
      <c r="BN89" s="253"/>
      <c r="BO89" s="253"/>
      <c r="BP89" s="253"/>
      <c r="BQ89" s="253"/>
      <c r="BR89" s="253"/>
      <c r="BS89" s="253"/>
      <c r="BT89" s="253"/>
      <c r="BU89" s="253"/>
      <c r="BV89" s="253"/>
      <c r="BW89" s="253"/>
      <c r="BX89" s="253"/>
      <c r="BY89" s="253"/>
      <c r="BZ89" s="253"/>
      <c r="CA89" s="253"/>
      <c r="CB89" s="253"/>
      <c r="CC89" s="253"/>
      <c r="CD89" s="253"/>
      <c r="CE89" s="428">
        <v>10</v>
      </c>
      <c r="CF89" s="253"/>
      <c r="CG89" s="253"/>
      <c r="CH89" s="253"/>
      <c r="CI89" s="253"/>
      <c r="CJ89" s="253"/>
      <c r="CK89" s="253"/>
      <c r="CL89" s="253"/>
      <c r="CM89" s="253"/>
      <c r="CN89" s="253"/>
      <c r="CO89" s="253"/>
      <c r="CP89" s="253"/>
      <c r="CQ89" s="253"/>
      <c r="CR89" s="253"/>
      <c r="CS89" s="253"/>
      <c r="CT89" s="253"/>
      <c r="CU89" s="253"/>
      <c r="CV89" s="253"/>
      <c r="CW89" s="253"/>
      <c r="CX89" s="253"/>
      <c r="CY89" s="253"/>
      <c r="CZ89" s="253"/>
      <c r="DA89" s="253"/>
      <c r="DB89" s="253"/>
      <c r="DC89" s="253"/>
      <c r="DD89" s="253"/>
      <c r="DE89" s="253"/>
      <c r="DF89" s="253"/>
      <c r="DG89" s="253"/>
      <c r="DH89" s="253"/>
      <c r="DI89" s="253"/>
      <c r="DJ89" s="253"/>
      <c r="DK89" s="253"/>
      <c r="DL89" s="253"/>
      <c r="DM89" s="253"/>
      <c r="DN89" s="253"/>
      <c r="DO89" s="253"/>
      <c r="DP89" s="253"/>
      <c r="DQ89" s="253"/>
      <c r="DR89" s="253"/>
      <c r="DS89" s="253"/>
      <c r="DT89" s="253"/>
      <c r="DU89" s="253"/>
      <c r="DV89" s="253"/>
      <c r="DW89" s="253"/>
      <c r="DX89" s="253"/>
      <c r="DY89" s="253"/>
      <c r="DZ89" s="253"/>
      <c r="EA89" s="253"/>
      <c r="EB89" s="253"/>
      <c r="EC89" s="253"/>
      <c r="ED89" s="253"/>
      <c r="EE89" s="253"/>
      <c r="EF89" s="253"/>
      <c r="EG89" s="253"/>
      <c r="EH89" s="253"/>
      <c r="EI89" s="253"/>
      <c r="EJ89" s="253"/>
      <c r="EK89" s="253"/>
      <c r="EL89" s="253"/>
      <c r="EM89" s="253"/>
      <c r="EN89" s="253"/>
      <c r="EO89" s="253"/>
      <c r="EP89" s="253"/>
      <c r="EQ89" s="253"/>
      <c r="ER89" s="253"/>
      <c r="ES89" s="253"/>
      <c r="ET89" s="253"/>
      <c r="EU89" s="253"/>
      <c r="EV89" s="253"/>
      <c r="EW89" s="253"/>
      <c r="EX89" s="253"/>
      <c r="EY89" s="253"/>
      <c r="EZ89" s="253"/>
      <c r="FA89" s="253"/>
      <c r="FB89" s="253"/>
      <c r="FC89" s="253"/>
      <c r="FD89" s="253"/>
      <c r="FE89" s="253"/>
      <c r="FF89" s="253"/>
      <c r="FG89" s="253"/>
      <c r="FH89" s="253"/>
      <c r="FI89" s="253"/>
      <c r="FJ89" s="253"/>
      <c r="FK89" s="253"/>
      <c r="FL89" s="253"/>
      <c r="FM89" s="253"/>
      <c r="FN89" s="253"/>
      <c r="FO89" s="253"/>
      <c r="FP89" s="256"/>
      <c r="FQ89" s="257" t="s">
        <v>1322</v>
      </c>
      <c r="FR89" s="258" t="s">
        <v>389</v>
      </c>
      <c r="FS89" s="258"/>
      <c r="FT89" s="258" t="s">
        <v>423</v>
      </c>
      <c r="FU89" s="259">
        <f t="shared" si="2"/>
        <v>10</v>
      </c>
      <c r="FV89" s="260" t="s">
        <v>424</v>
      </c>
    </row>
    <row r="90" spans="1:178" s="260" customFormat="1">
      <c r="A90" s="251" t="s">
        <v>393</v>
      </c>
      <c r="B90" s="251" t="s">
        <v>385</v>
      </c>
      <c r="C90" s="251" t="s">
        <v>411</v>
      </c>
      <c r="D90" s="251" t="s">
        <v>291</v>
      </c>
      <c r="E90" s="252" t="s">
        <v>441</v>
      </c>
      <c r="F90" s="251" t="s">
        <v>388</v>
      </c>
      <c r="G90" s="251"/>
      <c r="H90" s="253"/>
      <c r="I90" s="253"/>
      <c r="J90" s="253"/>
      <c r="K90" s="253"/>
      <c r="L90" s="253"/>
      <c r="M90" s="253"/>
      <c r="N90" s="253"/>
      <c r="O90" s="253"/>
      <c r="P90" s="253"/>
      <c r="Q90" s="253"/>
      <c r="R90" s="253"/>
      <c r="S90" s="253"/>
      <c r="T90" s="253"/>
      <c r="U90" s="253"/>
      <c r="V90" s="253"/>
      <c r="W90" s="253"/>
      <c r="X90" s="253"/>
      <c r="Y90" s="253"/>
      <c r="Z90" s="253"/>
      <c r="AA90" s="253"/>
      <c r="AB90" s="253"/>
      <c r="AC90" s="253"/>
      <c r="AD90" s="253"/>
      <c r="AE90" s="253"/>
      <c r="AF90" s="253"/>
      <c r="AG90" s="253"/>
      <c r="AH90" s="253"/>
      <c r="AI90" s="253"/>
      <c r="AJ90" s="253"/>
      <c r="AK90" s="253"/>
      <c r="AL90" s="253"/>
      <c r="AM90" s="253"/>
      <c r="AN90" s="253"/>
      <c r="AO90" s="253"/>
      <c r="AP90" s="253"/>
      <c r="AQ90" s="253"/>
      <c r="AR90" s="253"/>
      <c r="AS90" s="253"/>
      <c r="AT90" s="253"/>
      <c r="AU90" s="253"/>
      <c r="AV90" s="253"/>
      <c r="AW90" s="253"/>
      <c r="AX90" s="253"/>
      <c r="AY90" s="253"/>
      <c r="AZ90" s="253"/>
      <c r="BA90" s="253"/>
      <c r="BB90" s="253"/>
      <c r="BC90" s="253"/>
      <c r="BD90" s="253"/>
      <c r="BE90" s="253"/>
      <c r="BF90" s="253"/>
      <c r="BG90" s="253"/>
      <c r="BH90" s="253"/>
      <c r="BI90" s="253"/>
      <c r="BJ90" s="253"/>
      <c r="BK90" s="253"/>
      <c r="BL90" s="253"/>
      <c r="BM90" s="253"/>
      <c r="BN90" s="253"/>
      <c r="BO90" s="253"/>
      <c r="BP90" s="253"/>
      <c r="BQ90" s="253"/>
      <c r="BR90" s="253"/>
      <c r="BS90" s="253"/>
      <c r="BT90" s="253"/>
      <c r="BU90" s="253"/>
      <c r="BV90" s="253"/>
      <c r="BW90" s="253"/>
      <c r="BX90" s="253"/>
      <c r="BY90" s="253"/>
      <c r="BZ90" s="253"/>
      <c r="CA90" s="253"/>
      <c r="CB90" s="253"/>
      <c r="CC90" s="253"/>
      <c r="CD90" s="253"/>
      <c r="CE90" s="253"/>
      <c r="CF90" s="253"/>
      <c r="CG90" s="253"/>
      <c r="CH90" s="253"/>
      <c r="CI90" s="253"/>
      <c r="CJ90" s="253"/>
      <c r="CK90" s="253"/>
      <c r="CL90" s="253"/>
      <c r="CM90" s="253"/>
      <c r="CN90" s="253"/>
      <c r="CO90" s="253"/>
      <c r="CP90" s="253"/>
      <c r="CQ90" s="253"/>
      <c r="CR90" s="253"/>
      <c r="CS90" s="253"/>
      <c r="CT90" s="253"/>
      <c r="CU90" s="253"/>
      <c r="CV90" s="253"/>
      <c r="CW90" s="253"/>
      <c r="CX90" s="253"/>
      <c r="CY90" s="253"/>
      <c r="CZ90" s="253"/>
      <c r="DA90" s="253"/>
      <c r="DB90" s="253"/>
      <c r="DC90" s="253"/>
      <c r="DD90" s="253"/>
      <c r="DE90" s="253"/>
      <c r="DF90" s="253"/>
      <c r="DG90" s="253"/>
      <c r="DH90" s="253"/>
      <c r="DI90" s="255">
        <f>300-300</f>
        <v>0</v>
      </c>
      <c r="DJ90" s="253"/>
      <c r="DK90" s="253"/>
      <c r="DL90" s="253"/>
      <c r="DM90" s="253"/>
      <c r="DN90" s="253"/>
      <c r="DO90" s="253"/>
      <c r="DP90" s="253"/>
      <c r="DQ90" s="253"/>
      <c r="DR90" s="253"/>
      <c r="DS90" s="253"/>
      <c r="DT90" s="253"/>
      <c r="DU90" s="253"/>
      <c r="DV90" s="253"/>
      <c r="DW90" s="253"/>
      <c r="DX90" s="255">
        <v>40</v>
      </c>
      <c r="DY90" s="253"/>
      <c r="DZ90" s="253"/>
      <c r="EA90" s="253"/>
      <c r="EB90" s="253"/>
      <c r="EC90" s="253"/>
      <c r="ED90" s="253"/>
      <c r="EE90" s="253"/>
      <c r="EF90" s="255">
        <f>300-300</f>
        <v>0</v>
      </c>
      <c r="EG90" s="255">
        <f>300-300</f>
        <v>0</v>
      </c>
      <c r="EH90" s="253"/>
      <c r="EI90" s="253"/>
      <c r="EJ90" s="255">
        <v>10</v>
      </c>
      <c r="EK90" s="253"/>
      <c r="EL90" s="253"/>
      <c r="EM90" s="253"/>
      <c r="EN90" s="253"/>
      <c r="EO90" s="253"/>
      <c r="EP90" s="253"/>
      <c r="EQ90" s="253"/>
      <c r="ER90" s="253"/>
      <c r="ES90" s="253"/>
      <c r="ET90" s="253"/>
      <c r="EU90" s="255">
        <f>100-100</f>
        <v>0</v>
      </c>
      <c r="EV90" s="255">
        <f>20-20</f>
        <v>0</v>
      </c>
      <c r="EW90" s="428">
        <v>20</v>
      </c>
      <c r="EX90" s="255">
        <f>50-50</f>
        <v>0</v>
      </c>
      <c r="EY90" s="253"/>
      <c r="EZ90" s="253"/>
      <c r="FA90" s="253"/>
      <c r="FB90" s="253"/>
      <c r="FC90" s="253"/>
      <c r="FD90" s="253"/>
      <c r="FE90" s="253"/>
      <c r="FF90" s="253"/>
      <c r="FG90" s="253"/>
      <c r="FH90" s="253"/>
      <c r="FI90" s="253"/>
      <c r="FJ90" s="253"/>
      <c r="FK90" s="253"/>
      <c r="FL90" s="253"/>
      <c r="FM90" s="253"/>
      <c r="FN90" s="253"/>
      <c r="FO90" s="253"/>
      <c r="FP90" s="256"/>
      <c r="FQ90" s="257" t="s">
        <v>1322</v>
      </c>
      <c r="FR90" s="258" t="s">
        <v>389</v>
      </c>
      <c r="FS90" s="258"/>
      <c r="FT90" s="258" t="s">
        <v>423</v>
      </c>
      <c r="FU90" s="259">
        <f t="shared" si="2"/>
        <v>70</v>
      </c>
      <c r="FV90" s="260" t="s">
        <v>424</v>
      </c>
    </row>
    <row r="91" spans="1:178" s="260" customFormat="1">
      <c r="A91" s="251" t="s">
        <v>393</v>
      </c>
      <c r="B91" s="251" t="s">
        <v>385</v>
      </c>
      <c r="C91" s="251" t="s">
        <v>411</v>
      </c>
      <c r="D91" s="251" t="s">
        <v>1</v>
      </c>
      <c r="E91" s="252" t="s">
        <v>441</v>
      </c>
      <c r="F91" s="251" t="s">
        <v>388</v>
      </c>
      <c r="G91" s="251"/>
      <c r="H91" s="253"/>
      <c r="I91" s="253"/>
      <c r="J91" s="253"/>
      <c r="K91" s="255">
        <f>20-20</f>
        <v>0</v>
      </c>
      <c r="L91" s="255">
        <f>20-20</f>
        <v>0</v>
      </c>
      <c r="M91" s="253"/>
      <c r="N91" s="255">
        <f>30-30</f>
        <v>0</v>
      </c>
      <c r="O91" s="255">
        <f>30-30</f>
        <v>0</v>
      </c>
      <c r="P91" s="255">
        <f>30-30</f>
        <v>0</v>
      </c>
      <c r="Q91" s="253"/>
      <c r="R91" s="255">
        <f>30-30</f>
        <v>0</v>
      </c>
      <c r="S91" s="255">
        <f>30-30</f>
        <v>0</v>
      </c>
      <c r="T91" s="253"/>
      <c r="U91" s="253"/>
      <c r="V91" s="255">
        <v>10</v>
      </c>
      <c r="W91" s="253"/>
      <c r="X91" s="253"/>
      <c r="Y91" s="253"/>
      <c r="Z91" s="253"/>
      <c r="AA91" s="255">
        <f>50-50</f>
        <v>0</v>
      </c>
      <c r="AB91" s="255">
        <f>50-50</f>
        <v>0</v>
      </c>
      <c r="AC91" s="255">
        <f>50-50</f>
        <v>0</v>
      </c>
      <c r="AD91" s="255">
        <f>50-50</f>
        <v>0</v>
      </c>
      <c r="AE91" s="255">
        <f>50-50</f>
        <v>0</v>
      </c>
      <c r="AF91" s="253"/>
      <c r="AG91" s="253"/>
      <c r="AH91" s="253"/>
      <c r="AI91" s="253"/>
      <c r="AJ91" s="255">
        <f>100-100</f>
        <v>0</v>
      </c>
      <c r="AK91" s="255">
        <f>50-50</f>
        <v>0</v>
      </c>
      <c r="AL91" s="253"/>
      <c r="AM91" s="255">
        <f>50-50</f>
        <v>0</v>
      </c>
      <c r="AN91" s="255">
        <f>50-50</f>
        <v>0</v>
      </c>
      <c r="AO91" s="253"/>
      <c r="AP91" s="253"/>
      <c r="AQ91" s="253"/>
      <c r="AR91" s="253"/>
      <c r="AS91" s="253"/>
      <c r="AT91" s="253"/>
      <c r="AU91" s="253">
        <v>2</v>
      </c>
      <c r="AV91" s="253"/>
      <c r="AW91" s="253"/>
      <c r="AX91" s="253"/>
      <c r="AY91" s="253"/>
      <c r="AZ91" s="253"/>
      <c r="BA91" s="253"/>
      <c r="BB91" s="253"/>
      <c r="BC91" s="253"/>
      <c r="BD91" s="255">
        <f>50-50</f>
        <v>0</v>
      </c>
      <c r="BE91" s="255">
        <f>20-20</f>
        <v>0</v>
      </c>
      <c r="BF91" s="255">
        <f>10-10</f>
        <v>0</v>
      </c>
      <c r="BG91" s="255">
        <f>20-20</f>
        <v>0</v>
      </c>
      <c r="BH91" s="255">
        <f>20-20</f>
        <v>0</v>
      </c>
      <c r="BI91" s="253"/>
      <c r="BJ91" s="253"/>
      <c r="BK91" s="253"/>
      <c r="BL91" s="253"/>
      <c r="BM91" s="253"/>
      <c r="BN91" s="253"/>
      <c r="BO91" s="253"/>
      <c r="BP91" s="253"/>
      <c r="BQ91" s="253">
        <v>10</v>
      </c>
      <c r="BR91" s="253"/>
      <c r="BS91" s="253"/>
      <c r="BT91" s="253"/>
      <c r="BU91" s="253"/>
      <c r="BV91" s="253"/>
      <c r="BW91" s="253"/>
      <c r="BX91" s="253"/>
      <c r="BY91" s="253"/>
      <c r="BZ91" s="253"/>
      <c r="CA91" s="253"/>
      <c r="CB91" s="253"/>
      <c r="CC91" s="253"/>
      <c r="CD91" s="253"/>
      <c r="CE91" s="255"/>
      <c r="CF91" s="255">
        <f>100-100</f>
        <v>0</v>
      </c>
      <c r="CG91" s="253"/>
      <c r="CH91" s="255">
        <v>10</v>
      </c>
      <c r="CI91" s="255">
        <f>100-100</f>
        <v>0</v>
      </c>
      <c r="CJ91" s="255">
        <f>100-100</f>
        <v>0</v>
      </c>
      <c r="CK91" s="255">
        <f>100-100</f>
        <v>0</v>
      </c>
      <c r="CL91" s="253">
        <v>10</v>
      </c>
      <c r="CM91" s="255">
        <v>10</v>
      </c>
      <c r="CN91" s="255">
        <v>10</v>
      </c>
      <c r="CO91" s="255">
        <f>200-200</f>
        <v>0</v>
      </c>
      <c r="CP91" s="255">
        <f>200-200</f>
        <v>0</v>
      </c>
      <c r="CQ91" s="255">
        <f>200-200</f>
        <v>0</v>
      </c>
      <c r="CR91" s="255">
        <f>300-300</f>
        <v>0</v>
      </c>
      <c r="CS91" s="253"/>
      <c r="CT91" s="255">
        <f>300-300</f>
        <v>0</v>
      </c>
      <c r="CU91" s="255">
        <f>300-300</f>
        <v>0</v>
      </c>
      <c r="CV91" s="255">
        <f>300-300</f>
        <v>0</v>
      </c>
      <c r="CW91" s="255">
        <f>300-300</f>
        <v>0</v>
      </c>
      <c r="CX91" s="253"/>
      <c r="CY91" s="253"/>
      <c r="CZ91" s="255">
        <f>300-300</f>
        <v>0</v>
      </c>
      <c r="DA91" s="427">
        <v>10</v>
      </c>
      <c r="DB91" s="255">
        <v>10</v>
      </c>
      <c r="DC91" s="255">
        <f>300-300</f>
        <v>0</v>
      </c>
      <c r="DD91" s="255">
        <f>300-300</f>
        <v>0</v>
      </c>
      <c r="DE91" s="255">
        <f>300-300</f>
        <v>0</v>
      </c>
      <c r="DF91" s="253"/>
      <c r="DG91" s="253"/>
      <c r="DH91" s="253"/>
      <c r="DI91" s="253"/>
      <c r="DJ91" s="253"/>
      <c r="DK91" s="253"/>
      <c r="DL91" s="255">
        <f>200-200</f>
        <v>0</v>
      </c>
      <c r="DM91" s="253"/>
      <c r="DN91" s="253"/>
      <c r="DO91" s="253"/>
      <c r="DP91" s="253"/>
      <c r="DQ91" s="253"/>
      <c r="DR91" s="253"/>
      <c r="DS91" s="253"/>
      <c r="DT91" s="253"/>
      <c r="DU91" s="255">
        <f>500-500</f>
        <v>0</v>
      </c>
      <c r="DV91" s="253"/>
      <c r="DW91" s="253"/>
      <c r="DX91" s="253"/>
      <c r="DY91" s="253"/>
      <c r="DZ91" s="253"/>
      <c r="EA91" s="253"/>
      <c r="EB91" s="255">
        <f>100-100</f>
        <v>0</v>
      </c>
      <c r="EC91" s="253"/>
      <c r="ED91" s="253"/>
      <c r="EE91" s="255">
        <f>100-100</f>
        <v>0</v>
      </c>
      <c r="EF91" s="253"/>
      <c r="EG91" s="253"/>
      <c r="EH91" s="255">
        <f>100-100</f>
        <v>0</v>
      </c>
      <c r="EI91" s="255">
        <f>200-200</f>
        <v>0</v>
      </c>
      <c r="EJ91" s="253"/>
      <c r="EK91" s="427">
        <v>20</v>
      </c>
      <c r="EL91" s="255">
        <f>100-100</f>
        <v>0</v>
      </c>
      <c r="EM91" s="255">
        <f>100-100</f>
        <v>0</v>
      </c>
      <c r="EN91" s="255">
        <f>100-100</f>
        <v>0</v>
      </c>
      <c r="EO91" s="255">
        <f>100-100</f>
        <v>0</v>
      </c>
      <c r="EP91" s="253"/>
      <c r="EQ91" s="255">
        <f>100-100</f>
        <v>0</v>
      </c>
      <c r="ER91" s="255">
        <v>20</v>
      </c>
      <c r="ES91" s="255">
        <f>20-20</f>
        <v>0</v>
      </c>
      <c r="ET91" s="253"/>
      <c r="EU91" s="253"/>
      <c r="EV91" s="253"/>
      <c r="EX91" s="253"/>
      <c r="EY91" s="255">
        <f>50-50</f>
        <v>0</v>
      </c>
      <c r="EZ91" s="253"/>
      <c r="FA91" s="253"/>
      <c r="FB91" s="253"/>
      <c r="FC91" s="253"/>
      <c r="FD91" s="253"/>
      <c r="FE91" s="253"/>
      <c r="FF91" s="253"/>
      <c r="FG91" s="253"/>
      <c r="FH91" s="253"/>
      <c r="FI91" s="253"/>
      <c r="FJ91" s="253"/>
      <c r="FK91" s="253"/>
      <c r="FL91" s="253"/>
      <c r="FM91" s="253"/>
      <c r="FN91" s="253"/>
      <c r="FO91" s="253"/>
      <c r="FP91" s="256"/>
      <c r="FQ91" s="257" t="s">
        <v>1322</v>
      </c>
      <c r="FR91" s="258" t="s">
        <v>389</v>
      </c>
      <c r="FS91" s="258"/>
      <c r="FT91" s="258" t="s">
        <v>423</v>
      </c>
      <c r="FU91" s="259">
        <f t="shared" si="2"/>
        <v>122</v>
      </c>
      <c r="FV91" s="260" t="s">
        <v>424</v>
      </c>
    </row>
    <row r="92" spans="1:178" s="260" customFormat="1">
      <c r="A92" s="251" t="s">
        <v>393</v>
      </c>
      <c r="B92" s="251" t="s">
        <v>385</v>
      </c>
      <c r="C92" s="251" t="s">
        <v>411</v>
      </c>
      <c r="D92" s="251" t="s">
        <v>293</v>
      </c>
      <c r="E92" s="252" t="s">
        <v>441</v>
      </c>
      <c r="F92" s="251" t="s">
        <v>388</v>
      </c>
      <c r="G92" s="251"/>
      <c r="H92" s="253"/>
      <c r="I92" s="255">
        <f>20-20</f>
        <v>0</v>
      </c>
      <c r="J92" s="253"/>
      <c r="K92" s="253"/>
      <c r="L92" s="253"/>
      <c r="M92" s="255">
        <f>30-30</f>
        <v>0</v>
      </c>
      <c r="N92" s="253"/>
      <c r="O92" s="253"/>
      <c r="P92" s="253"/>
      <c r="Q92" s="255">
        <f>30-30</f>
        <v>0</v>
      </c>
      <c r="R92" s="253"/>
      <c r="S92" s="253"/>
      <c r="T92" s="253"/>
      <c r="U92" s="253"/>
      <c r="V92" s="253"/>
      <c r="W92" s="253"/>
      <c r="X92" s="253"/>
      <c r="Y92" s="253"/>
      <c r="Z92" s="253"/>
      <c r="AA92" s="253"/>
      <c r="AB92" s="253"/>
      <c r="AC92" s="253"/>
      <c r="AD92" s="253"/>
      <c r="AE92" s="253"/>
      <c r="AF92" s="253"/>
      <c r="AG92" s="253"/>
      <c r="AH92" s="253"/>
      <c r="AI92" s="253"/>
      <c r="AJ92" s="253"/>
      <c r="AK92" s="253"/>
      <c r="AL92" s="253"/>
      <c r="AM92" s="253"/>
      <c r="AN92" s="253"/>
      <c r="AO92" s="253"/>
      <c r="AP92" s="253"/>
      <c r="AQ92" s="253"/>
      <c r="AR92" s="253"/>
      <c r="AS92" s="253"/>
      <c r="AT92" s="253"/>
      <c r="AU92" s="253"/>
      <c r="AV92" s="253"/>
      <c r="AW92" s="253"/>
      <c r="AX92" s="253"/>
      <c r="AY92" s="253"/>
      <c r="AZ92" s="253"/>
      <c r="BA92" s="253"/>
      <c r="BB92" s="253"/>
      <c r="BC92" s="253"/>
      <c r="BD92" s="253"/>
      <c r="BE92" s="253"/>
      <c r="BF92" s="253"/>
      <c r="BG92" s="253"/>
      <c r="BH92" s="253"/>
      <c r="BI92" s="253"/>
      <c r="BJ92" s="253"/>
      <c r="BK92" s="253"/>
      <c r="BL92" s="253"/>
      <c r="BM92" s="253"/>
      <c r="BN92" s="253"/>
      <c r="BO92" s="253"/>
      <c r="BP92" s="253"/>
      <c r="BQ92" s="253"/>
      <c r="BR92" s="253"/>
      <c r="BS92" s="253"/>
      <c r="BT92" s="253"/>
      <c r="BU92" s="253"/>
      <c r="BV92" s="253"/>
      <c r="BW92" s="253"/>
      <c r="BX92" s="253"/>
      <c r="BY92" s="253"/>
      <c r="BZ92" s="253"/>
      <c r="CA92" s="253"/>
      <c r="CB92" s="253"/>
      <c r="CC92" s="253"/>
      <c r="CD92" s="253"/>
      <c r="CE92" s="253"/>
      <c r="CF92" s="253"/>
      <c r="CG92" s="253"/>
      <c r="CH92" s="253"/>
      <c r="CI92" s="253"/>
      <c r="CJ92" s="253"/>
      <c r="CK92" s="253"/>
      <c r="CL92" s="253"/>
      <c r="CM92" s="253"/>
      <c r="CN92" s="253"/>
      <c r="CO92" s="253"/>
      <c r="CP92" s="253"/>
      <c r="CQ92" s="253"/>
      <c r="CR92" s="253"/>
      <c r="CS92" s="253"/>
      <c r="CT92" s="253"/>
      <c r="CU92" s="253"/>
      <c r="CV92" s="253"/>
      <c r="CW92" s="253"/>
      <c r="CX92" s="253"/>
      <c r="CY92" s="253"/>
      <c r="CZ92" s="253"/>
      <c r="DA92" s="253"/>
      <c r="DB92" s="253"/>
      <c r="DC92" s="253"/>
      <c r="DD92" s="253"/>
      <c r="DE92" s="253"/>
      <c r="DF92" s="253"/>
      <c r="DG92" s="253"/>
      <c r="DH92" s="253"/>
      <c r="DI92" s="253"/>
      <c r="DJ92" s="253"/>
      <c r="DK92" s="253"/>
      <c r="DL92" s="253"/>
      <c r="DM92" s="253"/>
      <c r="DN92" s="253"/>
      <c r="DO92" s="253"/>
      <c r="DP92" s="253"/>
      <c r="DQ92" s="253"/>
      <c r="DR92" s="253"/>
      <c r="DS92" s="253"/>
      <c r="DT92" s="253"/>
      <c r="DU92" s="253"/>
      <c r="DV92" s="253"/>
      <c r="DW92" s="253"/>
      <c r="DX92" s="253"/>
      <c r="DY92" s="253"/>
      <c r="DZ92" s="253"/>
      <c r="EA92" s="253"/>
      <c r="EB92" s="253"/>
      <c r="EC92" s="253"/>
      <c r="ED92" s="253"/>
      <c r="EE92" s="253"/>
      <c r="EF92" s="253"/>
      <c r="EG92" s="253"/>
      <c r="EH92" s="253"/>
      <c r="EI92" s="253"/>
      <c r="EJ92" s="253"/>
      <c r="EK92" s="253"/>
      <c r="EL92" s="253"/>
      <c r="EM92" s="253"/>
      <c r="EN92" s="253"/>
      <c r="EO92" s="253"/>
      <c r="EP92" s="253"/>
      <c r="EQ92" s="253"/>
      <c r="ER92" s="253"/>
      <c r="ES92" s="253"/>
      <c r="ET92" s="253"/>
      <c r="EU92" s="253"/>
      <c r="EV92" s="253"/>
      <c r="EW92" s="253"/>
      <c r="EX92" s="253"/>
      <c r="EY92" s="253"/>
      <c r="EZ92" s="253"/>
      <c r="FA92" s="253"/>
      <c r="FB92" s="253"/>
      <c r="FC92" s="253"/>
      <c r="FD92" s="253"/>
      <c r="FE92" s="253"/>
      <c r="FF92" s="253"/>
      <c r="FG92" s="253"/>
      <c r="FH92" s="253"/>
      <c r="FI92" s="253"/>
      <c r="FJ92" s="253"/>
      <c r="FK92" s="253"/>
      <c r="FL92" s="253"/>
      <c r="FM92" s="253"/>
      <c r="FN92" s="253"/>
      <c r="FO92" s="253"/>
      <c r="FP92" s="256"/>
      <c r="FQ92" s="257" t="s">
        <v>1322</v>
      </c>
      <c r="FR92" s="258" t="s">
        <v>389</v>
      </c>
      <c r="FS92" s="258"/>
      <c r="FT92" s="258" t="s">
        <v>423</v>
      </c>
      <c r="FU92" s="259">
        <f t="shared" si="2"/>
        <v>0</v>
      </c>
      <c r="FV92" s="260" t="s">
        <v>424</v>
      </c>
    </row>
    <row r="93" spans="1:178" s="260" customFormat="1" hidden="1">
      <c r="A93" s="251" t="s">
        <v>393</v>
      </c>
      <c r="B93" s="251" t="s">
        <v>385</v>
      </c>
      <c r="C93" s="251" t="s">
        <v>411</v>
      </c>
      <c r="D93" s="251" t="s">
        <v>291</v>
      </c>
      <c r="E93" s="252" t="s">
        <v>849</v>
      </c>
      <c r="F93" s="251" t="s">
        <v>388</v>
      </c>
      <c r="G93" s="251"/>
      <c r="H93" s="253"/>
      <c r="I93" s="253"/>
      <c r="J93" s="253"/>
      <c r="K93" s="253"/>
      <c r="L93" s="253"/>
      <c r="M93" s="253"/>
      <c r="N93" s="253"/>
      <c r="O93" s="253"/>
      <c r="P93" s="253"/>
      <c r="Q93" s="253"/>
      <c r="R93" s="253"/>
      <c r="S93" s="253"/>
      <c r="T93" s="253"/>
      <c r="U93" s="253"/>
      <c r="V93" s="253"/>
      <c r="W93" s="253"/>
      <c r="X93" s="253"/>
      <c r="Y93" s="253"/>
      <c r="Z93" s="253"/>
      <c r="AA93" s="253"/>
      <c r="AB93" s="253"/>
      <c r="AC93" s="253"/>
      <c r="AD93" s="253"/>
      <c r="AE93" s="253"/>
      <c r="AF93" s="253"/>
      <c r="AG93" s="253"/>
      <c r="AH93" s="253"/>
      <c r="AI93" s="253"/>
      <c r="AJ93" s="253"/>
      <c r="AK93" s="253"/>
      <c r="AL93" s="253"/>
      <c r="AM93" s="253"/>
      <c r="AN93" s="253"/>
      <c r="AO93" s="253"/>
      <c r="AP93" s="253"/>
      <c r="AQ93" s="253"/>
      <c r="AR93" s="253"/>
      <c r="AS93" s="253"/>
      <c r="AT93" s="253"/>
      <c r="AU93" s="253"/>
      <c r="AV93" s="253"/>
      <c r="AW93" s="253"/>
      <c r="AX93" s="253"/>
      <c r="AY93" s="253"/>
      <c r="AZ93" s="253"/>
      <c r="BA93" s="253"/>
      <c r="BB93" s="253"/>
      <c r="BC93" s="253"/>
      <c r="BD93" s="253"/>
      <c r="BE93" s="253"/>
      <c r="BF93" s="253"/>
      <c r="BG93" s="253"/>
      <c r="BH93" s="253"/>
      <c r="BI93" s="253"/>
      <c r="BJ93" s="253"/>
      <c r="BK93" s="253"/>
      <c r="BL93" s="253"/>
      <c r="BM93" s="253"/>
      <c r="BN93" s="253"/>
      <c r="BO93" s="253"/>
      <c r="BP93" s="253"/>
      <c r="BQ93" s="253"/>
      <c r="BR93" s="253"/>
      <c r="BS93" s="253"/>
      <c r="BT93" s="253"/>
      <c r="BU93" s="253"/>
      <c r="BV93" s="253"/>
      <c r="BW93" s="253"/>
      <c r="BX93" s="253"/>
      <c r="BY93" s="253"/>
      <c r="BZ93" s="253"/>
      <c r="CA93" s="253"/>
      <c r="CB93" s="253"/>
      <c r="CC93" s="253"/>
      <c r="CD93" s="253"/>
      <c r="CE93" s="253"/>
      <c r="CF93" s="253"/>
      <c r="CG93" s="253"/>
      <c r="CH93" s="253"/>
      <c r="CI93" s="253"/>
      <c r="CJ93" s="253"/>
      <c r="CK93" s="253"/>
      <c r="CL93" s="253"/>
      <c r="CM93" s="253"/>
      <c r="CN93" s="253"/>
      <c r="CO93" s="253"/>
      <c r="CP93" s="253"/>
      <c r="CQ93" s="253"/>
      <c r="CR93" s="253"/>
      <c r="CS93" s="253"/>
      <c r="CT93" s="253"/>
      <c r="CU93" s="253"/>
      <c r="CV93" s="253"/>
      <c r="CW93" s="253"/>
      <c r="CX93" s="253"/>
      <c r="CY93" s="253"/>
      <c r="CZ93" s="253"/>
      <c r="DA93" s="253"/>
      <c r="DB93" s="253"/>
      <c r="DC93" s="253"/>
      <c r="DD93" s="253"/>
      <c r="DE93" s="253"/>
      <c r="DF93" s="253"/>
      <c r="DG93" s="253"/>
      <c r="DH93" s="253"/>
      <c r="DI93" s="255">
        <f>50-50</f>
        <v>0</v>
      </c>
      <c r="DJ93" s="253"/>
      <c r="DK93" s="253"/>
      <c r="DL93" s="253"/>
      <c r="DM93" s="253"/>
      <c r="DN93" s="253"/>
      <c r="DO93" s="253"/>
      <c r="DP93" s="253"/>
      <c r="DQ93" s="253"/>
      <c r="DR93" s="253"/>
      <c r="DS93" s="253"/>
      <c r="DT93" s="255">
        <f>50-50</f>
        <v>0</v>
      </c>
      <c r="DU93" s="253"/>
      <c r="DV93" s="253"/>
      <c r="DW93" s="255">
        <f>50-50</f>
        <v>0</v>
      </c>
      <c r="DX93" s="253"/>
      <c r="DY93" s="253"/>
      <c r="DZ93" s="253"/>
      <c r="EA93" s="253"/>
      <c r="EB93" s="253"/>
      <c r="EC93" s="253"/>
      <c r="ED93" s="253"/>
      <c r="EE93" s="253"/>
      <c r="EF93" s="255">
        <f>50-50</f>
        <v>0</v>
      </c>
      <c r="EG93" s="255">
        <f>50-50</f>
        <v>0</v>
      </c>
      <c r="EH93" s="253"/>
      <c r="EI93" s="253"/>
      <c r="EJ93" s="253"/>
      <c r="EK93" s="253"/>
      <c r="EL93" s="253"/>
      <c r="EM93" s="253"/>
      <c r="EN93" s="253"/>
      <c r="EO93" s="253"/>
      <c r="EP93" s="253"/>
      <c r="EQ93" s="253"/>
      <c r="ER93" s="253"/>
      <c r="ES93" s="253"/>
      <c r="ET93" s="253"/>
      <c r="EU93" s="253"/>
      <c r="EV93" s="253"/>
      <c r="EW93" s="253"/>
      <c r="EX93" s="255">
        <f>50-50</f>
        <v>0</v>
      </c>
      <c r="EY93" s="253"/>
      <c r="EZ93" s="253"/>
      <c r="FA93" s="253"/>
      <c r="FB93" s="253"/>
      <c r="FC93" s="253"/>
      <c r="FD93" s="253"/>
      <c r="FE93" s="253"/>
      <c r="FF93" s="253"/>
      <c r="FG93" s="253"/>
      <c r="FH93" s="253"/>
      <c r="FI93" s="253"/>
      <c r="FJ93" s="253"/>
      <c r="FK93" s="253"/>
      <c r="FL93" s="253"/>
      <c r="FM93" s="253"/>
      <c r="FN93" s="253"/>
      <c r="FO93" s="253"/>
      <c r="FP93" s="256"/>
      <c r="FQ93" s="257" t="s">
        <v>1322</v>
      </c>
      <c r="FR93" s="258" t="s">
        <v>389</v>
      </c>
      <c r="FS93" s="258"/>
      <c r="FT93" s="258" t="s">
        <v>429</v>
      </c>
      <c r="FU93" s="259">
        <f t="shared" si="2"/>
        <v>0</v>
      </c>
      <c r="FV93" s="260" t="s">
        <v>414</v>
      </c>
    </row>
    <row r="94" spans="1:178" s="260" customFormat="1" hidden="1">
      <c r="A94" s="251" t="s">
        <v>393</v>
      </c>
      <c r="B94" s="251" t="s">
        <v>385</v>
      </c>
      <c r="C94" s="251" t="s">
        <v>411</v>
      </c>
      <c r="D94" s="251" t="s">
        <v>1</v>
      </c>
      <c r="E94" s="252" t="s">
        <v>849</v>
      </c>
      <c r="F94" s="251" t="s">
        <v>388</v>
      </c>
      <c r="G94" s="251"/>
      <c r="H94" s="253"/>
      <c r="I94" s="253"/>
      <c r="J94" s="253"/>
      <c r="K94" s="253"/>
      <c r="L94" s="253"/>
      <c r="M94" s="253"/>
      <c r="N94" s="253"/>
      <c r="O94" s="253"/>
      <c r="P94" s="253"/>
      <c r="Q94" s="253"/>
      <c r="R94" s="253"/>
      <c r="S94" s="253"/>
      <c r="T94" s="253"/>
      <c r="U94" s="253"/>
      <c r="V94" s="253"/>
      <c r="W94" s="253"/>
      <c r="X94" s="253"/>
      <c r="Y94" s="253"/>
      <c r="Z94" s="253"/>
      <c r="AA94" s="255">
        <f>50-50</f>
        <v>0</v>
      </c>
      <c r="AB94" s="255">
        <f>50-50</f>
        <v>0</v>
      </c>
      <c r="AC94" s="255">
        <f>50-50</f>
        <v>0</v>
      </c>
      <c r="AD94" s="255">
        <f>50-50</f>
        <v>0</v>
      </c>
      <c r="AE94" s="255">
        <f>50-50</f>
        <v>0</v>
      </c>
      <c r="AF94" s="253"/>
      <c r="AG94" s="253"/>
      <c r="AH94" s="253"/>
      <c r="AI94" s="253"/>
      <c r="AJ94" s="253"/>
      <c r="AK94" s="253"/>
      <c r="AL94" s="253"/>
      <c r="AM94" s="253"/>
      <c r="AN94" s="253"/>
      <c r="AO94" s="253"/>
      <c r="AP94" s="255">
        <f>50-50</f>
        <v>0</v>
      </c>
      <c r="AQ94" s="253"/>
      <c r="AR94" s="255">
        <f>50-50</f>
        <v>0</v>
      </c>
      <c r="AS94" s="253"/>
      <c r="AT94" s="253"/>
      <c r="AU94" s="253"/>
      <c r="AV94" s="253"/>
      <c r="AW94" s="253"/>
      <c r="AX94" s="253"/>
      <c r="AY94" s="253"/>
      <c r="AZ94" s="253"/>
      <c r="BA94" s="253"/>
      <c r="BB94" s="253"/>
      <c r="BC94" s="253"/>
      <c r="BD94" s="253"/>
      <c r="BE94" s="253"/>
      <c r="BF94" s="253"/>
      <c r="BG94" s="253"/>
      <c r="BH94" s="253"/>
      <c r="BI94" s="253"/>
      <c r="BJ94" s="253"/>
      <c r="BK94" s="253"/>
      <c r="BL94" s="253"/>
      <c r="BM94" s="253"/>
      <c r="BN94" s="253"/>
      <c r="BO94" s="253"/>
      <c r="BP94" s="253"/>
      <c r="BQ94" s="253"/>
      <c r="BR94" s="253"/>
      <c r="BS94" s="253"/>
      <c r="BT94" s="253"/>
      <c r="BU94" s="253"/>
      <c r="BV94" s="253"/>
      <c r="BW94" s="253"/>
      <c r="BX94" s="253"/>
      <c r="BY94" s="253"/>
      <c r="BZ94" s="253"/>
      <c r="CA94" s="253"/>
      <c r="CB94" s="253"/>
      <c r="CC94" s="253"/>
      <c r="CD94" s="253"/>
      <c r="CE94" s="253"/>
      <c r="CF94" s="253"/>
      <c r="CG94" s="253"/>
      <c r="CH94" s="253"/>
      <c r="CI94" s="253"/>
      <c r="CJ94" s="253"/>
      <c r="CK94" s="253"/>
      <c r="CL94" s="253"/>
      <c r="CM94" s="253"/>
      <c r="CN94" s="253"/>
      <c r="CO94" s="253"/>
      <c r="CP94" s="253"/>
      <c r="CQ94" s="253"/>
      <c r="CR94" s="253"/>
      <c r="CS94" s="253"/>
      <c r="CT94" s="253"/>
      <c r="CU94" s="253"/>
      <c r="CV94" s="253"/>
      <c r="CW94" s="253"/>
      <c r="CX94" s="253"/>
      <c r="CY94" s="253"/>
      <c r="CZ94" s="253"/>
      <c r="DA94" s="253"/>
      <c r="DB94" s="253"/>
      <c r="DC94" s="253"/>
      <c r="DD94" s="253"/>
      <c r="DE94" s="253"/>
      <c r="DF94" s="253"/>
      <c r="DG94" s="253"/>
      <c r="DH94" s="253"/>
      <c r="DI94" s="253"/>
      <c r="DJ94" s="253"/>
      <c r="DK94" s="253"/>
      <c r="DL94" s="255">
        <f>50-50</f>
        <v>0</v>
      </c>
      <c r="DM94" s="253"/>
      <c r="DN94" s="253"/>
      <c r="DO94" s="253"/>
      <c r="DP94" s="253"/>
      <c r="DQ94" s="253"/>
      <c r="DR94" s="253"/>
      <c r="DS94" s="253"/>
      <c r="DT94" s="253"/>
      <c r="DU94" s="255">
        <f>50-50</f>
        <v>0</v>
      </c>
      <c r="DV94" s="253"/>
      <c r="DW94" s="253"/>
      <c r="DX94" s="253"/>
      <c r="DY94" s="253"/>
      <c r="DZ94" s="253"/>
      <c r="EA94" s="253"/>
      <c r="EB94" s="255">
        <f>50-50</f>
        <v>0</v>
      </c>
      <c r="EC94" s="253"/>
      <c r="ED94" s="253"/>
      <c r="EE94" s="255">
        <f>50-50</f>
        <v>0</v>
      </c>
      <c r="EF94" s="253"/>
      <c r="EG94" s="253"/>
      <c r="EH94" s="255">
        <f>50-50</f>
        <v>0</v>
      </c>
      <c r="EI94" s="253"/>
      <c r="EJ94" s="253"/>
      <c r="EK94" s="255">
        <f>50-50</f>
        <v>0</v>
      </c>
      <c r="EL94" s="255">
        <f>50-50</f>
        <v>0</v>
      </c>
      <c r="EM94" s="253"/>
      <c r="EN94" s="255">
        <f>50-50</f>
        <v>0</v>
      </c>
      <c r="EO94" s="255">
        <f>50-50</f>
        <v>0</v>
      </c>
      <c r="EP94" s="253"/>
      <c r="EQ94" s="255">
        <f>50-50</f>
        <v>0</v>
      </c>
      <c r="ER94" s="255">
        <f>50-50</f>
        <v>0</v>
      </c>
      <c r="ES94" s="253"/>
      <c r="ET94" s="253"/>
      <c r="EU94" s="253"/>
      <c r="EV94" s="253"/>
      <c r="EW94" s="255">
        <f>50-50</f>
        <v>0</v>
      </c>
      <c r="EX94" s="253"/>
      <c r="EY94" s="255">
        <f>5-5</f>
        <v>0</v>
      </c>
      <c r="EZ94" s="253"/>
      <c r="FA94" s="253"/>
      <c r="FB94" s="253"/>
      <c r="FC94" s="253"/>
      <c r="FD94" s="253"/>
      <c r="FE94" s="253"/>
      <c r="FF94" s="253"/>
      <c r="FG94" s="253"/>
      <c r="FH94" s="253"/>
      <c r="FI94" s="253"/>
      <c r="FJ94" s="253"/>
      <c r="FK94" s="253"/>
      <c r="FL94" s="253"/>
      <c r="FM94" s="253"/>
      <c r="FN94" s="253"/>
      <c r="FO94" s="253"/>
      <c r="FP94" s="256"/>
      <c r="FQ94" s="257" t="s">
        <v>1322</v>
      </c>
      <c r="FR94" s="258" t="s">
        <v>389</v>
      </c>
      <c r="FS94" s="258"/>
      <c r="FT94" s="258" t="s">
        <v>429</v>
      </c>
      <c r="FU94" s="259">
        <f t="shared" si="2"/>
        <v>0</v>
      </c>
      <c r="FV94" s="260" t="s">
        <v>414</v>
      </c>
    </row>
    <row r="95" spans="1:178" s="260" customFormat="1" hidden="1">
      <c r="A95" s="251" t="s">
        <v>393</v>
      </c>
      <c r="B95" s="251" t="s">
        <v>385</v>
      </c>
      <c r="C95" s="251" t="s">
        <v>411</v>
      </c>
      <c r="D95" s="251" t="s">
        <v>291</v>
      </c>
      <c r="E95" s="252" t="s">
        <v>859</v>
      </c>
      <c r="F95" s="251" t="s">
        <v>388</v>
      </c>
      <c r="G95" s="251"/>
      <c r="H95" s="253"/>
      <c r="I95" s="253"/>
      <c r="J95" s="253"/>
      <c r="K95" s="253"/>
      <c r="L95" s="253"/>
      <c r="M95" s="253"/>
      <c r="N95" s="253"/>
      <c r="O95" s="253"/>
      <c r="P95" s="253"/>
      <c r="Q95" s="253"/>
      <c r="R95" s="253"/>
      <c r="S95" s="253"/>
      <c r="T95" s="253"/>
      <c r="U95" s="253"/>
      <c r="V95" s="253"/>
      <c r="W95" s="253"/>
      <c r="X95" s="253"/>
      <c r="Y95" s="253"/>
      <c r="Z95" s="253"/>
      <c r="AA95" s="253"/>
      <c r="AB95" s="253"/>
      <c r="AC95" s="253"/>
      <c r="AD95" s="253"/>
      <c r="AE95" s="253"/>
      <c r="AF95" s="253"/>
      <c r="AG95" s="253"/>
      <c r="AH95" s="253"/>
      <c r="AI95" s="253"/>
      <c r="AJ95" s="253"/>
      <c r="AK95" s="253"/>
      <c r="AL95" s="253"/>
      <c r="AM95" s="253"/>
      <c r="AN95" s="253"/>
      <c r="AO95" s="253"/>
      <c r="AP95" s="253"/>
      <c r="AQ95" s="253"/>
      <c r="AR95" s="253"/>
      <c r="AS95" s="253"/>
      <c r="AT95" s="253"/>
      <c r="AU95" s="253"/>
      <c r="AV95" s="253"/>
      <c r="AW95" s="253"/>
      <c r="AX95" s="253"/>
      <c r="AY95" s="253"/>
      <c r="AZ95" s="253"/>
      <c r="BA95" s="253"/>
      <c r="BB95" s="253"/>
      <c r="BC95" s="253"/>
      <c r="BD95" s="253"/>
      <c r="BE95" s="253"/>
      <c r="BF95" s="253"/>
      <c r="BG95" s="253"/>
      <c r="BH95" s="253"/>
      <c r="BI95" s="253"/>
      <c r="BJ95" s="253"/>
      <c r="BK95" s="253"/>
      <c r="BL95" s="253"/>
      <c r="BM95" s="253"/>
      <c r="BN95" s="253"/>
      <c r="BO95" s="253"/>
      <c r="BP95" s="253"/>
      <c r="BQ95" s="253"/>
      <c r="BR95" s="253"/>
      <c r="BS95" s="253"/>
      <c r="BT95" s="253"/>
      <c r="BU95" s="253"/>
      <c r="BV95" s="253"/>
      <c r="BW95" s="253"/>
      <c r="BX95" s="253"/>
      <c r="BY95" s="253"/>
      <c r="BZ95" s="253"/>
      <c r="CA95" s="253"/>
      <c r="CB95" s="253"/>
      <c r="CC95" s="253"/>
      <c r="CD95" s="253"/>
      <c r="CE95" s="253"/>
      <c r="CF95" s="253"/>
      <c r="CG95" s="253"/>
      <c r="CH95" s="253"/>
      <c r="CI95" s="253"/>
      <c r="CJ95" s="253"/>
      <c r="CK95" s="253"/>
      <c r="CL95" s="253"/>
      <c r="CM95" s="253"/>
      <c r="CN95" s="253"/>
      <c r="CO95" s="253"/>
      <c r="CP95" s="253"/>
      <c r="CQ95" s="253"/>
      <c r="CR95" s="253"/>
      <c r="CS95" s="253"/>
      <c r="CT95" s="253"/>
      <c r="CU95" s="253"/>
      <c r="CV95" s="253"/>
      <c r="CW95" s="253"/>
      <c r="CX95" s="253"/>
      <c r="CY95" s="253"/>
      <c r="CZ95" s="253"/>
      <c r="DA95" s="253"/>
      <c r="DB95" s="253"/>
      <c r="DC95" s="253"/>
      <c r="DD95" s="253"/>
      <c r="DE95" s="253"/>
      <c r="DF95" s="253"/>
      <c r="DG95" s="253"/>
      <c r="DH95" s="253"/>
      <c r="DI95" s="253"/>
      <c r="DJ95" s="253"/>
      <c r="DK95" s="253"/>
      <c r="DL95" s="253"/>
      <c r="DM95" s="253"/>
      <c r="DN95" s="253"/>
      <c r="DO95" s="253"/>
      <c r="DP95" s="253"/>
      <c r="DQ95" s="253"/>
      <c r="DR95" s="253"/>
      <c r="DS95" s="253"/>
      <c r="DT95" s="255">
        <f>50-50</f>
        <v>0</v>
      </c>
      <c r="DU95" s="253"/>
      <c r="DV95" s="253"/>
      <c r="DW95" s="255">
        <f>100-100</f>
        <v>0</v>
      </c>
      <c r="DX95" s="253"/>
      <c r="DY95" s="253"/>
      <c r="DZ95" s="253"/>
      <c r="EA95" s="253"/>
      <c r="EB95" s="253"/>
      <c r="EC95" s="253"/>
      <c r="ED95" s="253"/>
      <c r="EE95" s="253"/>
      <c r="EF95" s="255">
        <f>100-100</f>
        <v>0</v>
      </c>
      <c r="EG95" s="255">
        <f>100-100</f>
        <v>0</v>
      </c>
      <c r="EH95" s="253"/>
      <c r="EI95" s="253"/>
      <c r="EJ95" s="253"/>
      <c r="EK95" s="253"/>
      <c r="EL95" s="253"/>
      <c r="EM95" s="253"/>
      <c r="EN95" s="253"/>
      <c r="EO95" s="253"/>
      <c r="EP95" s="253"/>
      <c r="EQ95" s="253"/>
      <c r="ER95" s="253"/>
      <c r="ES95" s="253"/>
      <c r="ET95" s="253"/>
      <c r="EU95" s="253"/>
      <c r="EV95" s="253"/>
      <c r="EW95" s="253"/>
      <c r="EX95" s="253"/>
      <c r="EY95" s="253"/>
      <c r="EZ95" s="253"/>
      <c r="FA95" s="253"/>
      <c r="FB95" s="253"/>
      <c r="FC95" s="253"/>
      <c r="FD95" s="253"/>
      <c r="FE95" s="253"/>
      <c r="FF95" s="253"/>
      <c r="FG95" s="253"/>
      <c r="FH95" s="253"/>
      <c r="FI95" s="253"/>
      <c r="FJ95" s="253"/>
      <c r="FK95" s="253"/>
      <c r="FL95" s="253"/>
      <c r="FM95" s="253"/>
      <c r="FN95" s="253"/>
      <c r="FO95" s="253"/>
      <c r="FP95" s="256"/>
      <c r="FQ95" s="257" t="s">
        <v>1322</v>
      </c>
      <c r="FR95" s="258" t="s">
        <v>389</v>
      </c>
      <c r="FS95" s="258"/>
      <c r="FT95" s="258" t="s">
        <v>416</v>
      </c>
      <c r="FU95" s="259">
        <f t="shared" si="2"/>
        <v>0</v>
      </c>
      <c r="FV95" s="260" t="s">
        <v>414</v>
      </c>
    </row>
    <row r="96" spans="1:178" s="260" customFormat="1" hidden="1">
      <c r="A96" s="251" t="s">
        <v>393</v>
      </c>
      <c r="B96" s="251" t="s">
        <v>385</v>
      </c>
      <c r="C96" s="251" t="s">
        <v>411</v>
      </c>
      <c r="D96" s="251" t="s">
        <v>1</v>
      </c>
      <c r="E96" s="252" t="s">
        <v>859</v>
      </c>
      <c r="F96" s="251" t="s">
        <v>388</v>
      </c>
      <c r="G96" s="251"/>
      <c r="H96" s="253"/>
      <c r="I96" s="253"/>
      <c r="J96" s="253"/>
      <c r="K96" s="253"/>
      <c r="L96" s="253"/>
      <c r="M96" s="253"/>
      <c r="N96" s="253"/>
      <c r="O96" s="253"/>
      <c r="P96" s="253"/>
      <c r="Q96" s="253"/>
      <c r="R96" s="253"/>
      <c r="S96" s="253"/>
      <c r="T96" s="253"/>
      <c r="U96" s="253"/>
      <c r="V96" s="253"/>
      <c r="W96" s="253"/>
      <c r="X96" s="253"/>
      <c r="Y96" s="253"/>
      <c r="Z96" s="253"/>
      <c r="AA96" s="253"/>
      <c r="AB96" s="253"/>
      <c r="AC96" s="253"/>
      <c r="AD96" s="253"/>
      <c r="AE96" s="253"/>
      <c r="AF96" s="253"/>
      <c r="AG96" s="253"/>
      <c r="AH96" s="253"/>
      <c r="AI96" s="253"/>
      <c r="AJ96" s="253"/>
      <c r="AK96" s="253"/>
      <c r="AL96" s="253"/>
      <c r="AM96" s="253"/>
      <c r="AN96" s="253"/>
      <c r="AO96" s="253"/>
      <c r="AP96" s="253"/>
      <c r="AQ96" s="253"/>
      <c r="AR96" s="253"/>
      <c r="AS96" s="253"/>
      <c r="AT96" s="253"/>
      <c r="AU96" s="253"/>
      <c r="AV96" s="253"/>
      <c r="AW96" s="253"/>
      <c r="AX96" s="253"/>
      <c r="AY96" s="253"/>
      <c r="AZ96" s="253"/>
      <c r="BA96" s="253"/>
      <c r="BB96" s="253"/>
      <c r="BC96" s="253"/>
      <c r="BD96" s="253"/>
      <c r="BE96" s="253"/>
      <c r="BF96" s="253"/>
      <c r="BG96" s="253"/>
      <c r="BH96" s="253"/>
      <c r="BI96" s="253"/>
      <c r="BJ96" s="253"/>
      <c r="BK96" s="253"/>
      <c r="BL96" s="253"/>
      <c r="BM96" s="253"/>
      <c r="BN96" s="253"/>
      <c r="BO96" s="253"/>
      <c r="BP96" s="253"/>
      <c r="BQ96" s="253"/>
      <c r="BR96" s="253"/>
      <c r="BS96" s="253"/>
      <c r="BT96" s="253"/>
      <c r="BU96" s="253"/>
      <c r="BV96" s="253"/>
      <c r="BW96" s="253"/>
      <c r="BX96" s="253"/>
      <c r="BY96" s="253"/>
      <c r="BZ96" s="253"/>
      <c r="CA96" s="253"/>
      <c r="CB96" s="253"/>
      <c r="CC96" s="253"/>
      <c r="CD96" s="253"/>
      <c r="CE96" s="253"/>
      <c r="CF96" s="253"/>
      <c r="CG96" s="253"/>
      <c r="CH96" s="253"/>
      <c r="CI96" s="253"/>
      <c r="CJ96" s="253"/>
      <c r="CK96" s="253"/>
      <c r="CL96" s="253"/>
      <c r="CM96" s="253"/>
      <c r="CN96" s="253"/>
      <c r="CO96" s="253"/>
      <c r="CP96" s="253"/>
      <c r="CQ96" s="253"/>
      <c r="CR96" s="253"/>
      <c r="CS96" s="253"/>
      <c r="CT96" s="253"/>
      <c r="CU96" s="253"/>
      <c r="CV96" s="253"/>
      <c r="CW96" s="253"/>
      <c r="CX96" s="253"/>
      <c r="CY96" s="253"/>
      <c r="CZ96" s="253"/>
      <c r="DA96" s="253"/>
      <c r="DB96" s="253"/>
      <c r="DC96" s="253"/>
      <c r="DD96" s="253"/>
      <c r="DE96" s="253"/>
      <c r="DF96" s="253"/>
      <c r="DG96" s="253"/>
      <c r="DH96" s="253"/>
      <c r="DI96" s="253"/>
      <c r="DJ96" s="253"/>
      <c r="DK96" s="253"/>
      <c r="DL96" s="253"/>
      <c r="DM96" s="253"/>
      <c r="DN96" s="253"/>
      <c r="DO96" s="253"/>
      <c r="DP96" s="253"/>
      <c r="DQ96" s="253"/>
      <c r="DR96" s="253"/>
      <c r="DS96" s="253"/>
      <c r="DT96" s="253"/>
      <c r="DU96" s="255">
        <f>100-100</f>
        <v>0</v>
      </c>
      <c r="DV96" s="253"/>
      <c r="DW96" s="253"/>
      <c r="DX96" s="253"/>
      <c r="DY96" s="253"/>
      <c r="DZ96" s="253"/>
      <c r="EA96" s="253"/>
      <c r="EB96" s="253"/>
      <c r="EC96" s="253"/>
      <c r="ED96" s="253"/>
      <c r="EE96" s="253"/>
      <c r="EF96" s="253"/>
      <c r="EG96" s="253"/>
      <c r="EH96" s="253"/>
      <c r="EI96" s="253"/>
      <c r="EJ96" s="253"/>
      <c r="EK96" s="255">
        <f>100-100</f>
        <v>0</v>
      </c>
      <c r="EL96" s="253"/>
      <c r="EM96" s="253"/>
      <c r="EN96" s="253"/>
      <c r="EO96" s="253"/>
      <c r="EP96" s="253"/>
      <c r="EQ96" s="253"/>
      <c r="ER96" s="253"/>
      <c r="ES96" s="253"/>
      <c r="ET96" s="253"/>
      <c r="EU96" s="253"/>
      <c r="EV96" s="253"/>
      <c r="EW96" s="253"/>
      <c r="EX96" s="253"/>
      <c r="EY96" s="253"/>
      <c r="EZ96" s="253"/>
      <c r="FA96" s="253"/>
      <c r="FB96" s="253"/>
      <c r="FC96" s="253"/>
      <c r="FD96" s="253"/>
      <c r="FE96" s="253"/>
      <c r="FF96" s="253"/>
      <c r="FG96" s="253"/>
      <c r="FH96" s="253"/>
      <c r="FI96" s="253"/>
      <c r="FJ96" s="253"/>
      <c r="FK96" s="253"/>
      <c r="FL96" s="253"/>
      <c r="FM96" s="253"/>
      <c r="FN96" s="253"/>
      <c r="FO96" s="253"/>
      <c r="FP96" s="256"/>
      <c r="FQ96" s="257" t="s">
        <v>1322</v>
      </c>
      <c r="FR96" s="258" t="s">
        <v>389</v>
      </c>
      <c r="FS96" s="258"/>
      <c r="FT96" s="258" t="s">
        <v>416</v>
      </c>
      <c r="FU96" s="259">
        <f t="shared" si="2"/>
        <v>0</v>
      </c>
      <c r="FV96" s="260" t="s">
        <v>414</v>
      </c>
    </row>
    <row r="97" spans="1:178" s="260" customFormat="1" hidden="1">
      <c r="A97" s="251" t="s">
        <v>393</v>
      </c>
      <c r="B97" s="251" t="s">
        <v>385</v>
      </c>
      <c r="C97" s="251" t="s">
        <v>411</v>
      </c>
      <c r="D97" s="251" t="s">
        <v>291</v>
      </c>
      <c r="E97" s="252" t="s">
        <v>918</v>
      </c>
      <c r="F97" s="251" t="s">
        <v>388</v>
      </c>
      <c r="G97" s="251" t="s">
        <v>1352</v>
      </c>
      <c r="H97" s="253"/>
      <c r="I97" s="253"/>
      <c r="J97" s="253"/>
      <c r="K97" s="253"/>
      <c r="L97" s="253"/>
      <c r="M97" s="253"/>
      <c r="N97" s="253"/>
      <c r="O97" s="253"/>
      <c r="P97" s="253"/>
      <c r="Q97" s="253"/>
      <c r="R97" s="253"/>
      <c r="S97" s="253"/>
      <c r="T97" s="253"/>
      <c r="U97" s="253"/>
      <c r="V97" s="253"/>
      <c r="W97" s="253"/>
      <c r="X97" s="253"/>
      <c r="Y97" s="253"/>
      <c r="Z97" s="253"/>
      <c r="AA97" s="253"/>
      <c r="AB97" s="253"/>
      <c r="AC97" s="253"/>
      <c r="AD97" s="253"/>
      <c r="AE97" s="253"/>
      <c r="AF97" s="253"/>
      <c r="AG97" s="253"/>
      <c r="AH97" s="253"/>
      <c r="AI97" s="253"/>
      <c r="AJ97" s="253"/>
      <c r="AK97" s="253"/>
      <c r="AL97" s="253"/>
      <c r="AM97" s="253"/>
      <c r="AN97" s="253"/>
      <c r="AO97" s="253"/>
      <c r="AP97" s="253"/>
      <c r="AQ97" s="253"/>
      <c r="AR97" s="253"/>
      <c r="AS97" s="253"/>
      <c r="AT97" s="253"/>
      <c r="AU97" s="253"/>
      <c r="AV97" s="253"/>
      <c r="AW97" s="253"/>
      <c r="AX97" s="253"/>
      <c r="AY97" s="253"/>
      <c r="AZ97" s="253"/>
      <c r="BA97" s="253"/>
      <c r="BB97" s="253"/>
      <c r="BC97" s="253"/>
      <c r="BD97" s="253"/>
      <c r="BE97" s="253"/>
      <c r="BF97" s="253"/>
      <c r="BG97" s="253"/>
      <c r="BH97" s="253"/>
      <c r="BI97" s="253"/>
      <c r="BJ97" s="253"/>
      <c r="BK97" s="253"/>
      <c r="BL97" s="253"/>
      <c r="BM97" s="253"/>
      <c r="BN97" s="253"/>
      <c r="BO97" s="253"/>
      <c r="BP97" s="253"/>
      <c r="BQ97" s="253"/>
      <c r="BR97" s="253"/>
      <c r="BS97" s="253"/>
      <c r="BT97" s="253"/>
      <c r="BU97" s="253"/>
      <c r="BV97" s="253"/>
      <c r="BW97" s="253"/>
      <c r="BX97" s="253"/>
      <c r="BY97" s="253"/>
      <c r="BZ97" s="253"/>
      <c r="CA97" s="253"/>
      <c r="CB97" s="253"/>
      <c r="CC97" s="253"/>
      <c r="CD97" s="253"/>
      <c r="CE97" s="253"/>
      <c r="CF97" s="253"/>
      <c r="CG97" s="253"/>
      <c r="CH97" s="253"/>
      <c r="CI97" s="253"/>
      <c r="CJ97" s="253"/>
      <c r="CK97" s="253"/>
      <c r="CL97" s="253"/>
      <c r="CM97" s="253"/>
      <c r="CN97" s="253"/>
      <c r="CO97" s="253"/>
      <c r="CP97" s="253"/>
      <c r="CQ97" s="253"/>
      <c r="CR97" s="253"/>
      <c r="CS97" s="253"/>
      <c r="CT97" s="253"/>
      <c r="CU97" s="253"/>
      <c r="CV97" s="253"/>
      <c r="CW97" s="253"/>
      <c r="CX97" s="253"/>
      <c r="CY97" s="253"/>
      <c r="CZ97" s="253"/>
      <c r="DA97" s="253"/>
      <c r="DB97" s="253"/>
      <c r="DC97" s="253"/>
      <c r="DD97" s="253"/>
      <c r="DE97" s="253"/>
      <c r="DF97" s="253"/>
      <c r="DG97" s="253"/>
      <c r="DH97" s="253"/>
      <c r="DI97" s="255">
        <f>500-500</f>
        <v>0</v>
      </c>
      <c r="DJ97" s="253"/>
      <c r="DK97" s="253"/>
      <c r="DL97" s="253"/>
      <c r="DM97" s="253"/>
      <c r="DN97" s="253"/>
      <c r="DO97" s="253"/>
      <c r="DP97" s="253"/>
      <c r="DQ97" s="253"/>
      <c r="DR97" s="253"/>
      <c r="DS97" s="253"/>
      <c r="DT97" s="253"/>
      <c r="DU97" s="253"/>
      <c r="DV97" s="253"/>
      <c r="DW97" s="253"/>
      <c r="DX97" s="255">
        <f>300-300</f>
        <v>0</v>
      </c>
      <c r="DY97" s="253"/>
      <c r="DZ97" s="253"/>
      <c r="EA97" s="253"/>
      <c r="EB97" s="253"/>
      <c r="EC97" s="253"/>
      <c r="ED97" s="253"/>
      <c r="EE97" s="253"/>
      <c r="EF97" s="253"/>
      <c r="EG97" s="253"/>
      <c r="EH97" s="253"/>
      <c r="EI97" s="253"/>
      <c r="EJ97" s="255">
        <f>300-300</f>
        <v>0</v>
      </c>
      <c r="EK97" s="253"/>
      <c r="EL97" s="253"/>
      <c r="EM97" s="253"/>
      <c r="EN97" s="253"/>
      <c r="EO97" s="253"/>
      <c r="EP97" s="253"/>
      <c r="EQ97" s="253"/>
      <c r="ER97" s="253"/>
      <c r="ES97" s="253"/>
      <c r="ET97" s="253"/>
      <c r="EU97" s="253"/>
      <c r="EV97" s="253"/>
      <c r="EW97" s="253"/>
      <c r="EX97" s="253"/>
      <c r="EY97" s="253"/>
      <c r="EZ97" s="253"/>
      <c r="FA97" s="253"/>
      <c r="FB97" s="253"/>
      <c r="FC97" s="253"/>
      <c r="FD97" s="253"/>
      <c r="FE97" s="253"/>
      <c r="FF97" s="253"/>
      <c r="FG97" s="253"/>
      <c r="FH97" s="253"/>
      <c r="FI97" s="253"/>
      <c r="FJ97" s="253"/>
      <c r="FK97" s="253"/>
      <c r="FL97" s="253"/>
      <c r="FM97" s="253"/>
      <c r="FN97" s="253"/>
      <c r="FO97" s="253"/>
      <c r="FP97" s="256"/>
      <c r="FQ97" s="257" t="s">
        <v>1322</v>
      </c>
      <c r="FR97" s="258" t="s">
        <v>389</v>
      </c>
      <c r="FS97" s="258" t="s">
        <v>1087</v>
      </c>
      <c r="FT97" s="258" t="s">
        <v>445</v>
      </c>
      <c r="FU97" s="259">
        <f t="shared" si="2"/>
        <v>0</v>
      </c>
      <c r="FV97" s="260" t="s">
        <v>433</v>
      </c>
    </row>
    <row r="98" spans="1:178" s="260" customFormat="1" hidden="1">
      <c r="A98" s="251" t="s">
        <v>393</v>
      </c>
      <c r="B98" s="251" t="s">
        <v>385</v>
      </c>
      <c r="C98" s="251" t="s">
        <v>411</v>
      </c>
      <c r="D98" s="251" t="s">
        <v>1</v>
      </c>
      <c r="E98" s="252" t="s">
        <v>918</v>
      </c>
      <c r="F98" s="251" t="s">
        <v>388</v>
      </c>
      <c r="G98" s="251" t="s">
        <v>1352</v>
      </c>
      <c r="H98" s="253"/>
      <c r="I98" s="253"/>
      <c r="J98" s="253"/>
      <c r="K98" s="253"/>
      <c r="L98" s="253"/>
      <c r="M98" s="253"/>
      <c r="N98" s="253"/>
      <c r="O98" s="253"/>
      <c r="P98" s="253"/>
      <c r="Q98" s="253"/>
      <c r="R98" s="253"/>
      <c r="S98" s="253"/>
      <c r="T98" s="253"/>
      <c r="U98" s="253"/>
      <c r="V98" s="253"/>
      <c r="W98" s="253"/>
      <c r="X98" s="253"/>
      <c r="Y98" s="253"/>
      <c r="Z98" s="253"/>
      <c r="AA98" s="253"/>
      <c r="AB98" s="253"/>
      <c r="AC98" s="253"/>
      <c r="AD98" s="253"/>
      <c r="AE98" s="253"/>
      <c r="AF98" s="253"/>
      <c r="AG98" s="253"/>
      <c r="AH98" s="253"/>
      <c r="AI98" s="253"/>
      <c r="AJ98" s="253"/>
      <c r="AK98" s="253"/>
      <c r="AL98" s="253"/>
      <c r="AM98" s="253"/>
      <c r="AN98" s="253"/>
      <c r="AO98" s="253"/>
      <c r="AP98" s="253"/>
      <c r="AQ98" s="253"/>
      <c r="AR98" s="253"/>
      <c r="AS98" s="253"/>
      <c r="AT98" s="253"/>
      <c r="AU98" s="253"/>
      <c r="AV98" s="253"/>
      <c r="AW98" s="253"/>
      <c r="AX98" s="253"/>
      <c r="AY98" s="253"/>
      <c r="AZ98" s="253"/>
      <c r="BA98" s="253"/>
      <c r="BB98" s="253"/>
      <c r="BC98" s="253"/>
      <c r="BD98" s="253"/>
      <c r="BE98" s="253"/>
      <c r="BF98" s="253"/>
      <c r="BG98" s="253"/>
      <c r="BH98" s="253"/>
      <c r="BI98" s="253"/>
      <c r="BJ98" s="253"/>
      <c r="BK98" s="253"/>
      <c r="BL98" s="253"/>
      <c r="BM98" s="253"/>
      <c r="BN98" s="253"/>
      <c r="BO98" s="253"/>
      <c r="BP98" s="253"/>
      <c r="BQ98" s="253"/>
      <c r="BR98" s="253"/>
      <c r="BS98" s="253"/>
      <c r="BT98" s="253"/>
      <c r="BU98" s="253"/>
      <c r="BV98" s="253"/>
      <c r="BW98" s="253"/>
      <c r="BX98" s="253"/>
      <c r="BY98" s="253"/>
      <c r="BZ98" s="253"/>
      <c r="CA98" s="253"/>
      <c r="CB98" s="253"/>
      <c r="CC98" s="253"/>
      <c r="CD98" s="253"/>
      <c r="CE98" s="253"/>
      <c r="CF98" s="253"/>
      <c r="CG98" s="253"/>
      <c r="CH98" s="253"/>
      <c r="CI98" s="253"/>
      <c r="CJ98" s="253"/>
      <c r="CK98" s="253"/>
      <c r="CL98" s="253"/>
      <c r="CM98" s="253"/>
      <c r="CN98" s="253"/>
      <c r="CO98" s="253"/>
      <c r="CP98" s="253"/>
      <c r="CQ98" s="253"/>
      <c r="CR98" s="253"/>
      <c r="CS98" s="253"/>
      <c r="CT98" s="253"/>
      <c r="CU98" s="253"/>
      <c r="CV98" s="253"/>
      <c r="CW98" s="253"/>
      <c r="CX98" s="253"/>
      <c r="CY98" s="253"/>
      <c r="CZ98" s="253"/>
      <c r="DA98" s="253"/>
      <c r="DB98" s="253"/>
      <c r="DC98" s="253"/>
      <c r="DD98" s="253"/>
      <c r="DE98" s="253"/>
      <c r="DF98" s="253"/>
      <c r="DG98" s="253"/>
      <c r="DH98" s="253"/>
      <c r="DI98" s="253"/>
      <c r="DJ98" s="253"/>
      <c r="DK98" s="253"/>
      <c r="DL98" s="255">
        <f>500-500</f>
        <v>0</v>
      </c>
      <c r="DM98" s="253"/>
      <c r="DN98" s="253"/>
      <c r="DO98" s="253"/>
      <c r="DP98" s="253"/>
      <c r="DQ98" s="253"/>
      <c r="DR98" s="253"/>
      <c r="DS98" s="253"/>
      <c r="DT98" s="253"/>
      <c r="DU98" s="255">
        <f>300-300</f>
        <v>0</v>
      </c>
      <c r="DV98" s="253"/>
      <c r="DW98" s="253"/>
      <c r="DX98" s="253"/>
      <c r="DY98" s="253"/>
      <c r="DZ98" s="253"/>
      <c r="EA98" s="253"/>
      <c r="EB98" s="253"/>
      <c r="EC98" s="253"/>
      <c r="ED98" s="253"/>
      <c r="EE98" s="253"/>
      <c r="EF98" s="253"/>
      <c r="EG98" s="253"/>
      <c r="EH98" s="253"/>
      <c r="EI98" s="253"/>
      <c r="EJ98" s="253"/>
      <c r="EK98" s="253"/>
      <c r="EL98" s="255">
        <f>200-200</f>
        <v>0</v>
      </c>
      <c r="EM98" s="253"/>
      <c r="EN98" s="253"/>
      <c r="EO98" s="253"/>
      <c r="EP98" s="253"/>
      <c r="EQ98" s="253"/>
      <c r="ER98" s="253"/>
      <c r="ES98" s="253"/>
      <c r="ET98" s="253"/>
      <c r="EU98" s="253"/>
      <c r="EV98" s="253"/>
      <c r="EW98" s="253"/>
      <c r="EX98" s="253"/>
      <c r="EY98" s="253"/>
      <c r="EZ98" s="253"/>
      <c r="FA98" s="253"/>
      <c r="FB98" s="253"/>
      <c r="FC98" s="253"/>
      <c r="FD98" s="253"/>
      <c r="FE98" s="253"/>
      <c r="FF98" s="253"/>
      <c r="FG98" s="253"/>
      <c r="FH98" s="253"/>
      <c r="FI98" s="253"/>
      <c r="FJ98" s="253"/>
      <c r="FK98" s="253"/>
      <c r="FL98" s="253"/>
      <c r="FM98" s="253"/>
      <c r="FN98" s="253"/>
      <c r="FO98" s="253"/>
      <c r="FP98" s="256"/>
      <c r="FQ98" s="257" t="s">
        <v>1322</v>
      </c>
      <c r="FR98" s="258" t="s">
        <v>389</v>
      </c>
      <c r="FS98" s="258" t="s">
        <v>1087</v>
      </c>
      <c r="FT98" s="258" t="s">
        <v>445</v>
      </c>
      <c r="FU98" s="259">
        <f t="shared" si="2"/>
        <v>0</v>
      </c>
      <c r="FV98" s="260" t="s">
        <v>433</v>
      </c>
    </row>
    <row r="99" spans="1:178" s="260" customFormat="1" hidden="1">
      <c r="A99" s="251" t="s">
        <v>393</v>
      </c>
      <c r="B99" s="251" t="s">
        <v>385</v>
      </c>
      <c r="C99" s="251" t="s">
        <v>411</v>
      </c>
      <c r="D99" s="251" t="s">
        <v>291</v>
      </c>
      <c r="E99" s="252" t="s">
        <v>860</v>
      </c>
      <c r="F99" s="251" t="s">
        <v>388</v>
      </c>
      <c r="G99" s="251"/>
      <c r="H99" s="253"/>
      <c r="I99" s="253"/>
      <c r="J99" s="253"/>
      <c r="K99" s="253"/>
      <c r="L99" s="253"/>
      <c r="M99" s="253"/>
      <c r="N99" s="253"/>
      <c r="O99" s="253"/>
      <c r="P99" s="253"/>
      <c r="Q99" s="253"/>
      <c r="R99" s="253"/>
      <c r="S99" s="253"/>
      <c r="T99" s="253"/>
      <c r="U99" s="253"/>
      <c r="V99" s="253"/>
      <c r="W99" s="253"/>
      <c r="X99" s="253"/>
      <c r="Y99" s="253"/>
      <c r="Z99" s="253"/>
      <c r="AA99" s="253"/>
      <c r="AB99" s="253"/>
      <c r="AC99" s="253"/>
      <c r="AD99" s="253"/>
      <c r="AE99" s="253"/>
      <c r="AF99" s="253"/>
      <c r="AG99" s="253"/>
      <c r="AH99" s="253"/>
      <c r="AI99" s="253"/>
      <c r="AJ99" s="253"/>
      <c r="AK99" s="253"/>
      <c r="AL99" s="253"/>
      <c r="AM99" s="253"/>
      <c r="AN99" s="253"/>
      <c r="AO99" s="253"/>
      <c r="AP99" s="253"/>
      <c r="AQ99" s="253"/>
      <c r="AR99" s="253"/>
      <c r="AS99" s="253"/>
      <c r="AT99" s="253"/>
      <c r="AU99" s="253"/>
      <c r="AV99" s="253"/>
      <c r="AW99" s="253"/>
      <c r="AX99" s="253"/>
      <c r="AY99" s="253"/>
      <c r="AZ99" s="253"/>
      <c r="BA99" s="253"/>
      <c r="BB99" s="253"/>
      <c r="BC99" s="253"/>
      <c r="BD99" s="253"/>
      <c r="BE99" s="253"/>
      <c r="BF99" s="253"/>
      <c r="BG99" s="253"/>
      <c r="BH99" s="253"/>
      <c r="BI99" s="253"/>
      <c r="BJ99" s="253"/>
      <c r="BK99" s="253"/>
      <c r="BL99" s="253"/>
      <c r="BM99" s="253"/>
      <c r="BN99" s="253"/>
      <c r="BO99" s="253"/>
      <c r="BP99" s="253"/>
      <c r="BQ99" s="253"/>
      <c r="BR99" s="253"/>
      <c r="BS99" s="253"/>
      <c r="BT99" s="253"/>
      <c r="BU99" s="253"/>
      <c r="BV99" s="253"/>
      <c r="BW99" s="253"/>
      <c r="BX99" s="253"/>
      <c r="BY99" s="253"/>
      <c r="BZ99" s="253"/>
      <c r="CA99" s="253"/>
      <c r="CB99" s="253"/>
      <c r="CC99" s="253"/>
      <c r="CD99" s="253"/>
      <c r="CE99" s="253"/>
      <c r="CF99" s="253"/>
      <c r="CG99" s="253"/>
      <c r="CH99" s="253"/>
      <c r="CI99" s="253"/>
      <c r="CJ99" s="253"/>
      <c r="CK99" s="253"/>
      <c r="CL99" s="253"/>
      <c r="CM99" s="253"/>
      <c r="CN99" s="253"/>
      <c r="CO99" s="253"/>
      <c r="CP99" s="253"/>
      <c r="CQ99" s="253"/>
      <c r="CR99" s="253"/>
      <c r="CS99" s="253"/>
      <c r="CT99" s="253"/>
      <c r="CU99" s="253"/>
      <c r="CV99" s="253"/>
      <c r="CW99" s="253"/>
      <c r="CX99" s="253"/>
      <c r="CY99" s="253"/>
      <c r="CZ99" s="253"/>
      <c r="DA99" s="253"/>
      <c r="DB99" s="253"/>
      <c r="DC99" s="253"/>
      <c r="DD99" s="253"/>
      <c r="DE99" s="253"/>
      <c r="DF99" s="253"/>
      <c r="DG99" s="253"/>
      <c r="DH99" s="253"/>
      <c r="DI99" s="255">
        <f>500-500</f>
        <v>0</v>
      </c>
      <c r="DJ99" s="253"/>
      <c r="DK99" s="253"/>
      <c r="DL99" s="253"/>
      <c r="DM99" s="253"/>
      <c r="DN99" s="253"/>
      <c r="DO99" s="253"/>
      <c r="DP99" s="253"/>
      <c r="DQ99" s="253"/>
      <c r="DR99" s="253"/>
      <c r="DS99" s="253"/>
      <c r="DT99" s="255">
        <f>500-500</f>
        <v>0</v>
      </c>
      <c r="DU99" s="253"/>
      <c r="DV99" s="253"/>
      <c r="DW99" s="255">
        <f>500-500</f>
        <v>0</v>
      </c>
      <c r="DX99" s="253"/>
      <c r="DY99" s="253"/>
      <c r="DZ99" s="253"/>
      <c r="EA99" s="253"/>
      <c r="EB99" s="253"/>
      <c r="EC99" s="253"/>
      <c r="ED99" s="253"/>
      <c r="EE99" s="253"/>
      <c r="EF99" s="253"/>
      <c r="EG99" s="253"/>
      <c r="EH99" s="253"/>
      <c r="EI99" s="253"/>
      <c r="EJ99" s="253"/>
      <c r="EK99" s="253"/>
      <c r="EL99" s="253"/>
      <c r="EM99" s="253"/>
      <c r="EN99" s="253"/>
      <c r="EO99" s="253"/>
      <c r="EP99" s="253"/>
      <c r="EQ99" s="253"/>
      <c r="ER99" s="253"/>
      <c r="ES99" s="253"/>
      <c r="ET99" s="253"/>
      <c r="EU99" s="253"/>
      <c r="EV99" s="253"/>
      <c r="EW99" s="253"/>
      <c r="EX99" s="253"/>
      <c r="EY99" s="253"/>
      <c r="EZ99" s="253"/>
      <c r="FA99" s="253"/>
      <c r="FB99" s="253"/>
      <c r="FC99" s="253"/>
      <c r="FD99" s="253"/>
      <c r="FE99" s="253"/>
      <c r="FF99" s="253"/>
      <c r="FG99" s="253"/>
      <c r="FH99" s="253"/>
      <c r="FI99" s="253"/>
      <c r="FJ99" s="253"/>
      <c r="FK99" s="253"/>
      <c r="FL99" s="253"/>
      <c r="FM99" s="253"/>
      <c r="FN99" s="253"/>
      <c r="FO99" s="253"/>
      <c r="FP99" s="256"/>
      <c r="FQ99" s="257" t="s">
        <v>1322</v>
      </c>
      <c r="FR99" s="258" t="s">
        <v>389</v>
      </c>
      <c r="FS99" s="258"/>
      <c r="FT99" s="258" t="s">
        <v>429</v>
      </c>
      <c r="FU99" s="259">
        <f t="shared" si="2"/>
        <v>0</v>
      </c>
      <c r="FV99" s="260" t="s">
        <v>414</v>
      </c>
    </row>
    <row r="100" spans="1:178" s="260" customFormat="1" hidden="1">
      <c r="A100" s="251" t="s">
        <v>393</v>
      </c>
      <c r="B100" s="251" t="s">
        <v>385</v>
      </c>
      <c r="C100" s="251" t="s">
        <v>411</v>
      </c>
      <c r="D100" s="251" t="s">
        <v>1</v>
      </c>
      <c r="E100" s="252" t="s">
        <v>860</v>
      </c>
      <c r="F100" s="251" t="s">
        <v>388</v>
      </c>
      <c r="G100" s="251"/>
      <c r="H100" s="253"/>
      <c r="I100" s="253"/>
      <c r="J100" s="253"/>
      <c r="K100" s="253"/>
      <c r="L100" s="253"/>
      <c r="M100" s="253"/>
      <c r="N100" s="253"/>
      <c r="O100" s="253"/>
      <c r="P100" s="253"/>
      <c r="Q100" s="253"/>
      <c r="R100" s="253"/>
      <c r="S100" s="253"/>
      <c r="T100" s="253"/>
      <c r="U100" s="253"/>
      <c r="V100" s="253"/>
      <c r="W100" s="253"/>
      <c r="X100" s="253"/>
      <c r="Y100" s="253"/>
      <c r="Z100" s="253"/>
      <c r="AA100" s="255">
        <f>300-300</f>
        <v>0</v>
      </c>
      <c r="AB100" s="255">
        <f>300-300</f>
        <v>0</v>
      </c>
      <c r="AC100" s="255">
        <f>300-300</f>
        <v>0</v>
      </c>
      <c r="AD100" s="255">
        <f>300-300</f>
        <v>0</v>
      </c>
      <c r="AE100" s="255">
        <f>300-300</f>
        <v>0</v>
      </c>
      <c r="AF100" s="253"/>
      <c r="AG100" s="255">
        <f>100-100</f>
        <v>0</v>
      </c>
      <c r="AH100" s="253"/>
      <c r="AI100" s="253"/>
      <c r="AJ100" s="255">
        <f>200-200</f>
        <v>0</v>
      </c>
      <c r="AK100" s="253"/>
      <c r="AL100" s="253"/>
      <c r="AM100" s="253"/>
      <c r="AN100" s="253"/>
      <c r="AO100" s="253"/>
      <c r="AP100" s="255">
        <f>500-500</f>
        <v>0</v>
      </c>
      <c r="AQ100" s="253"/>
      <c r="AR100" s="255">
        <f>200-200</f>
        <v>0</v>
      </c>
      <c r="AS100" s="253"/>
      <c r="AT100" s="253"/>
      <c r="AU100" s="253"/>
      <c r="AV100" s="253"/>
      <c r="AW100" s="253"/>
      <c r="AX100" s="253"/>
      <c r="AY100" s="253"/>
      <c r="AZ100" s="253"/>
      <c r="BA100" s="253"/>
      <c r="BB100" s="253"/>
      <c r="BC100" s="253"/>
      <c r="BD100" s="253"/>
      <c r="BE100" s="253"/>
      <c r="BF100" s="253"/>
      <c r="BG100" s="253"/>
      <c r="BH100" s="253"/>
      <c r="BI100" s="253"/>
      <c r="BJ100" s="253"/>
      <c r="BK100" s="253"/>
      <c r="BL100" s="253"/>
      <c r="BM100" s="253"/>
      <c r="BN100" s="253"/>
      <c r="BO100" s="253"/>
      <c r="BP100" s="253"/>
      <c r="BQ100" s="253"/>
      <c r="BR100" s="253"/>
      <c r="BS100" s="253"/>
      <c r="BT100" s="253"/>
      <c r="BU100" s="253"/>
      <c r="BV100" s="253"/>
      <c r="BW100" s="253"/>
      <c r="BX100" s="253"/>
      <c r="BY100" s="253"/>
      <c r="BZ100" s="253"/>
      <c r="CA100" s="253"/>
      <c r="CB100" s="253"/>
      <c r="CC100" s="253"/>
      <c r="CD100" s="253"/>
      <c r="CE100" s="253"/>
      <c r="CF100" s="253"/>
      <c r="CG100" s="253"/>
      <c r="CH100" s="253"/>
      <c r="CI100" s="253"/>
      <c r="CJ100" s="253"/>
      <c r="CK100" s="253"/>
      <c r="CL100" s="253"/>
      <c r="CM100" s="253"/>
      <c r="CN100" s="253"/>
      <c r="CO100" s="253"/>
      <c r="CP100" s="253"/>
      <c r="CQ100" s="253"/>
      <c r="CR100" s="253"/>
      <c r="CS100" s="253"/>
      <c r="CT100" s="253"/>
      <c r="CU100" s="253"/>
      <c r="CV100" s="253"/>
      <c r="CW100" s="253"/>
      <c r="CX100" s="253"/>
      <c r="CY100" s="253"/>
      <c r="CZ100" s="253"/>
      <c r="DA100" s="253"/>
      <c r="DB100" s="253"/>
      <c r="DC100" s="253"/>
      <c r="DD100" s="253"/>
      <c r="DE100" s="253"/>
      <c r="DF100" s="253"/>
      <c r="DG100" s="253"/>
      <c r="DH100" s="253"/>
      <c r="DI100" s="253"/>
      <c r="DJ100" s="253"/>
      <c r="DK100" s="253"/>
      <c r="DL100" s="253"/>
      <c r="DM100" s="253"/>
      <c r="DN100" s="253"/>
      <c r="DO100" s="253"/>
      <c r="DP100" s="253"/>
      <c r="DQ100" s="253"/>
      <c r="DR100" s="253"/>
      <c r="DS100" s="255">
        <f>500-500</f>
        <v>0</v>
      </c>
      <c r="DT100" s="253"/>
      <c r="DU100" s="255">
        <f>500-500</f>
        <v>0</v>
      </c>
      <c r="DV100" s="253"/>
      <c r="DW100" s="253"/>
      <c r="DX100" s="253"/>
      <c r="DY100" s="253"/>
      <c r="DZ100" s="253"/>
      <c r="EA100" s="253"/>
      <c r="EB100" s="253"/>
      <c r="EC100" s="253"/>
      <c r="ED100" s="253"/>
      <c r="EE100" s="253"/>
      <c r="EF100" s="253"/>
      <c r="EG100" s="253"/>
      <c r="EH100" s="253"/>
      <c r="EI100" s="253"/>
      <c r="EJ100" s="253"/>
      <c r="EK100" s="253"/>
      <c r="EL100" s="253"/>
      <c r="EM100" s="253"/>
      <c r="EN100" s="253"/>
      <c r="EO100" s="253"/>
      <c r="EP100" s="253"/>
      <c r="EQ100" s="253"/>
      <c r="ER100" s="253"/>
      <c r="ES100" s="253"/>
      <c r="ET100" s="253"/>
      <c r="EU100" s="253"/>
      <c r="EV100" s="253"/>
      <c r="EW100" s="253"/>
      <c r="EX100" s="253"/>
      <c r="EY100" s="253"/>
      <c r="EZ100" s="253"/>
      <c r="FA100" s="253"/>
      <c r="FB100" s="253"/>
      <c r="FC100" s="253"/>
      <c r="FD100" s="253"/>
      <c r="FE100" s="253"/>
      <c r="FF100" s="253"/>
      <c r="FG100" s="253"/>
      <c r="FH100" s="253"/>
      <c r="FI100" s="253"/>
      <c r="FJ100" s="253"/>
      <c r="FK100" s="253"/>
      <c r="FL100" s="253"/>
      <c r="FM100" s="253"/>
      <c r="FN100" s="253"/>
      <c r="FO100" s="253"/>
      <c r="FP100" s="256"/>
      <c r="FQ100" s="257" t="s">
        <v>1322</v>
      </c>
      <c r="FR100" s="258" t="s">
        <v>389</v>
      </c>
      <c r="FS100" s="258"/>
      <c r="FT100" s="258" t="s">
        <v>429</v>
      </c>
      <c r="FU100" s="259">
        <f t="shared" si="2"/>
        <v>0</v>
      </c>
      <c r="FV100" s="260" t="s">
        <v>414</v>
      </c>
    </row>
    <row r="101" spans="1:178" s="260" customFormat="1">
      <c r="A101" s="251" t="s">
        <v>393</v>
      </c>
      <c r="B101" s="251" t="s">
        <v>385</v>
      </c>
      <c r="C101" s="251" t="s">
        <v>411</v>
      </c>
      <c r="D101" s="251" t="s">
        <v>291</v>
      </c>
      <c r="E101" s="252" t="s">
        <v>446</v>
      </c>
      <c r="F101" s="251" t="s">
        <v>388</v>
      </c>
      <c r="G101" s="251" t="s">
        <v>1353</v>
      </c>
      <c r="H101" s="253"/>
      <c r="I101" s="253"/>
      <c r="J101" s="253"/>
      <c r="K101" s="253"/>
      <c r="L101" s="253"/>
      <c r="M101" s="253"/>
      <c r="N101" s="253"/>
      <c r="O101" s="253"/>
      <c r="P101" s="253"/>
      <c r="Q101" s="253"/>
      <c r="R101" s="253"/>
      <c r="S101" s="253"/>
      <c r="T101" s="253"/>
      <c r="U101" s="253"/>
      <c r="V101" s="253"/>
      <c r="W101" s="253"/>
      <c r="X101" s="253"/>
      <c r="Y101" s="253"/>
      <c r="Z101" s="253"/>
      <c r="AA101" s="253"/>
      <c r="AB101" s="253"/>
      <c r="AC101" s="253"/>
      <c r="AD101" s="253"/>
      <c r="AE101" s="253"/>
      <c r="AF101" s="253"/>
      <c r="AG101" s="253"/>
      <c r="AH101" s="253"/>
      <c r="AI101" s="253"/>
      <c r="AJ101" s="253"/>
      <c r="AK101" s="253"/>
      <c r="AL101" s="253"/>
      <c r="AM101" s="253"/>
      <c r="AN101" s="253"/>
      <c r="AO101" s="253"/>
      <c r="AP101" s="253"/>
      <c r="AQ101" s="253"/>
      <c r="AR101" s="253"/>
      <c r="AS101" s="253"/>
      <c r="AT101" s="255">
        <f>500-500</f>
        <v>0</v>
      </c>
      <c r="AU101" s="253"/>
      <c r="AV101" s="253"/>
      <c r="AW101" s="253"/>
      <c r="AX101" s="253"/>
      <c r="AY101" s="253"/>
      <c r="AZ101" s="253"/>
      <c r="BA101" s="253"/>
      <c r="BB101" s="253"/>
      <c r="BC101" s="253"/>
      <c r="BD101" s="253"/>
      <c r="BE101" s="253"/>
      <c r="BF101" s="253"/>
      <c r="BG101" s="253"/>
      <c r="BH101" s="253"/>
      <c r="BI101" s="253"/>
      <c r="BJ101" s="253"/>
      <c r="BK101" s="253"/>
      <c r="BL101" s="253"/>
      <c r="BM101" s="253"/>
      <c r="BN101" s="253"/>
      <c r="BO101" s="253"/>
      <c r="BP101" s="253"/>
      <c r="BQ101" s="253"/>
      <c r="BR101" s="253"/>
      <c r="BS101" s="253"/>
      <c r="BT101" s="253"/>
      <c r="BU101" s="253"/>
      <c r="BV101" s="253"/>
      <c r="BW101" s="253"/>
      <c r="BX101" s="253"/>
      <c r="BY101" s="253"/>
      <c r="BZ101" s="253"/>
      <c r="CA101" s="253"/>
      <c r="CB101" s="253"/>
      <c r="CC101" s="253"/>
      <c r="CD101" s="253"/>
      <c r="CE101" s="253"/>
      <c r="CF101" s="253"/>
      <c r="CG101" s="253"/>
      <c r="CH101" s="253"/>
      <c r="CI101" s="253"/>
      <c r="CJ101" s="253"/>
      <c r="CK101" s="253"/>
      <c r="CL101" s="253"/>
      <c r="CM101" s="253"/>
      <c r="CN101" s="253"/>
      <c r="CO101" s="253"/>
      <c r="CP101" s="253"/>
      <c r="CQ101" s="253"/>
      <c r="CR101" s="253"/>
      <c r="CS101" s="253"/>
      <c r="CT101" s="253"/>
      <c r="CU101" s="253"/>
      <c r="CV101" s="253"/>
      <c r="CW101" s="253"/>
      <c r="CX101" s="253"/>
      <c r="CY101" s="253"/>
      <c r="CZ101" s="253"/>
      <c r="DA101" s="253"/>
      <c r="DB101" s="253"/>
      <c r="DC101" s="253"/>
      <c r="DD101" s="253"/>
      <c r="DE101" s="253"/>
      <c r="DF101" s="253"/>
      <c r="DG101" s="253"/>
      <c r="DH101" s="253"/>
      <c r="DI101" s="255">
        <f>1000-1000</f>
        <v>0</v>
      </c>
      <c r="DJ101" s="253"/>
      <c r="DK101" s="253"/>
      <c r="DL101" s="253"/>
      <c r="DM101" s="253"/>
      <c r="DN101" s="253"/>
      <c r="DO101" s="253"/>
      <c r="DP101" s="253"/>
      <c r="DQ101" s="253"/>
      <c r="DR101" s="253"/>
      <c r="DS101" s="253"/>
      <c r="DT101" s="253"/>
      <c r="DU101" s="253"/>
      <c r="DV101" s="253"/>
      <c r="DW101" s="253"/>
      <c r="DX101" s="255"/>
      <c r="DY101" s="253"/>
      <c r="DZ101" s="253"/>
      <c r="EA101" s="253"/>
      <c r="EB101" s="253"/>
      <c r="EC101" s="253"/>
      <c r="ED101" s="253"/>
      <c r="EE101" s="253"/>
      <c r="EF101" s="255">
        <f>1000-1000</f>
        <v>0</v>
      </c>
      <c r="EG101" s="255">
        <f>1000-1000</f>
        <v>0</v>
      </c>
      <c r="EH101" s="253"/>
      <c r="EI101" s="253"/>
      <c r="EJ101" s="255">
        <v>40</v>
      </c>
      <c r="EK101" s="253"/>
      <c r="EL101" s="253"/>
      <c r="EM101" s="253"/>
      <c r="EN101" s="253"/>
      <c r="EO101" s="253"/>
      <c r="EP101" s="253"/>
      <c r="EQ101" s="253"/>
      <c r="ER101" s="253"/>
      <c r="ES101" s="253"/>
      <c r="ET101" s="253"/>
      <c r="EU101" s="253"/>
      <c r="EV101" s="253"/>
      <c r="EW101" s="428">
        <v>60</v>
      </c>
      <c r="EX101" s="253"/>
      <c r="EY101" s="253"/>
      <c r="EZ101" s="253"/>
      <c r="FA101" s="253"/>
      <c r="FB101" s="253"/>
      <c r="FC101" s="253"/>
      <c r="FD101" s="253"/>
      <c r="FE101" s="253"/>
      <c r="FF101" s="253"/>
      <c r="FG101" s="253"/>
      <c r="FH101" s="253"/>
      <c r="FI101" s="253"/>
      <c r="FJ101" s="253"/>
      <c r="FK101" s="253"/>
      <c r="FL101" s="253"/>
      <c r="FM101" s="253"/>
      <c r="FN101" s="253"/>
      <c r="FO101" s="253"/>
      <c r="FP101" s="256"/>
      <c r="FQ101" s="257" t="s">
        <v>1322</v>
      </c>
      <c r="FR101" s="258" t="s">
        <v>389</v>
      </c>
      <c r="FS101" s="258"/>
      <c r="FT101" s="258" t="s">
        <v>423</v>
      </c>
      <c r="FU101" s="259">
        <f t="shared" ref="FU101:FU102" si="4">SUM(H101:FO101)</f>
        <v>100</v>
      </c>
      <c r="FV101" s="260" t="s">
        <v>835</v>
      </c>
    </row>
    <row r="102" spans="1:178" s="260" customFormat="1">
      <c r="A102" s="251" t="s">
        <v>393</v>
      </c>
      <c r="B102" s="251" t="s">
        <v>385</v>
      </c>
      <c r="C102" s="251" t="s">
        <v>411</v>
      </c>
      <c r="D102" s="251" t="s">
        <v>1</v>
      </c>
      <c r="E102" s="252" t="s">
        <v>446</v>
      </c>
      <c r="F102" s="251" t="s">
        <v>388</v>
      </c>
      <c r="G102" s="251" t="s">
        <v>1353</v>
      </c>
      <c r="H102" s="253"/>
      <c r="I102" s="253"/>
      <c r="J102" s="253"/>
      <c r="K102" s="253"/>
      <c r="L102" s="253"/>
      <c r="M102" s="253"/>
      <c r="N102" s="253"/>
      <c r="O102" s="253"/>
      <c r="P102" s="253"/>
      <c r="Q102" s="253"/>
      <c r="R102" s="253"/>
      <c r="S102" s="253"/>
      <c r="T102" s="253"/>
      <c r="U102" s="253"/>
      <c r="V102" s="253"/>
      <c r="W102" s="253">
        <v>10</v>
      </c>
      <c r="X102" s="253"/>
      <c r="Y102" s="253"/>
      <c r="Z102" s="253"/>
      <c r="AA102" s="255">
        <f>1000-1000</f>
        <v>0</v>
      </c>
      <c r="AB102" s="255">
        <f>1000-1000</f>
        <v>0</v>
      </c>
      <c r="AC102" s="253"/>
      <c r="AD102" s="255">
        <f>2000-2000</f>
        <v>0</v>
      </c>
      <c r="AE102" s="255">
        <f>2000-2000</f>
        <v>0</v>
      </c>
      <c r="AF102" s="255">
        <f>2000-2000</f>
        <v>0</v>
      </c>
      <c r="AG102" s="255">
        <f>2000-2000</f>
        <v>0</v>
      </c>
      <c r="AH102" s="253"/>
      <c r="AI102" s="253"/>
      <c r="AJ102" s="255">
        <f>2000-2000</f>
        <v>0</v>
      </c>
      <c r="AK102" s="253"/>
      <c r="AL102" s="255">
        <f>500-500</f>
        <v>0</v>
      </c>
      <c r="AM102" s="255">
        <f>500-500</f>
        <v>0</v>
      </c>
      <c r="AN102" s="253"/>
      <c r="AO102" s="253"/>
      <c r="AP102" s="255">
        <v>200</v>
      </c>
      <c r="AQ102" s="253"/>
      <c r="AR102" s="255">
        <f>2000-2000</f>
        <v>0</v>
      </c>
      <c r="AS102" s="253"/>
      <c r="AT102" s="253"/>
      <c r="AU102" s="253"/>
      <c r="AV102" s="253"/>
      <c r="AW102" s="253"/>
      <c r="AX102" s="253"/>
      <c r="AY102" s="253"/>
      <c r="AZ102" s="253"/>
      <c r="BA102" s="253"/>
      <c r="BB102" s="253"/>
      <c r="BC102" s="253"/>
      <c r="BD102" s="253"/>
      <c r="BE102" s="253"/>
      <c r="BF102" s="253"/>
      <c r="BG102" s="253"/>
      <c r="BH102" s="253"/>
      <c r="BI102" s="253"/>
      <c r="BJ102" s="253"/>
      <c r="BK102" s="253"/>
      <c r="BL102" s="253"/>
      <c r="BM102" s="253"/>
      <c r="BN102" s="253"/>
      <c r="BO102" s="253"/>
      <c r="BP102" s="253"/>
      <c r="BQ102" s="253">
        <v>10</v>
      </c>
      <c r="BR102" s="253"/>
      <c r="BS102" s="253"/>
      <c r="BT102" s="253"/>
      <c r="BU102" s="253"/>
      <c r="BV102" s="253"/>
      <c r="BW102" s="253"/>
      <c r="BX102" s="253"/>
      <c r="BY102" s="253"/>
      <c r="BZ102" s="253"/>
      <c r="CA102" s="253"/>
      <c r="CB102" s="253"/>
      <c r="CC102" s="253"/>
      <c r="CD102" s="253">
        <v>3</v>
      </c>
      <c r="CE102" s="253"/>
      <c r="CF102" s="253"/>
      <c r="CG102" s="253">
        <v>20</v>
      </c>
      <c r="CH102" s="253"/>
      <c r="CI102" s="253">
        <v>10</v>
      </c>
      <c r="CJ102" s="253"/>
      <c r="CK102" s="253"/>
      <c r="CL102" s="253"/>
      <c r="CM102" s="253">
        <v>20</v>
      </c>
      <c r="CN102" s="253">
        <v>50</v>
      </c>
      <c r="CO102" s="253">
        <v>20</v>
      </c>
      <c r="CP102" s="253"/>
      <c r="CQ102" s="253"/>
      <c r="CR102" s="253"/>
      <c r="CS102" s="253">
        <v>2</v>
      </c>
      <c r="CT102" s="253"/>
      <c r="CU102" s="253"/>
      <c r="CV102" s="253"/>
      <c r="CW102" s="253"/>
      <c r="CX102" s="253"/>
      <c r="CY102" s="253"/>
      <c r="CZ102" s="253"/>
      <c r="DA102" s="427">
        <v>10</v>
      </c>
      <c r="DB102" s="253"/>
      <c r="DC102" s="253"/>
      <c r="DD102" s="253"/>
      <c r="DE102" s="253"/>
      <c r="DF102" s="253"/>
      <c r="DG102" s="253"/>
      <c r="DH102" s="255">
        <f>1000-1000</f>
        <v>0</v>
      </c>
      <c r="DI102" s="253"/>
      <c r="DJ102" s="253"/>
      <c r="DK102" s="253"/>
      <c r="DL102" s="253"/>
      <c r="DM102" s="253"/>
      <c r="DN102" s="253"/>
      <c r="DO102" s="253"/>
      <c r="DP102" s="253"/>
      <c r="DQ102" s="253"/>
      <c r="DR102" s="253"/>
      <c r="DS102" s="253"/>
      <c r="DT102" s="253"/>
      <c r="DU102" s="255">
        <f>1000-1000</f>
        <v>0</v>
      </c>
      <c r="DV102" s="255">
        <f>500-500</f>
        <v>0</v>
      </c>
      <c r="DW102" s="253"/>
      <c r="DX102" s="253"/>
      <c r="DY102" s="255">
        <f>200-200</f>
        <v>0</v>
      </c>
      <c r="DZ102" s="253"/>
      <c r="EA102" s="253"/>
      <c r="EB102" s="253"/>
      <c r="EC102" s="253"/>
      <c r="ED102" s="253"/>
      <c r="EE102" s="253"/>
      <c r="EF102" s="253"/>
      <c r="EG102" s="253"/>
      <c r="EH102" s="253"/>
      <c r="EI102" s="253"/>
      <c r="EJ102" s="253"/>
      <c r="EK102" s="255">
        <v>40</v>
      </c>
      <c r="EL102" s="255">
        <f>1000-1000</f>
        <v>0</v>
      </c>
      <c r="EM102" s="253"/>
      <c r="EN102" s="253"/>
      <c r="EO102" s="253"/>
      <c r="EP102" s="253"/>
      <c r="EQ102" s="253">
        <v>300</v>
      </c>
      <c r="ER102" s="253"/>
      <c r="ES102" s="253"/>
      <c r="ET102" s="253"/>
      <c r="EU102" s="253"/>
      <c r="EV102" s="253"/>
      <c r="EX102" s="253"/>
      <c r="EY102" s="427">
        <v>20</v>
      </c>
      <c r="EZ102" s="253"/>
      <c r="FA102" s="253"/>
      <c r="FB102" s="253"/>
      <c r="FC102" s="253"/>
      <c r="FD102" s="253"/>
      <c r="FE102" s="253"/>
      <c r="FF102" s="253"/>
      <c r="FG102" s="253"/>
      <c r="FH102" s="253"/>
      <c r="FI102" s="253"/>
      <c r="FJ102" s="253"/>
      <c r="FK102" s="253"/>
      <c r="FL102" s="253"/>
      <c r="FM102" s="253"/>
      <c r="FN102" s="253"/>
      <c r="FO102" s="253"/>
      <c r="FP102" s="256"/>
      <c r="FQ102" s="257" t="s">
        <v>1322</v>
      </c>
      <c r="FR102" s="258" t="s">
        <v>389</v>
      </c>
      <c r="FS102" s="258"/>
      <c r="FT102" s="258" t="s">
        <v>423</v>
      </c>
      <c r="FU102" s="259">
        <f t="shared" si="4"/>
        <v>715</v>
      </c>
      <c r="FV102" s="260" t="s">
        <v>835</v>
      </c>
    </row>
    <row r="103" spans="1:178" s="260" customFormat="1">
      <c r="A103" s="251" t="s">
        <v>393</v>
      </c>
      <c r="B103" s="251" t="s">
        <v>385</v>
      </c>
      <c r="C103" s="251" t="s">
        <v>411</v>
      </c>
      <c r="D103" s="251" t="s">
        <v>1375</v>
      </c>
      <c r="E103" s="252" t="s">
        <v>446</v>
      </c>
      <c r="F103" s="251" t="s">
        <v>388</v>
      </c>
      <c r="G103" s="251"/>
      <c r="H103" s="253"/>
      <c r="I103" s="253"/>
      <c r="J103" s="253"/>
      <c r="K103" s="253"/>
      <c r="L103" s="253"/>
      <c r="M103" s="253"/>
      <c r="N103" s="253"/>
      <c r="O103" s="253"/>
      <c r="P103" s="253"/>
      <c r="Q103" s="253"/>
      <c r="R103" s="253"/>
      <c r="S103" s="253"/>
      <c r="T103" s="253"/>
      <c r="U103" s="253"/>
      <c r="V103" s="253"/>
      <c r="W103" s="253"/>
      <c r="X103" s="253"/>
      <c r="Y103" s="253"/>
      <c r="Z103" s="253"/>
      <c r="AA103" s="253"/>
      <c r="AB103" s="253"/>
      <c r="AC103" s="253"/>
      <c r="AD103" s="253"/>
      <c r="AE103" s="253"/>
      <c r="AF103" s="253"/>
      <c r="AG103" s="253"/>
      <c r="AH103" s="253"/>
      <c r="AI103" s="253"/>
      <c r="AJ103" s="253"/>
      <c r="AK103" s="253"/>
      <c r="AL103" s="253"/>
      <c r="AM103" s="253"/>
      <c r="AN103" s="253"/>
      <c r="AO103" s="253"/>
      <c r="AP103" s="253"/>
      <c r="AQ103" s="253"/>
      <c r="AR103" s="253"/>
      <c r="AS103" s="253"/>
      <c r="AT103" s="255"/>
      <c r="AU103" s="253"/>
      <c r="AV103" s="253"/>
      <c r="AW103" s="253"/>
      <c r="AX103" s="253"/>
      <c r="AY103" s="253"/>
      <c r="AZ103" s="253"/>
      <c r="BA103" s="253"/>
      <c r="BB103" s="253"/>
      <c r="BC103" s="253"/>
      <c r="BD103" s="253"/>
      <c r="BE103" s="253"/>
      <c r="BF103" s="253"/>
      <c r="BG103" s="253"/>
      <c r="BH103" s="253"/>
      <c r="BI103" s="253"/>
      <c r="BJ103" s="253"/>
      <c r="BK103" s="253"/>
      <c r="BL103" s="253"/>
      <c r="BM103" s="253"/>
      <c r="BN103" s="253"/>
      <c r="BO103" s="253"/>
      <c r="BP103" s="253"/>
      <c r="BQ103" s="253"/>
      <c r="BR103" s="253"/>
      <c r="BS103" s="253"/>
      <c r="BT103" s="253"/>
      <c r="BU103" s="253"/>
      <c r="BV103" s="253"/>
      <c r="BW103" s="253"/>
      <c r="BX103" s="253"/>
      <c r="BY103" s="253"/>
      <c r="BZ103" s="253"/>
      <c r="CA103" s="253"/>
      <c r="CB103" s="253"/>
      <c r="CC103" s="253"/>
      <c r="CD103" s="253"/>
      <c r="CE103" s="428">
        <v>10</v>
      </c>
      <c r="CF103" s="253"/>
      <c r="CG103" s="253"/>
      <c r="CH103" s="253"/>
      <c r="CI103" s="253"/>
      <c r="CJ103" s="253"/>
      <c r="CK103" s="253"/>
      <c r="CL103" s="253"/>
      <c r="CM103" s="253"/>
      <c r="CN103" s="253"/>
      <c r="CO103" s="253"/>
      <c r="CP103" s="253"/>
      <c r="CQ103" s="253"/>
      <c r="CR103" s="253"/>
      <c r="CS103" s="253"/>
      <c r="CT103" s="253"/>
      <c r="CU103" s="253"/>
      <c r="CV103" s="253"/>
      <c r="CW103" s="253"/>
      <c r="CX103" s="253"/>
      <c r="CY103" s="253"/>
      <c r="CZ103" s="253"/>
      <c r="DA103" s="253"/>
      <c r="DB103" s="253"/>
      <c r="DC103" s="253"/>
      <c r="DD103" s="253"/>
      <c r="DE103" s="253"/>
      <c r="DF103" s="253"/>
      <c r="DG103" s="253"/>
      <c r="DH103" s="253"/>
      <c r="DI103" s="255"/>
      <c r="DJ103" s="253"/>
      <c r="DK103" s="253"/>
      <c r="DL103" s="253"/>
      <c r="DM103" s="253"/>
      <c r="DN103" s="253"/>
      <c r="DO103" s="253"/>
      <c r="DP103" s="253"/>
      <c r="DQ103" s="253"/>
      <c r="DR103" s="253"/>
      <c r="DS103" s="253"/>
      <c r="DT103" s="253"/>
      <c r="DU103" s="253"/>
      <c r="DV103" s="253"/>
      <c r="DW103" s="253"/>
      <c r="DX103" s="255"/>
      <c r="DY103" s="253"/>
      <c r="DZ103" s="253"/>
      <c r="EA103" s="253"/>
      <c r="EB103" s="253"/>
      <c r="EC103" s="253"/>
      <c r="ED103" s="253"/>
      <c r="EE103" s="253"/>
      <c r="EF103" s="255"/>
      <c r="EG103" s="255"/>
      <c r="EH103" s="253"/>
      <c r="EI103" s="253"/>
      <c r="EJ103" s="255"/>
      <c r="EK103" s="253"/>
      <c r="EL103" s="253"/>
      <c r="EM103" s="253"/>
      <c r="EN103" s="253"/>
      <c r="EO103" s="253"/>
      <c r="EP103" s="253"/>
      <c r="EQ103" s="253"/>
      <c r="ER103" s="253"/>
      <c r="ES103" s="253"/>
      <c r="ET103" s="253"/>
      <c r="EU103" s="253"/>
      <c r="EV103" s="253"/>
      <c r="EW103" s="253"/>
      <c r="EX103" s="253"/>
      <c r="EY103" s="253"/>
      <c r="EZ103" s="253"/>
      <c r="FA103" s="253"/>
      <c r="FB103" s="253"/>
      <c r="FC103" s="253"/>
      <c r="FD103" s="253"/>
      <c r="FE103" s="253"/>
      <c r="FF103" s="253"/>
      <c r="FG103" s="253"/>
      <c r="FH103" s="253"/>
      <c r="FI103" s="253"/>
      <c r="FJ103" s="253"/>
      <c r="FK103" s="253"/>
      <c r="FL103" s="253"/>
      <c r="FM103" s="253"/>
      <c r="FN103" s="253"/>
      <c r="FO103" s="253"/>
      <c r="FP103" s="256"/>
      <c r="FQ103" s="257" t="s">
        <v>1322</v>
      </c>
      <c r="FR103" s="258" t="s">
        <v>389</v>
      </c>
      <c r="FS103" s="258"/>
      <c r="FT103" s="258" t="s">
        <v>423</v>
      </c>
      <c r="FU103" s="259">
        <f t="shared" si="2"/>
        <v>10</v>
      </c>
      <c r="FV103" s="260" t="s">
        <v>835</v>
      </c>
    </row>
    <row r="104" spans="1:178" s="260" customFormat="1" hidden="1">
      <c r="A104" s="251" t="s">
        <v>393</v>
      </c>
      <c r="B104" s="251" t="s">
        <v>385</v>
      </c>
      <c r="C104" s="251" t="s">
        <v>411</v>
      </c>
      <c r="D104" s="251" t="s">
        <v>291</v>
      </c>
      <c r="E104" s="252" t="s">
        <v>1354</v>
      </c>
      <c r="F104" s="251" t="s">
        <v>388</v>
      </c>
      <c r="G104" s="251" t="s">
        <v>1355</v>
      </c>
      <c r="H104" s="253"/>
      <c r="I104" s="253"/>
      <c r="J104" s="253"/>
      <c r="K104" s="253"/>
      <c r="L104" s="253"/>
      <c r="M104" s="253"/>
      <c r="N104" s="253"/>
      <c r="O104" s="253"/>
      <c r="P104" s="253"/>
      <c r="Q104" s="253"/>
      <c r="R104" s="253"/>
      <c r="S104" s="253"/>
      <c r="T104" s="253"/>
      <c r="U104" s="253"/>
      <c r="V104" s="253"/>
      <c r="W104" s="253"/>
      <c r="X104" s="253"/>
      <c r="Y104" s="253"/>
      <c r="Z104" s="253"/>
      <c r="AA104" s="253"/>
      <c r="AB104" s="253"/>
      <c r="AC104" s="253"/>
      <c r="AD104" s="253"/>
      <c r="AE104" s="253"/>
      <c r="AF104" s="253"/>
      <c r="AG104" s="253"/>
      <c r="AH104" s="253"/>
      <c r="AI104" s="253"/>
      <c r="AJ104" s="253"/>
      <c r="AK104" s="253"/>
      <c r="AL104" s="253"/>
      <c r="AM104" s="253"/>
      <c r="AN104" s="253"/>
      <c r="AO104" s="253"/>
      <c r="AP104" s="253"/>
      <c r="AQ104" s="253"/>
      <c r="AR104" s="253"/>
      <c r="AS104" s="253"/>
      <c r="AT104" s="253"/>
      <c r="AU104" s="253"/>
      <c r="AV104" s="253"/>
      <c r="AW104" s="253"/>
      <c r="AX104" s="253"/>
      <c r="AY104" s="253"/>
      <c r="AZ104" s="253"/>
      <c r="BA104" s="253"/>
      <c r="BB104" s="253"/>
      <c r="BC104" s="253"/>
      <c r="BD104" s="253"/>
      <c r="BE104" s="253"/>
      <c r="BF104" s="253"/>
      <c r="BG104" s="253"/>
      <c r="BH104" s="253"/>
      <c r="BI104" s="253"/>
      <c r="BJ104" s="253"/>
      <c r="BK104" s="253"/>
      <c r="BL104" s="253"/>
      <c r="BM104" s="253"/>
      <c r="BN104" s="253"/>
      <c r="BO104" s="253"/>
      <c r="BP104" s="253"/>
      <c r="BQ104" s="253"/>
      <c r="BR104" s="253"/>
      <c r="BS104" s="253"/>
      <c r="BT104" s="253"/>
      <c r="BU104" s="253"/>
      <c r="BV104" s="253"/>
      <c r="BW104" s="253"/>
      <c r="BX104" s="253"/>
      <c r="BY104" s="253"/>
      <c r="BZ104" s="253"/>
      <c r="CA104" s="253"/>
      <c r="CB104" s="253"/>
      <c r="CC104" s="253"/>
      <c r="CD104" s="253"/>
      <c r="CE104" s="253"/>
      <c r="CF104" s="253"/>
      <c r="CG104" s="253"/>
      <c r="CH104" s="253"/>
      <c r="CI104" s="253"/>
      <c r="CJ104" s="253"/>
      <c r="CK104" s="253"/>
      <c r="CL104" s="253"/>
      <c r="CM104" s="253"/>
      <c r="CN104" s="253"/>
      <c r="CO104" s="253"/>
      <c r="CP104" s="253"/>
      <c r="CQ104" s="253"/>
      <c r="CR104" s="253"/>
      <c r="CS104" s="253"/>
      <c r="CT104" s="253"/>
      <c r="CU104" s="253"/>
      <c r="CV104" s="253"/>
      <c r="CW104" s="253"/>
      <c r="CX104" s="253"/>
      <c r="CY104" s="253"/>
      <c r="CZ104" s="253"/>
      <c r="DA104" s="253"/>
      <c r="DB104" s="253"/>
      <c r="DC104" s="253"/>
      <c r="DD104" s="253"/>
      <c r="DE104" s="253"/>
      <c r="DF104" s="253"/>
      <c r="DG104" s="253"/>
      <c r="DH104" s="253"/>
      <c r="DI104" s="253"/>
      <c r="DJ104" s="253"/>
      <c r="DK104" s="253"/>
      <c r="DL104" s="253"/>
      <c r="DM104" s="253"/>
      <c r="DN104" s="253"/>
      <c r="DO104" s="253"/>
      <c r="DP104" s="253"/>
      <c r="DQ104" s="253"/>
      <c r="DR104" s="253"/>
      <c r="DS104" s="253"/>
      <c r="DT104" s="255">
        <f>100-100</f>
        <v>0</v>
      </c>
      <c r="DU104" s="253"/>
      <c r="DV104" s="253"/>
      <c r="DW104" s="253"/>
      <c r="DX104" s="253"/>
      <c r="DY104" s="253"/>
      <c r="DZ104" s="253"/>
      <c r="EA104" s="253"/>
      <c r="EB104" s="253"/>
      <c r="EC104" s="253"/>
      <c r="ED104" s="253"/>
      <c r="EE104" s="253"/>
      <c r="EF104" s="255">
        <f>100-100</f>
        <v>0</v>
      </c>
      <c r="EG104" s="253"/>
      <c r="EH104" s="253"/>
      <c r="EI104" s="253"/>
      <c r="EJ104" s="253"/>
      <c r="EK104" s="253"/>
      <c r="EL104" s="253"/>
      <c r="EM104" s="253"/>
      <c r="EN104" s="253"/>
      <c r="EO104" s="253"/>
      <c r="EP104" s="253"/>
      <c r="EQ104" s="253"/>
      <c r="ER104" s="253"/>
      <c r="ES104" s="253"/>
      <c r="ET104" s="253"/>
      <c r="EU104" s="253"/>
      <c r="EV104" s="253"/>
      <c r="EW104" s="253"/>
      <c r="EX104" s="253"/>
      <c r="EY104" s="253"/>
      <c r="EZ104" s="253"/>
      <c r="FA104" s="253"/>
      <c r="FB104" s="253"/>
      <c r="FC104" s="253"/>
      <c r="FD104" s="253"/>
      <c r="FE104" s="253"/>
      <c r="FF104" s="253"/>
      <c r="FG104" s="253"/>
      <c r="FH104" s="253"/>
      <c r="FI104" s="253"/>
      <c r="FJ104" s="253"/>
      <c r="FK104" s="253"/>
      <c r="FL104" s="253"/>
      <c r="FM104" s="253"/>
      <c r="FN104" s="253"/>
      <c r="FO104" s="253"/>
      <c r="FP104" s="256"/>
      <c r="FQ104" s="257" t="s">
        <v>1322</v>
      </c>
      <c r="FR104" s="258" t="s">
        <v>389</v>
      </c>
      <c r="FS104" s="258" t="s">
        <v>1356</v>
      </c>
      <c r="FT104" s="258" t="s">
        <v>445</v>
      </c>
      <c r="FU104" s="259">
        <f t="shared" si="2"/>
        <v>0</v>
      </c>
      <c r="FV104" s="260" t="s">
        <v>433</v>
      </c>
    </row>
    <row r="105" spans="1:178" s="260" customFormat="1" hidden="1">
      <c r="A105" s="251" t="s">
        <v>393</v>
      </c>
      <c r="B105" s="251" t="s">
        <v>385</v>
      </c>
      <c r="C105" s="251" t="s">
        <v>411</v>
      </c>
      <c r="D105" s="251" t="s">
        <v>1</v>
      </c>
      <c r="E105" s="252" t="s">
        <v>1354</v>
      </c>
      <c r="F105" s="251" t="s">
        <v>388</v>
      </c>
      <c r="G105" s="251" t="s">
        <v>1355</v>
      </c>
      <c r="H105" s="253"/>
      <c r="I105" s="253"/>
      <c r="J105" s="253"/>
      <c r="K105" s="253"/>
      <c r="L105" s="253"/>
      <c r="M105" s="253"/>
      <c r="N105" s="253"/>
      <c r="O105" s="253"/>
      <c r="P105" s="253"/>
      <c r="Q105" s="253"/>
      <c r="R105" s="253"/>
      <c r="S105" s="253"/>
      <c r="T105" s="253"/>
      <c r="U105" s="253"/>
      <c r="V105" s="253"/>
      <c r="W105" s="253"/>
      <c r="X105" s="253"/>
      <c r="Y105" s="253"/>
      <c r="Z105" s="253"/>
      <c r="AA105" s="253"/>
      <c r="AB105" s="253"/>
      <c r="AC105" s="253"/>
      <c r="AD105" s="253"/>
      <c r="AE105" s="253"/>
      <c r="AF105" s="253"/>
      <c r="AG105" s="253"/>
      <c r="AH105" s="253"/>
      <c r="AI105" s="253"/>
      <c r="AJ105" s="253"/>
      <c r="AK105" s="253"/>
      <c r="AL105" s="253"/>
      <c r="AM105" s="253"/>
      <c r="AN105" s="253"/>
      <c r="AO105" s="253"/>
      <c r="AP105" s="253"/>
      <c r="AQ105" s="253"/>
      <c r="AR105" s="253"/>
      <c r="AS105" s="253"/>
      <c r="AT105" s="253"/>
      <c r="AU105" s="253"/>
      <c r="AV105" s="253"/>
      <c r="AW105" s="253"/>
      <c r="AX105" s="253"/>
      <c r="AY105" s="253"/>
      <c r="AZ105" s="253"/>
      <c r="BA105" s="253"/>
      <c r="BB105" s="253"/>
      <c r="BC105" s="253"/>
      <c r="BD105" s="253"/>
      <c r="BE105" s="253"/>
      <c r="BF105" s="253"/>
      <c r="BG105" s="253"/>
      <c r="BH105" s="253"/>
      <c r="BI105" s="253"/>
      <c r="BJ105" s="253"/>
      <c r="BK105" s="253"/>
      <c r="BL105" s="253"/>
      <c r="BM105" s="253"/>
      <c r="BN105" s="253"/>
      <c r="BO105" s="253"/>
      <c r="BP105" s="253"/>
      <c r="BQ105" s="253"/>
      <c r="BR105" s="253"/>
      <c r="BS105" s="253"/>
      <c r="BT105" s="253"/>
      <c r="BU105" s="253"/>
      <c r="BV105" s="253"/>
      <c r="BW105" s="253"/>
      <c r="BX105" s="253"/>
      <c r="BY105" s="253"/>
      <c r="BZ105" s="253"/>
      <c r="CA105" s="253"/>
      <c r="CB105" s="253"/>
      <c r="CC105" s="253"/>
      <c r="CD105" s="253"/>
      <c r="CE105" s="253"/>
      <c r="CF105" s="253"/>
      <c r="CG105" s="253"/>
      <c r="CH105" s="253"/>
      <c r="CI105" s="253"/>
      <c r="CJ105" s="253"/>
      <c r="CK105" s="253"/>
      <c r="CL105" s="253"/>
      <c r="CM105" s="253"/>
      <c r="CN105" s="253"/>
      <c r="CO105" s="253"/>
      <c r="CP105" s="253"/>
      <c r="CQ105" s="253"/>
      <c r="CR105" s="253"/>
      <c r="CS105" s="253"/>
      <c r="CT105" s="253"/>
      <c r="CU105" s="253"/>
      <c r="CV105" s="253"/>
      <c r="CW105" s="253"/>
      <c r="CX105" s="253"/>
      <c r="CY105" s="253"/>
      <c r="CZ105" s="253"/>
      <c r="DA105" s="253"/>
      <c r="DB105" s="253"/>
      <c r="DC105" s="253"/>
      <c r="DD105" s="253"/>
      <c r="DE105" s="253"/>
      <c r="DF105" s="253"/>
      <c r="DG105" s="253"/>
      <c r="DH105" s="253"/>
      <c r="DI105" s="253"/>
      <c r="DJ105" s="253"/>
      <c r="DK105" s="253"/>
      <c r="DL105" s="253"/>
      <c r="DM105" s="253"/>
      <c r="DN105" s="253"/>
      <c r="DO105" s="253"/>
      <c r="DP105" s="253"/>
      <c r="DQ105" s="253"/>
      <c r="DR105" s="253"/>
      <c r="DS105" s="253"/>
      <c r="DT105" s="253"/>
      <c r="DU105" s="253"/>
      <c r="DV105" s="253"/>
      <c r="DW105" s="253"/>
      <c r="DX105" s="253"/>
      <c r="DY105" s="253"/>
      <c r="DZ105" s="253"/>
      <c r="EA105" s="253"/>
      <c r="EB105" s="253"/>
      <c r="EC105" s="253"/>
      <c r="ED105" s="253"/>
      <c r="EE105" s="253"/>
      <c r="EF105" s="253"/>
      <c r="EG105" s="253"/>
      <c r="EH105" s="255">
        <f>10-10</f>
        <v>0</v>
      </c>
      <c r="EI105" s="255">
        <f>100-100</f>
        <v>0</v>
      </c>
      <c r="EJ105" s="253"/>
      <c r="EK105" s="253"/>
      <c r="EL105" s="253"/>
      <c r="EM105" s="253"/>
      <c r="EN105" s="253"/>
      <c r="EO105" s="253"/>
      <c r="EP105" s="253"/>
      <c r="EQ105" s="253"/>
      <c r="ER105" s="253"/>
      <c r="ES105" s="253"/>
      <c r="ET105" s="253"/>
      <c r="EU105" s="253"/>
      <c r="EV105" s="253"/>
      <c r="EW105" s="253"/>
      <c r="EX105" s="253"/>
      <c r="EY105" s="253"/>
      <c r="EZ105" s="253"/>
      <c r="FA105" s="253"/>
      <c r="FB105" s="253"/>
      <c r="FC105" s="253"/>
      <c r="FD105" s="253"/>
      <c r="FE105" s="253"/>
      <c r="FF105" s="253"/>
      <c r="FG105" s="253"/>
      <c r="FH105" s="253"/>
      <c r="FI105" s="253"/>
      <c r="FJ105" s="253"/>
      <c r="FK105" s="253"/>
      <c r="FL105" s="253"/>
      <c r="FM105" s="253"/>
      <c r="FN105" s="253"/>
      <c r="FO105" s="253"/>
      <c r="FP105" s="256"/>
      <c r="FQ105" s="257" t="s">
        <v>1322</v>
      </c>
      <c r="FR105" s="258" t="s">
        <v>389</v>
      </c>
      <c r="FS105" s="258" t="s">
        <v>1356</v>
      </c>
      <c r="FT105" s="258" t="s">
        <v>445</v>
      </c>
      <c r="FU105" s="259">
        <f t="shared" ref="FU105:FU119" si="5">SUM(H105:FO105)</f>
        <v>0</v>
      </c>
      <c r="FV105" s="260" t="s">
        <v>433</v>
      </c>
    </row>
    <row r="106" spans="1:178" s="260" customFormat="1" hidden="1">
      <c r="A106" s="251" t="s">
        <v>385</v>
      </c>
      <c r="B106" s="251" t="s">
        <v>385</v>
      </c>
      <c r="C106" s="251" t="s">
        <v>411</v>
      </c>
      <c r="D106" s="251" t="s">
        <v>291</v>
      </c>
      <c r="E106" s="252" t="s">
        <v>862</v>
      </c>
      <c r="F106" s="251" t="s">
        <v>388</v>
      </c>
      <c r="G106" s="251" t="s">
        <v>1357</v>
      </c>
      <c r="H106" s="253"/>
      <c r="I106" s="253"/>
      <c r="J106" s="253"/>
      <c r="K106" s="253"/>
      <c r="L106" s="253"/>
      <c r="M106" s="253"/>
      <c r="N106" s="253"/>
      <c r="O106" s="253"/>
      <c r="P106" s="253"/>
      <c r="Q106" s="253"/>
      <c r="R106" s="253"/>
      <c r="S106" s="253"/>
      <c r="T106" s="253"/>
      <c r="U106" s="253"/>
      <c r="V106" s="253"/>
      <c r="W106" s="253"/>
      <c r="X106" s="253"/>
      <c r="Y106" s="253"/>
      <c r="Z106" s="253"/>
      <c r="AA106" s="253"/>
      <c r="AB106" s="253"/>
      <c r="AC106" s="253"/>
      <c r="AD106" s="253"/>
      <c r="AE106" s="253"/>
      <c r="AF106" s="253"/>
      <c r="AG106" s="253"/>
      <c r="AH106" s="253"/>
      <c r="AI106" s="253"/>
      <c r="AJ106" s="253"/>
      <c r="AK106" s="253"/>
      <c r="AL106" s="253"/>
      <c r="AM106" s="253"/>
      <c r="AN106" s="253"/>
      <c r="AO106" s="253"/>
      <c r="AP106" s="253"/>
      <c r="AQ106" s="253"/>
      <c r="AR106" s="253"/>
      <c r="AS106" s="253"/>
      <c r="AT106" s="253"/>
      <c r="AU106" s="253"/>
      <c r="AV106" s="253"/>
      <c r="AW106" s="253"/>
      <c r="AX106" s="253"/>
      <c r="AY106" s="253"/>
      <c r="AZ106" s="253"/>
      <c r="BA106" s="253"/>
      <c r="BB106" s="253"/>
      <c r="BC106" s="253"/>
      <c r="BD106" s="253"/>
      <c r="BE106" s="253"/>
      <c r="BF106" s="253"/>
      <c r="BG106" s="253"/>
      <c r="BH106" s="253"/>
      <c r="BI106" s="253"/>
      <c r="BJ106" s="253"/>
      <c r="BK106" s="253"/>
      <c r="BL106" s="253"/>
      <c r="BM106" s="253"/>
      <c r="BN106" s="253"/>
      <c r="BO106" s="253"/>
      <c r="BP106" s="253"/>
      <c r="BQ106" s="253"/>
      <c r="BR106" s="253"/>
      <c r="BS106" s="253"/>
      <c r="BT106" s="253"/>
      <c r="BU106" s="253"/>
      <c r="BV106" s="253"/>
      <c r="BW106" s="253"/>
      <c r="BX106" s="253"/>
      <c r="BY106" s="253"/>
      <c r="BZ106" s="253"/>
      <c r="CA106" s="253"/>
      <c r="CB106" s="253"/>
      <c r="CC106" s="253"/>
      <c r="CD106" s="253"/>
      <c r="CE106" s="253"/>
      <c r="CF106" s="253"/>
      <c r="CG106" s="253"/>
      <c r="CH106" s="253"/>
      <c r="CI106" s="253"/>
      <c r="CJ106" s="253"/>
      <c r="CK106" s="253"/>
      <c r="CL106" s="253"/>
      <c r="CM106" s="253"/>
      <c r="CN106" s="253"/>
      <c r="CO106" s="253"/>
      <c r="CP106" s="253"/>
      <c r="CQ106" s="253"/>
      <c r="CR106" s="253"/>
      <c r="CS106" s="253"/>
      <c r="CT106" s="253"/>
      <c r="CU106" s="253"/>
      <c r="CV106" s="253"/>
      <c r="CW106" s="253"/>
      <c r="CX106" s="253"/>
      <c r="CY106" s="253"/>
      <c r="CZ106" s="253"/>
      <c r="DA106" s="253"/>
      <c r="DB106" s="253"/>
      <c r="DC106" s="253"/>
      <c r="DD106" s="253"/>
      <c r="DE106" s="253"/>
      <c r="DF106" s="253"/>
      <c r="DG106" s="253"/>
      <c r="DH106" s="253"/>
      <c r="DI106" s="255">
        <f>200-200</f>
        <v>0</v>
      </c>
      <c r="DJ106" s="253"/>
      <c r="DK106" s="253"/>
      <c r="DL106" s="253"/>
      <c r="DM106" s="253"/>
      <c r="DN106" s="253"/>
      <c r="DO106" s="253"/>
      <c r="DP106" s="253"/>
      <c r="DQ106" s="253"/>
      <c r="DR106" s="253"/>
      <c r="DS106" s="253"/>
      <c r="DT106" s="253"/>
      <c r="DU106" s="253"/>
      <c r="DV106" s="253"/>
      <c r="DW106" s="253"/>
      <c r="DX106" s="255">
        <f>100-100</f>
        <v>0</v>
      </c>
      <c r="DY106" s="253"/>
      <c r="DZ106" s="253"/>
      <c r="EA106" s="253"/>
      <c r="EB106" s="253"/>
      <c r="EC106" s="253"/>
      <c r="ED106" s="253"/>
      <c r="EE106" s="253"/>
      <c r="EF106" s="253"/>
      <c r="EG106" s="253"/>
      <c r="EH106" s="253"/>
      <c r="EI106" s="253"/>
      <c r="EJ106" s="255">
        <f>100-100</f>
        <v>0</v>
      </c>
      <c r="EK106" s="253"/>
      <c r="EL106" s="253"/>
      <c r="EM106" s="253"/>
      <c r="EN106" s="253"/>
      <c r="EO106" s="253"/>
      <c r="EP106" s="253"/>
      <c r="EQ106" s="253"/>
      <c r="ER106" s="253"/>
      <c r="ES106" s="253"/>
      <c r="ET106" s="253"/>
      <c r="EU106" s="253"/>
      <c r="EV106" s="253"/>
      <c r="EW106" s="253"/>
      <c r="EX106" s="255">
        <f>100-100</f>
        <v>0</v>
      </c>
      <c r="EY106" s="253"/>
      <c r="EZ106" s="253"/>
      <c r="FA106" s="255">
        <f>200-200</f>
        <v>0</v>
      </c>
      <c r="FB106" s="253"/>
      <c r="FC106" s="253"/>
      <c r="FD106" s="253"/>
      <c r="FE106" s="253"/>
      <c r="FF106" s="253"/>
      <c r="FG106" s="253"/>
      <c r="FH106" s="253"/>
      <c r="FI106" s="253"/>
      <c r="FJ106" s="253"/>
      <c r="FK106" s="254">
        <f>100-100+100</f>
        <v>100</v>
      </c>
      <c r="FL106" s="253"/>
      <c r="FM106" s="253"/>
      <c r="FN106" s="253"/>
      <c r="FO106" s="253"/>
      <c r="FP106" s="256"/>
      <c r="FQ106" s="257" t="s">
        <v>1322</v>
      </c>
      <c r="FR106" s="258" t="s">
        <v>389</v>
      </c>
      <c r="FS106" s="258" t="s">
        <v>864</v>
      </c>
      <c r="FT106" s="258" t="s">
        <v>432</v>
      </c>
      <c r="FU106" s="259">
        <f t="shared" si="5"/>
        <v>100</v>
      </c>
      <c r="FV106" s="260" t="s">
        <v>433</v>
      </c>
    </row>
    <row r="107" spans="1:178" s="260" customFormat="1" hidden="1">
      <c r="A107" s="251" t="s">
        <v>385</v>
      </c>
      <c r="B107" s="251" t="s">
        <v>385</v>
      </c>
      <c r="C107" s="251" t="s">
        <v>411</v>
      </c>
      <c r="D107" s="251" t="s">
        <v>1</v>
      </c>
      <c r="E107" s="252" t="s">
        <v>862</v>
      </c>
      <c r="F107" s="251" t="s">
        <v>388</v>
      </c>
      <c r="G107" s="251" t="s">
        <v>1357</v>
      </c>
      <c r="H107" s="253"/>
      <c r="I107" s="253"/>
      <c r="J107" s="253"/>
      <c r="K107" s="253"/>
      <c r="L107" s="253"/>
      <c r="M107" s="253"/>
      <c r="N107" s="253"/>
      <c r="O107" s="253"/>
      <c r="P107" s="253"/>
      <c r="Q107" s="253"/>
      <c r="R107" s="253"/>
      <c r="S107" s="253"/>
      <c r="T107" s="253"/>
      <c r="U107" s="253"/>
      <c r="V107" s="253"/>
      <c r="W107" s="253"/>
      <c r="X107" s="253"/>
      <c r="Y107" s="253"/>
      <c r="Z107" s="253"/>
      <c r="AA107" s="253"/>
      <c r="AB107" s="253"/>
      <c r="AC107" s="253"/>
      <c r="AD107" s="253"/>
      <c r="AE107" s="253"/>
      <c r="AF107" s="253"/>
      <c r="AG107" s="253"/>
      <c r="AH107" s="253"/>
      <c r="AI107" s="253"/>
      <c r="AJ107" s="253"/>
      <c r="AK107" s="253"/>
      <c r="AL107" s="253"/>
      <c r="AM107" s="253"/>
      <c r="AN107" s="253"/>
      <c r="AO107" s="253"/>
      <c r="AP107" s="253"/>
      <c r="AQ107" s="253"/>
      <c r="AR107" s="253"/>
      <c r="AS107" s="253"/>
      <c r="AT107" s="253"/>
      <c r="AU107" s="253"/>
      <c r="AV107" s="253"/>
      <c r="AW107" s="253"/>
      <c r="AX107" s="253"/>
      <c r="AY107" s="253"/>
      <c r="AZ107" s="253"/>
      <c r="BA107" s="253"/>
      <c r="BB107" s="253"/>
      <c r="BC107" s="253"/>
      <c r="BD107" s="253"/>
      <c r="BE107" s="253"/>
      <c r="BF107" s="253"/>
      <c r="BG107" s="253"/>
      <c r="BH107" s="253"/>
      <c r="BI107" s="253"/>
      <c r="BJ107" s="253"/>
      <c r="BK107" s="253"/>
      <c r="BL107" s="253"/>
      <c r="BM107" s="253"/>
      <c r="BN107" s="253"/>
      <c r="BO107" s="253"/>
      <c r="BP107" s="253"/>
      <c r="BQ107" s="253"/>
      <c r="BR107" s="253"/>
      <c r="BS107" s="253"/>
      <c r="BT107" s="253"/>
      <c r="BU107" s="253"/>
      <c r="BV107" s="253"/>
      <c r="BW107" s="253"/>
      <c r="BX107" s="253"/>
      <c r="BY107" s="253"/>
      <c r="BZ107" s="253"/>
      <c r="CA107" s="253"/>
      <c r="CB107" s="253"/>
      <c r="CC107" s="253"/>
      <c r="CD107" s="253"/>
      <c r="CE107" s="253"/>
      <c r="CF107" s="253"/>
      <c r="CG107" s="253"/>
      <c r="CH107" s="253"/>
      <c r="CI107" s="253"/>
      <c r="CJ107" s="253"/>
      <c r="CK107" s="253"/>
      <c r="CL107" s="253"/>
      <c r="CM107" s="253"/>
      <c r="CN107" s="253"/>
      <c r="CO107" s="253"/>
      <c r="CP107" s="253"/>
      <c r="CQ107" s="253"/>
      <c r="CR107" s="253"/>
      <c r="CS107" s="253"/>
      <c r="CT107" s="253"/>
      <c r="CU107" s="253"/>
      <c r="CV107" s="253"/>
      <c r="CW107" s="253"/>
      <c r="CX107" s="253"/>
      <c r="CY107" s="253"/>
      <c r="CZ107" s="253"/>
      <c r="DA107" s="253"/>
      <c r="DB107" s="253"/>
      <c r="DC107" s="253"/>
      <c r="DD107" s="253"/>
      <c r="DE107" s="253"/>
      <c r="DF107" s="253"/>
      <c r="DG107" s="253"/>
      <c r="DH107" s="253"/>
      <c r="DI107" s="253"/>
      <c r="DJ107" s="253"/>
      <c r="DK107" s="253"/>
      <c r="DL107" s="255">
        <f>200-200</f>
        <v>0</v>
      </c>
      <c r="DM107" s="253"/>
      <c r="DN107" s="253"/>
      <c r="DO107" s="253"/>
      <c r="DP107" s="253"/>
      <c r="DQ107" s="253"/>
      <c r="DR107" s="253"/>
      <c r="DS107" s="253"/>
      <c r="DT107" s="253"/>
      <c r="DU107" s="255">
        <f>100-100</f>
        <v>0</v>
      </c>
      <c r="DV107" s="253"/>
      <c r="DW107" s="253"/>
      <c r="DX107" s="253"/>
      <c r="DY107" s="253"/>
      <c r="DZ107" s="253"/>
      <c r="EA107" s="253"/>
      <c r="EB107" s="255">
        <f>200-200</f>
        <v>0</v>
      </c>
      <c r="EC107" s="253"/>
      <c r="ED107" s="253"/>
      <c r="EE107" s="255">
        <f>100-100</f>
        <v>0</v>
      </c>
      <c r="EF107" s="253"/>
      <c r="EG107" s="253"/>
      <c r="EH107" s="253"/>
      <c r="EI107" s="253"/>
      <c r="EJ107" s="253"/>
      <c r="EK107" s="253"/>
      <c r="EL107" s="253"/>
      <c r="EM107" s="255">
        <f>100-100</f>
        <v>0</v>
      </c>
      <c r="EN107" s="253"/>
      <c r="EO107" s="253"/>
      <c r="EP107" s="253"/>
      <c r="EQ107" s="253"/>
      <c r="ER107" s="253"/>
      <c r="ES107" s="253"/>
      <c r="ET107" s="253"/>
      <c r="EU107" s="253"/>
      <c r="EV107" s="253"/>
      <c r="EW107" s="253"/>
      <c r="EX107" s="253"/>
      <c r="EY107" s="253"/>
      <c r="EZ107" s="253"/>
      <c r="FA107" s="253"/>
      <c r="FB107" s="253"/>
      <c r="FC107" s="254">
        <f>200-200+80</f>
        <v>80</v>
      </c>
      <c r="FD107" s="253"/>
      <c r="FE107" s="253"/>
      <c r="FF107" s="253"/>
      <c r="FG107" s="255">
        <f>200-200</f>
        <v>0</v>
      </c>
      <c r="FH107" s="253"/>
      <c r="FI107" s="253"/>
      <c r="FJ107" s="253"/>
      <c r="FK107" s="253"/>
      <c r="FL107" s="253"/>
      <c r="FM107" s="253"/>
      <c r="FN107" s="253"/>
      <c r="FO107" s="253"/>
      <c r="FP107" s="256"/>
      <c r="FQ107" s="257" t="s">
        <v>1322</v>
      </c>
      <c r="FR107" s="258" t="s">
        <v>389</v>
      </c>
      <c r="FS107" s="258" t="s">
        <v>864</v>
      </c>
      <c r="FT107" s="258" t="s">
        <v>432</v>
      </c>
      <c r="FU107" s="259">
        <f t="shared" si="5"/>
        <v>80</v>
      </c>
      <c r="FV107" s="260" t="s">
        <v>433</v>
      </c>
    </row>
    <row r="108" spans="1:178" s="260" customFormat="1" hidden="1">
      <c r="A108" s="251" t="s">
        <v>393</v>
      </c>
      <c r="B108" s="251" t="s">
        <v>385</v>
      </c>
      <c r="C108" s="251" t="s">
        <v>411</v>
      </c>
      <c r="D108" s="251" t="s">
        <v>291</v>
      </c>
      <c r="E108" s="252" t="s">
        <v>1358</v>
      </c>
      <c r="F108" s="251" t="s">
        <v>388</v>
      </c>
      <c r="G108" s="251"/>
      <c r="H108" s="253"/>
      <c r="I108" s="253"/>
      <c r="J108" s="253"/>
      <c r="K108" s="253"/>
      <c r="L108" s="253"/>
      <c r="M108" s="253"/>
      <c r="N108" s="253"/>
      <c r="O108" s="253"/>
      <c r="P108" s="253"/>
      <c r="Q108" s="253"/>
      <c r="R108" s="253"/>
      <c r="S108" s="253"/>
      <c r="T108" s="253"/>
      <c r="U108" s="253"/>
      <c r="V108" s="253"/>
      <c r="W108" s="253"/>
      <c r="X108" s="253"/>
      <c r="Y108" s="253"/>
      <c r="Z108" s="253"/>
      <c r="AA108" s="253"/>
      <c r="AB108" s="253"/>
      <c r="AC108" s="253"/>
      <c r="AD108" s="253"/>
      <c r="AE108" s="253"/>
      <c r="AF108" s="253"/>
      <c r="AG108" s="253"/>
      <c r="AH108" s="253"/>
      <c r="AI108" s="253"/>
      <c r="AJ108" s="253"/>
      <c r="AK108" s="253"/>
      <c r="AL108" s="253"/>
      <c r="AM108" s="253"/>
      <c r="AN108" s="253"/>
      <c r="AO108" s="253"/>
      <c r="AP108" s="253"/>
      <c r="AQ108" s="253"/>
      <c r="AR108" s="253"/>
      <c r="AS108" s="253"/>
      <c r="AT108" s="253"/>
      <c r="AU108" s="253"/>
      <c r="AV108" s="253"/>
      <c r="AW108" s="253"/>
      <c r="AX108" s="253"/>
      <c r="AY108" s="253"/>
      <c r="AZ108" s="253"/>
      <c r="BA108" s="253"/>
      <c r="BB108" s="253"/>
      <c r="BC108" s="253"/>
      <c r="BD108" s="253"/>
      <c r="BE108" s="253"/>
      <c r="BF108" s="253"/>
      <c r="BG108" s="253"/>
      <c r="BH108" s="253"/>
      <c r="BI108" s="253"/>
      <c r="BJ108" s="253"/>
      <c r="BK108" s="253"/>
      <c r="BL108" s="253"/>
      <c r="BM108" s="253"/>
      <c r="BN108" s="253"/>
      <c r="BO108" s="253"/>
      <c r="BP108" s="253"/>
      <c r="BQ108" s="253"/>
      <c r="BR108" s="253"/>
      <c r="BS108" s="253"/>
      <c r="BT108" s="253"/>
      <c r="BU108" s="253"/>
      <c r="BV108" s="253"/>
      <c r="BW108" s="253"/>
      <c r="BX108" s="253"/>
      <c r="BY108" s="253"/>
      <c r="BZ108" s="253"/>
      <c r="CA108" s="253"/>
      <c r="CB108" s="253"/>
      <c r="CC108" s="253"/>
      <c r="CD108" s="253"/>
      <c r="CE108" s="253"/>
      <c r="CF108" s="253"/>
      <c r="CG108" s="253"/>
      <c r="CH108" s="253"/>
      <c r="CI108" s="253"/>
      <c r="CJ108" s="253"/>
      <c r="CK108" s="253"/>
      <c r="CL108" s="253"/>
      <c r="CM108" s="253"/>
      <c r="CN108" s="253"/>
      <c r="CO108" s="253"/>
      <c r="CP108" s="253"/>
      <c r="CQ108" s="253"/>
      <c r="CR108" s="253"/>
      <c r="CS108" s="253"/>
      <c r="CT108" s="253"/>
      <c r="CU108" s="253"/>
      <c r="CV108" s="253"/>
      <c r="CW108" s="253"/>
      <c r="CX108" s="253"/>
      <c r="CY108" s="253"/>
      <c r="CZ108" s="253"/>
      <c r="DA108" s="253"/>
      <c r="DB108" s="253"/>
      <c r="DC108" s="253"/>
      <c r="DD108" s="253"/>
      <c r="DE108" s="253"/>
      <c r="DF108" s="253"/>
      <c r="DG108" s="253"/>
      <c r="DH108" s="253"/>
      <c r="DI108" s="255">
        <f>200-200</f>
        <v>0</v>
      </c>
      <c r="DJ108" s="253"/>
      <c r="DK108" s="253"/>
      <c r="DL108" s="253"/>
      <c r="DM108" s="253"/>
      <c r="DN108" s="253"/>
      <c r="DO108" s="253"/>
      <c r="DP108" s="255">
        <f>200-200</f>
        <v>0</v>
      </c>
      <c r="DQ108" s="253"/>
      <c r="DR108" s="253"/>
      <c r="DS108" s="253"/>
      <c r="DT108" s="253"/>
      <c r="DU108" s="253"/>
      <c r="DV108" s="253"/>
      <c r="DW108" s="253"/>
      <c r="DX108" s="253"/>
      <c r="DY108" s="253"/>
      <c r="DZ108" s="253"/>
      <c r="EA108" s="253"/>
      <c r="EB108" s="253"/>
      <c r="EC108" s="253"/>
      <c r="ED108" s="253"/>
      <c r="EE108" s="253"/>
      <c r="EF108" s="253"/>
      <c r="EG108" s="253"/>
      <c r="EH108" s="253"/>
      <c r="EI108" s="253"/>
      <c r="EJ108" s="253"/>
      <c r="EK108" s="253"/>
      <c r="EL108" s="253"/>
      <c r="EM108" s="253"/>
      <c r="EN108" s="253"/>
      <c r="EO108" s="253"/>
      <c r="EP108" s="253"/>
      <c r="EQ108" s="253"/>
      <c r="ER108" s="253"/>
      <c r="ES108" s="253"/>
      <c r="ET108" s="253"/>
      <c r="EU108" s="253"/>
      <c r="EV108" s="253"/>
      <c r="EW108" s="253"/>
      <c r="EX108" s="253"/>
      <c r="EY108" s="253"/>
      <c r="EZ108" s="253"/>
      <c r="FA108" s="253"/>
      <c r="FB108" s="253"/>
      <c r="FC108" s="253"/>
      <c r="FD108" s="253"/>
      <c r="FE108" s="253"/>
      <c r="FF108" s="253"/>
      <c r="FG108" s="253"/>
      <c r="FH108" s="253"/>
      <c r="FI108" s="253"/>
      <c r="FJ108" s="253"/>
      <c r="FK108" s="253"/>
      <c r="FL108" s="253"/>
      <c r="FM108" s="253"/>
      <c r="FN108" s="253"/>
      <c r="FO108" s="253"/>
      <c r="FP108" s="256"/>
      <c r="FQ108" s="257" t="s">
        <v>1322</v>
      </c>
      <c r="FR108" s="258" t="s">
        <v>389</v>
      </c>
      <c r="FS108" s="258"/>
      <c r="FT108" s="258" t="s">
        <v>902</v>
      </c>
      <c r="FU108" s="259">
        <f t="shared" si="5"/>
        <v>0</v>
      </c>
      <c r="FV108" s="260" t="s">
        <v>414</v>
      </c>
    </row>
    <row r="109" spans="1:178" s="260" customFormat="1" hidden="1">
      <c r="A109" s="251" t="s">
        <v>393</v>
      </c>
      <c r="B109" s="251" t="s">
        <v>385</v>
      </c>
      <c r="C109" s="251" t="s">
        <v>411</v>
      </c>
      <c r="D109" s="251" t="s">
        <v>1</v>
      </c>
      <c r="E109" s="252" t="s">
        <v>1358</v>
      </c>
      <c r="F109" s="251" t="s">
        <v>388</v>
      </c>
      <c r="G109" s="251"/>
      <c r="H109" s="253"/>
      <c r="I109" s="253"/>
      <c r="J109" s="253"/>
      <c r="K109" s="253"/>
      <c r="L109" s="253"/>
      <c r="M109" s="253"/>
      <c r="N109" s="253"/>
      <c r="O109" s="253"/>
      <c r="P109" s="253"/>
      <c r="Q109" s="253"/>
      <c r="R109" s="253"/>
      <c r="S109" s="253"/>
      <c r="T109" s="253"/>
      <c r="U109" s="253"/>
      <c r="V109" s="253"/>
      <c r="W109" s="253"/>
      <c r="X109" s="253"/>
      <c r="Y109" s="253"/>
      <c r="Z109" s="253"/>
      <c r="AA109" s="253"/>
      <c r="AB109" s="253"/>
      <c r="AC109" s="253"/>
      <c r="AD109" s="255">
        <f>150-150</f>
        <v>0</v>
      </c>
      <c r="AE109" s="255">
        <f>150-150</f>
        <v>0</v>
      </c>
      <c r="AF109" s="253"/>
      <c r="AG109" s="253"/>
      <c r="AH109" s="253"/>
      <c r="AI109" s="253"/>
      <c r="AJ109" s="253"/>
      <c r="AK109" s="253"/>
      <c r="AL109" s="253"/>
      <c r="AM109" s="253"/>
      <c r="AN109" s="253"/>
      <c r="AO109" s="253"/>
      <c r="AP109" s="253"/>
      <c r="AQ109" s="253"/>
      <c r="AR109" s="253"/>
      <c r="AS109" s="253"/>
      <c r="AT109" s="253"/>
      <c r="AU109" s="253"/>
      <c r="AV109" s="253"/>
      <c r="AW109" s="253"/>
      <c r="AX109" s="253"/>
      <c r="AY109" s="253"/>
      <c r="AZ109" s="253"/>
      <c r="BA109" s="253"/>
      <c r="BB109" s="253"/>
      <c r="BC109" s="253"/>
      <c r="BD109" s="253"/>
      <c r="BE109" s="253"/>
      <c r="BF109" s="253"/>
      <c r="BG109" s="253"/>
      <c r="BH109" s="253"/>
      <c r="BI109" s="253"/>
      <c r="BJ109" s="253"/>
      <c r="BK109" s="253"/>
      <c r="BL109" s="253"/>
      <c r="BM109" s="253"/>
      <c r="BN109" s="253"/>
      <c r="BO109" s="253"/>
      <c r="BP109" s="253"/>
      <c r="BQ109" s="253"/>
      <c r="BR109" s="253"/>
      <c r="BS109" s="253"/>
      <c r="BT109" s="253"/>
      <c r="BU109" s="253"/>
      <c r="BV109" s="253"/>
      <c r="BW109" s="253"/>
      <c r="BX109" s="253"/>
      <c r="BY109" s="253"/>
      <c r="BZ109" s="253"/>
      <c r="CA109" s="253"/>
      <c r="CB109" s="253"/>
      <c r="CC109" s="253"/>
      <c r="CD109" s="253"/>
      <c r="CE109" s="253"/>
      <c r="CF109" s="253"/>
      <c r="CG109" s="253"/>
      <c r="CH109" s="253"/>
      <c r="CI109" s="253"/>
      <c r="CJ109" s="253"/>
      <c r="CK109" s="253"/>
      <c r="CL109" s="253"/>
      <c r="CM109" s="253"/>
      <c r="CN109" s="253"/>
      <c r="CO109" s="253"/>
      <c r="CP109" s="253"/>
      <c r="CQ109" s="253"/>
      <c r="CR109" s="253"/>
      <c r="CS109" s="253"/>
      <c r="CT109" s="253"/>
      <c r="CU109" s="253"/>
      <c r="CV109" s="253"/>
      <c r="CW109" s="253"/>
      <c r="CX109" s="253"/>
      <c r="CY109" s="253"/>
      <c r="CZ109" s="253"/>
      <c r="DA109" s="253"/>
      <c r="DB109" s="253"/>
      <c r="DC109" s="253"/>
      <c r="DD109" s="253"/>
      <c r="DE109" s="253"/>
      <c r="DF109" s="253"/>
      <c r="DG109" s="253"/>
      <c r="DH109" s="253"/>
      <c r="DI109" s="253"/>
      <c r="DJ109" s="253"/>
      <c r="DK109" s="253"/>
      <c r="DL109" s="253"/>
      <c r="DM109" s="253"/>
      <c r="DN109" s="253"/>
      <c r="DO109" s="253"/>
      <c r="DP109" s="253"/>
      <c r="DQ109" s="253"/>
      <c r="DR109" s="253"/>
      <c r="DS109" s="253"/>
      <c r="DT109" s="253"/>
      <c r="DU109" s="255">
        <f>200-200</f>
        <v>0</v>
      </c>
      <c r="DV109" s="253"/>
      <c r="DW109" s="253"/>
      <c r="DX109" s="253"/>
      <c r="DY109" s="253"/>
      <c r="DZ109" s="253"/>
      <c r="EA109" s="253"/>
      <c r="EB109" s="253"/>
      <c r="EC109" s="253"/>
      <c r="ED109" s="253"/>
      <c r="EE109" s="253"/>
      <c r="EF109" s="253"/>
      <c r="EG109" s="253"/>
      <c r="EH109" s="253"/>
      <c r="EI109" s="253"/>
      <c r="EJ109" s="253"/>
      <c r="EK109" s="253"/>
      <c r="EL109" s="253"/>
      <c r="EM109" s="253"/>
      <c r="EN109" s="253"/>
      <c r="EO109" s="253"/>
      <c r="EP109" s="253"/>
      <c r="EQ109" s="253"/>
      <c r="ER109" s="253"/>
      <c r="ES109" s="253"/>
      <c r="ET109" s="253"/>
      <c r="EU109" s="253"/>
      <c r="EV109" s="253"/>
      <c r="EW109" s="253"/>
      <c r="EX109" s="253"/>
      <c r="EY109" s="253"/>
      <c r="EZ109" s="253"/>
      <c r="FA109" s="253"/>
      <c r="FB109" s="253"/>
      <c r="FC109" s="253"/>
      <c r="FD109" s="253"/>
      <c r="FE109" s="253"/>
      <c r="FF109" s="253"/>
      <c r="FG109" s="253"/>
      <c r="FH109" s="253"/>
      <c r="FI109" s="253"/>
      <c r="FJ109" s="253"/>
      <c r="FK109" s="253"/>
      <c r="FL109" s="253"/>
      <c r="FM109" s="253"/>
      <c r="FN109" s="253"/>
      <c r="FO109" s="253"/>
      <c r="FP109" s="256"/>
      <c r="FQ109" s="257" t="s">
        <v>1322</v>
      </c>
      <c r="FR109" s="258" t="s">
        <v>389</v>
      </c>
      <c r="FS109" s="258"/>
      <c r="FT109" s="258" t="s">
        <v>902</v>
      </c>
      <c r="FU109" s="259">
        <f t="shared" si="5"/>
        <v>0</v>
      </c>
      <c r="FV109" s="260" t="s">
        <v>414</v>
      </c>
    </row>
    <row r="110" spans="1:178" s="260" customFormat="1" hidden="1">
      <c r="A110" s="251" t="s">
        <v>393</v>
      </c>
      <c r="B110" s="251" t="s">
        <v>385</v>
      </c>
      <c r="C110" s="251" t="s">
        <v>411</v>
      </c>
      <c r="D110" s="251" t="s">
        <v>291</v>
      </c>
      <c r="E110" s="252" t="s">
        <v>865</v>
      </c>
      <c r="F110" s="251" t="s">
        <v>388</v>
      </c>
      <c r="G110" s="251" t="s">
        <v>1359</v>
      </c>
      <c r="H110" s="253"/>
      <c r="I110" s="253"/>
      <c r="J110" s="253"/>
      <c r="K110" s="253"/>
      <c r="L110" s="253"/>
      <c r="M110" s="253"/>
      <c r="N110" s="253"/>
      <c r="O110" s="253"/>
      <c r="P110" s="253"/>
      <c r="Q110" s="253"/>
      <c r="R110" s="253"/>
      <c r="S110" s="253"/>
      <c r="T110" s="253"/>
      <c r="U110" s="253"/>
      <c r="V110" s="253"/>
      <c r="W110" s="253"/>
      <c r="X110" s="253"/>
      <c r="Y110" s="253"/>
      <c r="Z110" s="253"/>
      <c r="AA110" s="253"/>
      <c r="AB110" s="253"/>
      <c r="AC110" s="253"/>
      <c r="AD110" s="253"/>
      <c r="AE110" s="253"/>
      <c r="AF110" s="253"/>
      <c r="AG110" s="253"/>
      <c r="AH110" s="253"/>
      <c r="AI110" s="253"/>
      <c r="AJ110" s="253"/>
      <c r="AK110" s="253"/>
      <c r="AL110" s="253"/>
      <c r="AM110" s="253"/>
      <c r="AN110" s="253"/>
      <c r="AO110" s="253"/>
      <c r="AP110" s="253"/>
      <c r="AQ110" s="253"/>
      <c r="AR110" s="253"/>
      <c r="AS110" s="253"/>
      <c r="AT110" s="253"/>
      <c r="AU110" s="253"/>
      <c r="AV110" s="253"/>
      <c r="AW110" s="253"/>
      <c r="AX110" s="253"/>
      <c r="AY110" s="253"/>
      <c r="AZ110" s="253"/>
      <c r="BA110" s="253"/>
      <c r="BB110" s="253"/>
      <c r="BC110" s="253"/>
      <c r="BD110" s="253"/>
      <c r="BE110" s="253"/>
      <c r="BF110" s="253"/>
      <c r="BG110" s="253"/>
      <c r="BH110" s="253"/>
      <c r="BI110" s="253"/>
      <c r="BJ110" s="253"/>
      <c r="BK110" s="253"/>
      <c r="BL110" s="253"/>
      <c r="BM110" s="253"/>
      <c r="BN110" s="253"/>
      <c r="BO110" s="253"/>
      <c r="BP110" s="253"/>
      <c r="BQ110" s="253"/>
      <c r="BR110" s="253"/>
      <c r="BS110" s="253"/>
      <c r="BT110" s="253"/>
      <c r="BU110" s="253"/>
      <c r="BV110" s="253"/>
      <c r="BW110" s="253"/>
      <c r="BX110" s="253"/>
      <c r="BY110" s="253"/>
      <c r="BZ110" s="253"/>
      <c r="CA110" s="253"/>
      <c r="CB110" s="253"/>
      <c r="CC110" s="253"/>
      <c r="CD110" s="253"/>
      <c r="CE110" s="253"/>
      <c r="CF110" s="253"/>
      <c r="CG110" s="253"/>
      <c r="CH110" s="253"/>
      <c r="CI110" s="253"/>
      <c r="CJ110" s="253"/>
      <c r="CK110" s="253"/>
      <c r="CL110" s="253"/>
      <c r="CM110" s="253"/>
      <c r="CN110" s="253"/>
      <c r="CO110" s="253"/>
      <c r="CP110" s="253"/>
      <c r="CQ110" s="253"/>
      <c r="CR110" s="253"/>
      <c r="CS110" s="253"/>
      <c r="CT110" s="253"/>
      <c r="CU110" s="253"/>
      <c r="CV110" s="253"/>
      <c r="CW110" s="253"/>
      <c r="CX110" s="253"/>
      <c r="CY110" s="253"/>
      <c r="CZ110" s="253"/>
      <c r="DA110" s="253"/>
      <c r="DB110" s="253"/>
      <c r="DC110" s="253"/>
      <c r="DD110" s="253"/>
      <c r="DE110" s="253"/>
      <c r="DF110" s="253"/>
      <c r="DG110" s="253"/>
      <c r="DH110" s="253"/>
      <c r="DI110" s="255">
        <f>500-500</f>
        <v>0</v>
      </c>
      <c r="DJ110" s="253"/>
      <c r="DK110" s="253"/>
      <c r="DL110" s="253"/>
      <c r="DM110" s="253"/>
      <c r="DN110" s="253"/>
      <c r="DO110" s="253"/>
      <c r="DP110" s="253"/>
      <c r="DQ110" s="253"/>
      <c r="DR110" s="253"/>
      <c r="DS110" s="253"/>
      <c r="DT110" s="253"/>
      <c r="DU110" s="253"/>
      <c r="DV110" s="253"/>
      <c r="DW110" s="253"/>
      <c r="DX110" s="255">
        <f>300-300</f>
        <v>0</v>
      </c>
      <c r="DY110" s="253"/>
      <c r="DZ110" s="253"/>
      <c r="EA110" s="253"/>
      <c r="EB110" s="253"/>
      <c r="EC110" s="253"/>
      <c r="ED110" s="253"/>
      <c r="EE110" s="253"/>
      <c r="EF110" s="253"/>
      <c r="EG110" s="253"/>
      <c r="EH110" s="253"/>
      <c r="EI110" s="253"/>
      <c r="EJ110" s="255">
        <f>300-300</f>
        <v>0</v>
      </c>
      <c r="EK110" s="253"/>
      <c r="EL110" s="253"/>
      <c r="EM110" s="253"/>
      <c r="EN110" s="253"/>
      <c r="EO110" s="253"/>
      <c r="EP110" s="253"/>
      <c r="EQ110" s="253"/>
      <c r="ER110" s="253"/>
      <c r="ES110" s="253"/>
      <c r="ET110" s="253"/>
      <c r="EU110" s="253"/>
      <c r="EV110" s="253"/>
      <c r="EW110" s="253"/>
      <c r="EX110" s="253"/>
      <c r="EY110" s="253"/>
      <c r="EZ110" s="253"/>
      <c r="FA110" s="253"/>
      <c r="FB110" s="253"/>
      <c r="FC110" s="253"/>
      <c r="FD110" s="253"/>
      <c r="FE110" s="253"/>
      <c r="FF110" s="253"/>
      <c r="FG110" s="253"/>
      <c r="FH110" s="253"/>
      <c r="FI110" s="253"/>
      <c r="FJ110" s="253"/>
      <c r="FK110" s="253"/>
      <c r="FL110" s="253"/>
      <c r="FM110" s="253"/>
      <c r="FN110" s="253"/>
      <c r="FO110" s="253"/>
      <c r="FP110" s="256"/>
      <c r="FQ110" s="257" t="s">
        <v>1322</v>
      </c>
      <c r="FR110" s="258" t="s">
        <v>389</v>
      </c>
      <c r="FS110" s="258" t="s">
        <v>867</v>
      </c>
      <c r="FT110" s="258" t="s">
        <v>420</v>
      </c>
      <c r="FU110" s="259">
        <f t="shared" si="5"/>
        <v>0</v>
      </c>
      <c r="FV110" s="260" t="s">
        <v>421</v>
      </c>
    </row>
    <row r="111" spans="1:178" s="260" customFormat="1" hidden="1">
      <c r="A111" s="251" t="s">
        <v>393</v>
      </c>
      <c r="B111" s="251" t="s">
        <v>385</v>
      </c>
      <c r="C111" s="251" t="s">
        <v>411</v>
      </c>
      <c r="D111" s="251" t="s">
        <v>1</v>
      </c>
      <c r="E111" s="252" t="s">
        <v>865</v>
      </c>
      <c r="F111" s="251" t="s">
        <v>388</v>
      </c>
      <c r="G111" s="251" t="s">
        <v>1359</v>
      </c>
      <c r="H111" s="253"/>
      <c r="I111" s="253"/>
      <c r="J111" s="253"/>
      <c r="K111" s="253"/>
      <c r="L111" s="253"/>
      <c r="M111" s="253"/>
      <c r="N111" s="253"/>
      <c r="O111" s="253"/>
      <c r="P111" s="253"/>
      <c r="Q111" s="253"/>
      <c r="R111" s="253"/>
      <c r="S111" s="253"/>
      <c r="T111" s="253"/>
      <c r="U111" s="253"/>
      <c r="V111" s="253"/>
      <c r="W111" s="253"/>
      <c r="X111" s="253"/>
      <c r="Y111" s="253"/>
      <c r="Z111" s="253"/>
      <c r="AA111" s="253"/>
      <c r="AB111" s="253"/>
      <c r="AC111" s="253"/>
      <c r="AD111" s="253"/>
      <c r="AE111" s="253"/>
      <c r="AF111" s="253"/>
      <c r="AG111" s="253"/>
      <c r="AH111" s="253"/>
      <c r="AI111" s="253"/>
      <c r="AJ111" s="253"/>
      <c r="AK111" s="253"/>
      <c r="AL111" s="253"/>
      <c r="AM111" s="253"/>
      <c r="AN111" s="253"/>
      <c r="AO111" s="253"/>
      <c r="AP111" s="253"/>
      <c r="AQ111" s="253"/>
      <c r="AR111" s="253"/>
      <c r="AS111" s="253"/>
      <c r="AT111" s="253"/>
      <c r="AU111" s="253"/>
      <c r="AV111" s="253"/>
      <c r="AW111" s="253"/>
      <c r="AX111" s="253"/>
      <c r="AY111" s="253"/>
      <c r="AZ111" s="253"/>
      <c r="BA111" s="253"/>
      <c r="BB111" s="253"/>
      <c r="BC111" s="253"/>
      <c r="BD111" s="253"/>
      <c r="BE111" s="253"/>
      <c r="BF111" s="253"/>
      <c r="BG111" s="253"/>
      <c r="BH111" s="253"/>
      <c r="BI111" s="253"/>
      <c r="BJ111" s="253"/>
      <c r="BK111" s="253"/>
      <c r="BL111" s="253"/>
      <c r="BM111" s="253"/>
      <c r="BN111" s="253"/>
      <c r="BO111" s="253"/>
      <c r="BP111" s="253"/>
      <c r="BQ111" s="253"/>
      <c r="BR111" s="253"/>
      <c r="BS111" s="253"/>
      <c r="BT111" s="253"/>
      <c r="BU111" s="253"/>
      <c r="BV111" s="253"/>
      <c r="BW111" s="253"/>
      <c r="BX111" s="253"/>
      <c r="BY111" s="253"/>
      <c r="BZ111" s="253"/>
      <c r="CA111" s="253"/>
      <c r="CB111" s="253"/>
      <c r="CC111" s="253"/>
      <c r="CD111" s="253"/>
      <c r="CE111" s="253"/>
      <c r="CF111" s="253"/>
      <c r="CG111" s="253"/>
      <c r="CH111" s="253"/>
      <c r="CI111" s="253"/>
      <c r="CJ111" s="253"/>
      <c r="CK111" s="253"/>
      <c r="CL111" s="253"/>
      <c r="CM111" s="253"/>
      <c r="CN111" s="253"/>
      <c r="CO111" s="253"/>
      <c r="CP111" s="253"/>
      <c r="CQ111" s="253"/>
      <c r="CR111" s="253"/>
      <c r="CS111" s="253"/>
      <c r="CT111" s="253"/>
      <c r="CU111" s="253"/>
      <c r="CV111" s="253"/>
      <c r="CW111" s="253"/>
      <c r="CX111" s="253"/>
      <c r="CY111" s="253"/>
      <c r="CZ111" s="253"/>
      <c r="DA111" s="253"/>
      <c r="DB111" s="253"/>
      <c r="DC111" s="253"/>
      <c r="DD111" s="253"/>
      <c r="DE111" s="253"/>
      <c r="DF111" s="253"/>
      <c r="DG111" s="253"/>
      <c r="DH111" s="253"/>
      <c r="DI111" s="253"/>
      <c r="DJ111" s="253"/>
      <c r="DK111" s="253"/>
      <c r="DL111" s="255">
        <f>500-500</f>
        <v>0</v>
      </c>
      <c r="DM111" s="253"/>
      <c r="DN111" s="253"/>
      <c r="DO111" s="253"/>
      <c r="DP111" s="253"/>
      <c r="DQ111" s="253"/>
      <c r="DR111" s="253"/>
      <c r="DS111" s="253"/>
      <c r="DT111" s="253"/>
      <c r="DU111" s="255">
        <f>300-300</f>
        <v>0</v>
      </c>
      <c r="DV111" s="253"/>
      <c r="DW111" s="253"/>
      <c r="DX111" s="253"/>
      <c r="DY111" s="253"/>
      <c r="DZ111" s="253"/>
      <c r="EA111" s="253"/>
      <c r="EB111" s="253"/>
      <c r="EC111" s="253"/>
      <c r="ED111" s="253"/>
      <c r="EE111" s="253"/>
      <c r="EF111" s="253"/>
      <c r="EG111" s="253"/>
      <c r="EH111" s="253"/>
      <c r="EI111" s="253"/>
      <c r="EJ111" s="253"/>
      <c r="EK111" s="253"/>
      <c r="EL111" s="255">
        <f>200-200</f>
        <v>0</v>
      </c>
      <c r="EM111" s="253"/>
      <c r="EN111" s="253"/>
      <c r="EO111" s="253"/>
      <c r="EP111" s="253"/>
      <c r="EQ111" s="253"/>
      <c r="ER111" s="253"/>
      <c r="ES111" s="253"/>
      <c r="ET111" s="253"/>
      <c r="EU111" s="253"/>
      <c r="EV111" s="253"/>
      <c r="EW111" s="253"/>
      <c r="EX111" s="253"/>
      <c r="EY111" s="253"/>
      <c r="EZ111" s="253"/>
      <c r="FA111" s="253"/>
      <c r="FB111" s="253"/>
      <c r="FC111" s="253"/>
      <c r="FD111" s="253"/>
      <c r="FE111" s="253"/>
      <c r="FF111" s="253"/>
      <c r="FG111" s="253"/>
      <c r="FH111" s="253"/>
      <c r="FI111" s="253"/>
      <c r="FJ111" s="253"/>
      <c r="FK111" s="253"/>
      <c r="FL111" s="253"/>
      <c r="FM111" s="253"/>
      <c r="FN111" s="253"/>
      <c r="FO111" s="253"/>
      <c r="FP111" s="256"/>
      <c r="FQ111" s="257" t="s">
        <v>1322</v>
      </c>
      <c r="FR111" s="258" t="s">
        <v>389</v>
      </c>
      <c r="FS111" s="258" t="s">
        <v>867</v>
      </c>
      <c r="FT111" s="258" t="s">
        <v>420</v>
      </c>
      <c r="FU111" s="259">
        <f t="shared" si="5"/>
        <v>0</v>
      </c>
      <c r="FV111" s="260" t="s">
        <v>421</v>
      </c>
    </row>
    <row r="112" spans="1:178" s="260" customFormat="1" hidden="1">
      <c r="A112" s="251" t="s">
        <v>393</v>
      </c>
      <c r="B112" s="251" t="s">
        <v>385</v>
      </c>
      <c r="C112" s="251" t="s">
        <v>411</v>
      </c>
      <c r="D112" s="251" t="s">
        <v>291</v>
      </c>
      <c r="E112" s="252" t="s">
        <v>447</v>
      </c>
      <c r="F112" s="251" t="s">
        <v>388</v>
      </c>
      <c r="G112" s="251" t="s">
        <v>1360</v>
      </c>
      <c r="H112" s="253"/>
      <c r="I112" s="253"/>
      <c r="J112" s="253"/>
      <c r="K112" s="253"/>
      <c r="L112" s="253"/>
      <c r="M112" s="253"/>
      <c r="N112" s="253"/>
      <c r="O112" s="253"/>
      <c r="P112" s="253"/>
      <c r="Q112" s="253"/>
      <c r="R112" s="253"/>
      <c r="S112" s="253"/>
      <c r="T112" s="253"/>
      <c r="U112" s="253"/>
      <c r="V112" s="253"/>
      <c r="W112" s="253"/>
      <c r="X112" s="253"/>
      <c r="Y112" s="253"/>
      <c r="Z112" s="253"/>
      <c r="AA112" s="253"/>
      <c r="AB112" s="253"/>
      <c r="AC112" s="253"/>
      <c r="AD112" s="253"/>
      <c r="AE112" s="253"/>
      <c r="AF112" s="253"/>
      <c r="AG112" s="253"/>
      <c r="AH112" s="253"/>
      <c r="AI112" s="253"/>
      <c r="AJ112" s="253"/>
      <c r="AK112" s="253"/>
      <c r="AL112" s="253"/>
      <c r="AM112" s="253"/>
      <c r="AN112" s="253"/>
      <c r="AO112" s="253"/>
      <c r="AP112" s="253"/>
      <c r="AQ112" s="253"/>
      <c r="AR112" s="253"/>
      <c r="AS112" s="253"/>
      <c r="AT112" s="253"/>
      <c r="AU112" s="253"/>
      <c r="AV112" s="253"/>
      <c r="AW112" s="253"/>
      <c r="AX112" s="253"/>
      <c r="AY112" s="253"/>
      <c r="AZ112" s="253"/>
      <c r="BA112" s="253"/>
      <c r="BB112" s="253"/>
      <c r="BC112" s="253"/>
      <c r="BD112" s="253"/>
      <c r="BE112" s="253"/>
      <c r="BF112" s="253"/>
      <c r="BG112" s="253"/>
      <c r="BH112" s="253"/>
      <c r="BI112" s="253"/>
      <c r="BJ112" s="253"/>
      <c r="BK112" s="253"/>
      <c r="BL112" s="253"/>
      <c r="BM112" s="253"/>
      <c r="BN112" s="253"/>
      <c r="BO112" s="253"/>
      <c r="BP112" s="253"/>
      <c r="BQ112" s="253"/>
      <c r="BR112" s="253"/>
      <c r="BS112" s="253"/>
      <c r="BT112" s="253"/>
      <c r="BU112" s="253"/>
      <c r="BV112" s="253"/>
      <c r="BW112" s="253"/>
      <c r="BX112" s="253"/>
      <c r="BY112" s="253"/>
      <c r="BZ112" s="253"/>
      <c r="CA112" s="253"/>
      <c r="CB112" s="253"/>
      <c r="CC112" s="253"/>
      <c r="CD112" s="253"/>
      <c r="CE112" s="253"/>
      <c r="CF112" s="253"/>
      <c r="CG112" s="253"/>
      <c r="CH112" s="253"/>
      <c r="CI112" s="253"/>
      <c r="CJ112" s="253"/>
      <c r="CK112" s="253"/>
      <c r="CL112" s="253"/>
      <c r="CM112" s="253"/>
      <c r="CN112" s="253"/>
      <c r="CO112" s="253"/>
      <c r="CP112" s="253"/>
      <c r="CQ112" s="253"/>
      <c r="CR112" s="253"/>
      <c r="CS112" s="253"/>
      <c r="CT112" s="253"/>
      <c r="CU112" s="253"/>
      <c r="CV112" s="253"/>
      <c r="CW112" s="253"/>
      <c r="CX112" s="253"/>
      <c r="CY112" s="253"/>
      <c r="CZ112" s="253"/>
      <c r="DA112" s="253"/>
      <c r="DB112" s="253"/>
      <c r="DC112" s="253"/>
      <c r="DD112" s="253"/>
      <c r="DE112" s="253"/>
      <c r="DF112" s="253"/>
      <c r="DG112" s="253"/>
      <c r="DH112" s="253"/>
      <c r="DI112" s="253"/>
      <c r="DJ112" s="253"/>
      <c r="DK112" s="253"/>
      <c r="DL112" s="253"/>
      <c r="DM112" s="253"/>
      <c r="DN112" s="253"/>
      <c r="DO112" s="253"/>
      <c r="DP112" s="253"/>
      <c r="DQ112" s="253"/>
      <c r="DR112" s="253"/>
      <c r="DS112" s="253"/>
      <c r="DT112" s="253"/>
      <c r="DU112" s="253"/>
      <c r="DV112" s="253"/>
      <c r="DW112" s="253"/>
      <c r="DX112" s="253"/>
      <c r="DY112" s="253"/>
      <c r="DZ112" s="253"/>
      <c r="EA112" s="253"/>
      <c r="EB112" s="253"/>
      <c r="EC112" s="253"/>
      <c r="ED112" s="253"/>
      <c r="EE112" s="253"/>
      <c r="EF112" s="255">
        <f>100-100</f>
        <v>0</v>
      </c>
      <c r="EG112" s="253"/>
      <c r="EH112" s="253"/>
      <c r="EI112" s="253"/>
      <c r="EJ112" s="253"/>
      <c r="EK112" s="253"/>
      <c r="EL112" s="253"/>
      <c r="EM112" s="253"/>
      <c r="EN112" s="253"/>
      <c r="EO112" s="253"/>
      <c r="EP112" s="253"/>
      <c r="EQ112" s="253"/>
      <c r="ER112" s="253"/>
      <c r="ES112" s="253"/>
      <c r="ET112" s="253"/>
      <c r="EU112" s="253"/>
      <c r="EV112" s="253"/>
      <c r="EW112" s="253"/>
      <c r="EX112" s="253"/>
      <c r="EY112" s="253"/>
      <c r="EZ112" s="253"/>
      <c r="FA112" s="253"/>
      <c r="FB112" s="253"/>
      <c r="FC112" s="253"/>
      <c r="FD112" s="253"/>
      <c r="FE112" s="253"/>
      <c r="FF112" s="253"/>
      <c r="FG112" s="253"/>
      <c r="FH112" s="253"/>
      <c r="FI112" s="253"/>
      <c r="FJ112" s="253"/>
      <c r="FK112" s="253"/>
      <c r="FL112" s="253"/>
      <c r="FM112" s="253"/>
      <c r="FN112" s="253"/>
      <c r="FO112" s="253"/>
      <c r="FP112" s="256"/>
      <c r="FQ112" s="257" t="s">
        <v>1322</v>
      </c>
      <c r="FR112" s="258" t="s">
        <v>389</v>
      </c>
      <c r="FS112" s="258" t="s">
        <v>448</v>
      </c>
      <c r="FT112" s="258" t="s">
        <v>449</v>
      </c>
      <c r="FU112" s="259">
        <f t="shared" si="5"/>
        <v>0</v>
      </c>
      <c r="FV112" s="260" t="s">
        <v>433</v>
      </c>
    </row>
    <row r="113" spans="1:179" s="260" customFormat="1" hidden="1">
      <c r="A113" s="251" t="s">
        <v>393</v>
      </c>
      <c r="B113" s="251" t="s">
        <v>385</v>
      </c>
      <c r="C113" s="251" t="s">
        <v>411</v>
      </c>
      <c r="D113" s="251" t="s">
        <v>1</v>
      </c>
      <c r="E113" s="252" t="s">
        <v>447</v>
      </c>
      <c r="F113" s="251" t="s">
        <v>388</v>
      </c>
      <c r="G113" s="251" t="s">
        <v>1360</v>
      </c>
      <c r="H113" s="253"/>
      <c r="I113" s="253"/>
      <c r="J113" s="253"/>
      <c r="K113" s="253"/>
      <c r="L113" s="253"/>
      <c r="M113" s="253"/>
      <c r="N113" s="253"/>
      <c r="O113" s="253"/>
      <c r="P113" s="253"/>
      <c r="Q113" s="253"/>
      <c r="R113" s="253"/>
      <c r="S113" s="253"/>
      <c r="T113" s="253"/>
      <c r="U113" s="253"/>
      <c r="V113" s="253"/>
      <c r="W113" s="253"/>
      <c r="X113" s="253"/>
      <c r="Y113" s="253"/>
      <c r="Z113" s="253"/>
      <c r="AA113" s="253"/>
      <c r="AB113" s="253"/>
      <c r="AC113" s="253"/>
      <c r="AD113" s="253"/>
      <c r="AE113" s="253"/>
      <c r="AF113" s="253"/>
      <c r="AG113" s="253"/>
      <c r="AH113" s="253"/>
      <c r="AI113" s="253"/>
      <c r="AJ113" s="253"/>
      <c r="AK113" s="253"/>
      <c r="AL113" s="253"/>
      <c r="AM113" s="253"/>
      <c r="AN113" s="253"/>
      <c r="AO113" s="253"/>
      <c r="AP113" s="253"/>
      <c r="AQ113" s="253"/>
      <c r="AR113" s="253"/>
      <c r="AS113" s="253"/>
      <c r="AT113" s="253"/>
      <c r="AU113" s="253"/>
      <c r="AV113" s="253"/>
      <c r="AW113" s="253"/>
      <c r="AX113" s="253"/>
      <c r="AY113" s="253"/>
      <c r="AZ113" s="253"/>
      <c r="BA113" s="253"/>
      <c r="BB113" s="253"/>
      <c r="BC113" s="253"/>
      <c r="BD113" s="253"/>
      <c r="BE113" s="253"/>
      <c r="BF113" s="253"/>
      <c r="BG113" s="253"/>
      <c r="BH113" s="253"/>
      <c r="BI113" s="253"/>
      <c r="BJ113" s="253"/>
      <c r="BK113" s="253"/>
      <c r="BL113" s="253"/>
      <c r="BM113" s="253"/>
      <c r="BN113" s="253"/>
      <c r="BO113" s="253"/>
      <c r="BP113" s="253"/>
      <c r="BQ113" s="253"/>
      <c r="BR113" s="253"/>
      <c r="BS113" s="253"/>
      <c r="BT113" s="253"/>
      <c r="BU113" s="253"/>
      <c r="BV113" s="253"/>
      <c r="BW113" s="253"/>
      <c r="BX113" s="253"/>
      <c r="BY113" s="253"/>
      <c r="BZ113" s="253"/>
      <c r="CA113" s="253"/>
      <c r="CB113" s="253"/>
      <c r="CC113" s="253"/>
      <c r="CD113" s="253"/>
      <c r="CE113" s="253"/>
      <c r="CF113" s="253"/>
      <c r="CG113" s="253"/>
      <c r="CH113" s="253"/>
      <c r="CI113" s="253"/>
      <c r="CJ113" s="253"/>
      <c r="CK113" s="253"/>
      <c r="CL113" s="253"/>
      <c r="CM113" s="253"/>
      <c r="CN113" s="253"/>
      <c r="CO113" s="253"/>
      <c r="CP113" s="253"/>
      <c r="CQ113" s="253"/>
      <c r="CR113" s="253"/>
      <c r="CS113" s="253"/>
      <c r="CT113" s="253"/>
      <c r="CU113" s="253"/>
      <c r="CV113" s="253"/>
      <c r="CW113" s="253"/>
      <c r="CX113" s="253"/>
      <c r="CY113" s="253"/>
      <c r="CZ113" s="253"/>
      <c r="DA113" s="253"/>
      <c r="DB113" s="253"/>
      <c r="DC113" s="253"/>
      <c r="DD113" s="253"/>
      <c r="DE113" s="253"/>
      <c r="DF113" s="253"/>
      <c r="DG113" s="253"/>
      <c r="DH113" s="253"/>
      <c r="DI113" s="253"/>
      <c r="DJ113" s="253"/>
      <c r="DK113" s="253"/>
      <c r="DL113" s="253"/>
      <c r="DM113" s="253"/>
      <c r="DN113" s="253"/>
      <c r="DO113" s="253"/>
      <c r="DP113" s="253"/>
      <c r="DQ113" s="253"/>
      <c r="DR113" s="253"/>
      <c r="DS113" s="253"/>
      <c r="DT113" s="253"/>
      <c r="DU113" s="255">
        <f>100-100</f>
        <v>0</v>
      </c>
      <c r="DV113" s="253"/>
      <c r="DW113" s="253"/>
      <c r="DX113" s="253"/>
      <c r="DY113" s="253"/>
      <c r="DZ113" s="253"/>
      <c r="EA113" s="253"/>
      <c r="EB113" s="253"/>
      <c r="EC113" s="253"/>
      <c r="ED113" s="253"/>
      <c r="EE113" s="253"/>
      <c r="EF113" s="253"/>
      <c r="EG113" s="253"/>
      <c r="EH113" s="253"/>
      <c r="EI113" s="253"/>
      <c r="EJ113" s="253"/>
      <c r="EK113" s="253"/>
      <c r="EL113" s="253"/>
      <c r="EM113" s="255">
        <f>100-100</f>
        <v>0</v>
      </c>
      <c r="EN113" s="253"/>
      <c r="EO113" s="253"/>
      <c r="EP113" s="253"/>
      <c r="EQ113" s="253"/>
      <c r="ER113" s="253"/>
      <c r="ES113" s="253"/>
      <c r="ET113" s="253"/>
      <c r="EU113" s="253"/>
      <c r="EV113" s="253"/>
      <c r="EW113" s="253"/>
      <c r="EX113" s="253"/>
      <c r="EY113" s="253"/>
      <c r="EZ113" s="253"/>
      <c r="FA113" s="253"/>
      <c r="FB113" s="253"/>
      <c r="FC113" s="253"/>
      <c r="FD113" s="253"/>
      <c r="FE113" s="253"/>
      <c r="FF113" s="253"/>
      <c r="FG113" s="253"/>
      <c r="FH113" s="253"/>
      <c r="FI113" s="253"/>
      <c r="FJ113" s="253"/>
      <c r="FK113" s="253"/>
      <c r="FL113" s="253"/>
      <c r="FM113" s="253"/>
      <c r="FN113" s="253"/>
      <c r="FO113" s="253"/>
      <c r="FP113" s="256"/>
      <c r="FQ113" s="257" t="s">
        <v>1322</v>
      </c>
      <c r="FR113" s="258" t="s">
        <v>389</v>
      </c>
      <c r="FS113" s="258" t="s">
        <v>448</v>
      </c>
      <c r="FT113" s="258" t="s">
        <v>449</v>
      </c>
      <c r="FU113" s="259">
        <f t="shared" si="5"/>
        <v>0</v>
      </c>
      <c r="FV113" s="260" t="s">
        <v>433</v>
      </c>
    </row>
    <row r="114" spans="1:179" s="260" customFormat="1" hidden="1">
      <c r="A114" s="251" t="s">
        <v>393</v>
      </c>
      <c r="B114" s="251" t="s">
        <v>385</v>
      </c>
      <c r="C114" s="251" t="s">
        <v>411</v>
      </c>
      <c r="D114" s="251" t="s">
        <v>1</v>
      </c>
      <c r="E114" s="252" t="s">
        <v>447</v>
      </c>
      <c r="F114" s="251" t="s">
        <v>388</v>
      </c>
      <c r="G114" s="251" t="s">
        <v>1360</v>
      </c>
      <c r="H114" s="253"/>
      <c r="I114" s="253"/>
      <c r="J114" s="253"/>
      <c r="K114" s="253"/>
      <c r="L114" s="253"/>
      <c r="M114" s="253"/>
      <c r="N114" s="253"/>
      <c r="O114" s="253"/>
      <c r="P114" s="253"/>
      <c r="Q114" s="253"/>
      <c r="R114" s="253"/>
      <c r="S114" s="253"/>
      <c r="T114" s="253"/>
      <c r="U114" s="253"/>
      <c r="V114" s="253"/>
      <c r="W114" s="253"/>
      <c r="X114" s="253"/>
      <c r="Y114" s="253"/>
      <c r="Z114" s="253"/>
      <c r="AA114" s="253"/>
      <c r="AB114" s="253"/>
      <c r="AC114" s="253"/>
      <c r="AD114" s="253"/>
      <c r="AE114" s="253"/>
      <c r="AF114" s="253"/>
      <c r="AG114" s="253"/>
      <c r="AH114" s="253"/>
      <c r="AI114" s="253"/>
      <c r="AJ114" s="253"/>
      <c r="AK114" s="253"/>
      <c r="AL114" s="253"/>
      <c r="AM114" s="253"/>
      <c r="AN114" s="253"/>
      <c r="AO114" s="253"/>
      <c r="AP114" s="253"/>
      <c r="AQ114" s="253"/>
      <c r="AR114" s="253"/>
      <c r="AS114" s="253"/>
      <c r="AT114" s="253"/>
      <c r="AU114" s="253"/>
      <c r="AV114" s="253"/>
      <c r="AW114" s="253"/>
      <c r="AX114" s="253"/>
      <c r="AY114" s="253"/>
      <c r="AZ114" s="253"/>
      <c r="BA114" s="253"/>
      <c r="BB114" s="253"/>
      <c r="BC114" s="253"/>
      <c r="BD114" s="253"/>
      <c r="BE114" s="253"/>
      <c r="BF114" s="253"/>
      <c r="BG114" s="253"/>
      <c r="BH114" s="253"/>
      <c r="BI114" s="253"/>
      <c r="BJ114" s="253"/>
      <c r="BK114" s="253"/>
      <c r="BL114" s="253"/>
      <c r="BM114" s="253"/>
      <c r="BN114" s="253"/>
      <c r="BO114" s="253"/>
      <c r="BP114" s="253"/>
      <c r="BQ114" s="253"/>
      <c r="BR114" s="253"/>
      <c r="BS114" s="253"/>
      <c r="BT114" s="253"/>
      <c r="BU114" s="253"/>
      <c r="BV114" s="253"/>
      <c r="BW114" s="253"/>
      <c r="BX114" s="253"/>
      <c r="BY114" s="253"/>
      <c r="BZ114" s="253"/>
      <c r="CA114" s="253"/>
      <c r="CB114" s="253"/>
      <c r="CC114" s="253"/>
      <c r="CD114" s="253"/>
      <c r="CE114" s="253"/>
      <c r="CF114" s="253"/>
      <c r="CG114" s="253"/>
      <c r="CH114" s="253"/>
      <c r="CI114" s="253"/>
      <c r="CJ114" s="253"/>
      <c r="CK114" s="253"/>
      <c r="CL114" s="253"/>
      <c r="CM114" s="253"/>
      <c r="CN114" s="253"/>
      <c r="CO114" s="253"/>
      <c r="CP114" s="253"/>
      <c r="CQ114" s="253"/>
      <c r="CR114" s="253"/>
      <c r="CS114" s="253"/>
      <c r="CT114" s="253"/>
      <c r="CU114" s="253"/>
      <c r="CV114" s="253"/>
      <c r="CW114" s="253"/>
      <c r="CX114" s="253"/>
      <c r="CY114" s="253"/>
      <c r="CZ114" s="253"/>
      <c r="DA114" s="253"/>
      <c r="DB114" s="253"/>
      <c r="DC114" s="253"/>
      <c r="DD114" s="253"/>
      <c r="DE114" s="253"/>
      <c r="DF114" s="253"/>
      <c r="DG114" s="253"/>
      <c r="DH114" s="253"/>
      <c r="DI114" s="253"/>
      <c r="DJ114" s="253"/>
      <c r="DK114" s="253"/>
      <c r="DL114" s="253"/>
      <c r="DM114" s="253"/>
      <c r="DN114" s="253"/>
      <c r="DO114" s="253"/>
      <c r="DP114" s="253"/>
      <c r="DQ114" s="253"/>
      <c r="DR114" s="253"/>
      <c r="DS114" s="253"/>
      <c r="DT114" s="253"/>
      <c r="DU114" s="253"/>
      <c r="DV114" s="253"/>
      <c r="DW114" s="253"/>
      <c r="DX114" s="253"/>
      <c r="DY114" s="253"/>
      <c r="DZ114" s="255">
        <f>100-100</f>
        <v>0</v>
      </c>
      <c r="EA114" s="253"/>
      <c r="EB114" s="253"/>
      <c r="EC114" s="253"/>
      <c r="ED114" s="253"/>
      <c r="EE114" s="253"/>
      <c r="EF114" s="253"/>
      <c r="EG114" s="253"/>
      <c r="EH114" s="253"/>
      <c r="EI114" s="253"/>
      <c r="EJ114" s="253"/>
      <c r="EK114" s="253"/>
      <c r="EL114" s="253"/>
      <c r="EM114" s="253"/>
      <c r="EN114" s="253"/>
      <c r="EO114" s="253"/>
      <c r="EP114" s="253"/>
      <c r="EQ114" s="253"/>
      <c r="ER114" s="253"/>
      <c r="ES114" s="253"/>
      <c r="ET114" s="253"/>
      <c r="EU114" s="253"/>
      <c r="EV114" s="253"/>
      <c r="EW114" s="253"/>
      <c r="EX114" s="253"/>
      <c r="EY114" s="253"/>
      <c r="EZ114" s="253"/>
      <c r="FA114" s="253"/>
      <c r="FB114" s="253"/>
      <c r="FC114" s="253"/>
      <c r="FD114" s="253"/>
      <c r="FE114" s="253"/>
      <c r="FF114" s="253"/>
      <c r="FG114" s="253"/>
      <c r="FH114" s="253"/>
      <c r="FI114" s="253"/>
      <c r="FJ114" s="253"/>
      <c r="FK114" s="253"/>
      <c r="FL114" s="253"/>
      <c r="FM114" s="253"/>
      <c r="FN114" s="253"/>
      <c r="FO114" s="253"/>
      <c r="FP114" s="256"/>
      <c r="FQ114" s="257" t="s">
        <v>1322</v>
      </c>
      <c r="FR114" s="258" t="s">
        <v>1271</v>
      </c>
      <c r="FS114" s="258" t="s">
        <v>448</v>
      </c>
      <c r="FT114" s="258" t="s">
        <v>449</v>
      </c>
      <c r="FU114" s="259">
        <f t="shared" si="5"/>
        <v>0</v>
      </c>
      <c r="FV114" s="260" t="s">
        <v>433</v>
      </c>
    </row>
    <row r="115" spans="1:179" s="260" customFormat="1" hidden="1">
      <c r="A115" s="251" t="s">
        <v>417</v>
      </c>
      <c r="B115" s="251" t="s">
        <v>385</v>
      </c>
      <c r="C115" s="251" t="s">
        <v>411</v>
      </c>
      <c r="D115" s="251" t="s">
        <v>291</v>
      </c>
      <c r="E115" s="252" t="s">
        <v>450</v>
      </c>
      <c r="F115" s="251" t="s">
        <v>388</v>
      </c>
      <c r="G115" s="251" t="s">
        <v>1361</v>
      </c>
      <c r="H115" s="253"/>
      <c r="I115" s="253"/>
      <c r="J115" s="253"/>
      <c r="K115" s="253"/>
      <c r="L115" s="253"/>
      <c r="M115" s="253"/>
      <c r="N115" s="253"/>
      <c r="O115" s="253"/>
      <c r="P115" s="253"/>
      <c r="Q115" s="253"/>
      <c r="R115" s="253"/>
      <c r="S115" s="253"/>
      <c r="T115" s="253"/>
      <c r="U115" s="253"/>
      <c r="V115" s="253"/>
      <c r="W115" s="253"/>
      <c r="X115" s="253"/>
      <c r="Y115" s="253"/>
      <c r="Z115" s="253"/>
      <c r="AA115" s="253"/>
      <c r="AB115" s="253"/>
      <c r="AC115" s="253"/>
      <c r="AD115" s="253"/>
      <c r="AE115" s="253"/>
      <c r="AF115" s="253"/>
      <c r="AG115" s="253"/>
      <c r="AH115" s="253"/>
      <c r="AI115" s="253"/>
      <c r="AJ115" s="253"/>
      <c r="AK115" s="253"/>
      <c r="AL115" s="253"/>
      <c r="AM115" s="253"/>
      <c r="AN115" s="253"/>
      <c r="AO115" s="253"/>
      <c r="AP115" s="253"/>
      <c r="AQ115" s="253"/>
      <c r="AR115" s="253"/>
      <c r="AS115" s="253"/>
      <c r="AT115" s="253"/>
      <c r="AU115" s="253"/>
      <c r="AV115" s="253"/>
      <c r="AW115" s="253"/>
      <c r="AX115" s="253"/>
      <c r="AY115" s="253"/>
      <c r="AZ115" s="253"/>
      <c r="BA115" s="253"/>
      <c r="BB115" s="253"/>
      <c r="BC115" s="253"/>
      <c r="BD115" s="253"/>
      <c r="BE115" s="253"/>
      <c r="BF115" s="253"/>
      <c r="BG115" s="253"/>
      <c r="BH115" s="253"/>
      <c r="BI115" s="253"/>
      <c r="BJ115" s="253"/>
      <c r="BK115" s="253"/>
      <c r="BL115" s="253"/>
      <c r="BM115" s="253"/>
      <c r="BN115" s="253"/>
      <c r="BO115" s="253"/>
      <c r="BP115" s="253"/>
      <c r="BQ115" s="253"/>
      <c r="BR115" s="253"/>
      <c r="BS115" s="253"/>
      <c r="BT115" s="253"/>
      <c r="BU115" s="253"/>
      <c r="BV115" s="253"/>
      <c r="BW115" s="253"/>
      <c r="BX115" s="253"/>
      <c r="BY115" s="253"/>
      <c r="BZ115" s="253"/>
      <c r="CA115" s="253"/>
      <c r="CB115" s="253"/>
      <c r="CC115" s="253"/>
      <c r="CD115" s="253"/>
      <c r="CE115" s="253"/>
      <c r="CF115" s="253"/>
      <c r="CG115" s="253"/>
      <c r="CH115" s="253"/>
      <c r="CI115" s="253"/>
      <c r="CJ115" s="253"/>
      <c r="CK115" s="253"/>
      <c r="CL115" s="253"/>
      <c r="CM115" s="253"/>
      <c r="CN115" s="253"/>
      <c r="CO115" s="253"/>
      <c r="CP115" s="253"/>
      <c r="CQ115" s="253"/>
      <c r="CR115" s="253"/>
      <c r="CS115" s="253"/>
      <c r="CT115" s="253"/>
      <c r="CU115" s="253"/>
      <c r="CV115" s="253"/>
      <c r="CW115" s="253"/>
      <c r="CX115" s="253"/>
      <c r="CY115" s="253"/>
      <c r="CZ115" s="253"/>
      <c r="DA115" s="253"/>
      <c r="DB115" s="253"/>
      <c r="DC115" s="253"/>
      <c r="DD115" s="253"/>
      <c r="DE115" s="253"/>
      <c r="DF115" s="253"/>
      <c r="DG115" s="253"/>
      <c r="DH115" s="253"/>
      <c r="DI115" s="255">
        <f>200-200</f>
        <v>0</v>
      </c>
      <c r="DJ115" s="253"/>
      <c r="DK115" s="253"/>
      <c r="DL115" s="253"/>
      <c r="DM115" s="253"/>
      <c r="DN115" s="253"/>
      <c r="DO115" s="253"/>
      <c r="DP115" s="253"/>
      <c r="DQ115" s="253"/>
      <c r="DR115" s="253"/>
      <c r="DS115" s="253"/>
      <c r="DT115" s="253"/>
      <c r="DU115" s="253"/>
      <c r="DV115" s="253"/>
      <c r="DW115" s="253"/>
      <c r="DX115" s="253"/>
      <c r="DY115" s="253"/>
      <c r="DZ115" s="253"/>
      <c r="EA115" s="253"/>
      <c r="EB115" s="253"/>
      <c r="EC115" s="253"/>
      <c r="ED115" s="253"/>
      <c r="EE115" s="253"/>
      <c r="EF115" s="253"/>
      <c r="EG115" s="253"/>
      <c r="EH115" s="253"/>
      <c r="EI115" s="253"/>
      <c r="EJ115" s="253"/>
      <c r="EK115" s="253"/>
      <c r="EL115" s="253"/>
      <c r="EM115" s="253"/>
      <c r="EN115" s="253"/>
      <c r="EO115" s="253"/>
      <c r="EP115" s="253"/>
      <c r="EQ115" s="253"/>
      <c r="ER115" s="253"/>
      <c r="ES115" s="253"/>
      <c r="ET115" s="253"/>
      <c r="EU115" s="253"/>
      <c r="EV115" s="253"/>
      <c r="EW115" s="253"/>
      <c r="EX115" s="253"/>
      <c r="EY115" s="253"/>
      <c r="EZ115" s="253"/>
      <c r="FA115" s="253"/>
      <c r="FB115" s="253"/>
      <c r="FC115" s="253"/>
      <c r="FD115" s="253"/>
      <c r="FE115" s="253"/>
      <c r="FF115" s="253"/>
      <c r="FG115" s="253"/>
      <c r="FH115" s="253"/>
      <c r="FI115" s="253"/>
      <c r="FJ115" s="253"/>
      <c r="FK115" s="253"/>
      <c r="FL115" s="253"/>
      <c r="FM115" s="253"/>
      <c r="FN115" s="253"/>
      <c r="FO115" s="253"/>
      <c r="FP115" s="256"/>
      <c r="FQ115" s="257" t="s">
        <v>1322</v>
      </c>
      <c r="FR115" s="258" t="s">
        <v>389</v>
      </c>
      <c r="FS115" s="258" t="s">
        <v>451</v>
      </c>
      <c r="FT115" s="258" t="s">
        <v>432</v>
      </c>
      <c r="FU115" s="259">
        <f t="shared" si="5"/>
        <v>0</v>
      </c>
      <c r="FV115" s="260" t="s">
        <v>433</v>
      </c>
    </row>
    <row r="116" spans="1:179" s="260" customFormat="1" hidden="1">
      <c r="A116" s="251" t="s">
        <v>417</v>
      </c>
      <c r="B116" s="251" t="s">
        <v>385</v>
      </c>
      <c r="C116" s="251" t="s">
        <v>411</v>
      </c>
      <c r="D116" s="251" t="s">
        <v>1</v>
      </c>
      <c r="E116" s="252" t="s">
        <v>450</v>
      </c>
      <c r="F116" s="251" t="s">
        <v>388</v>
      </c>
      <c r="G116" s="251" t="s">
        <v>1361</v>
      </c>
      <c r="H116" s="253"/>
      <c r="I116" s="253"/>
      <c r="J116" s="253"/>
      <c r="K116" s="253"/>
      <c r="L116" s="253"/>
      <c r="M116" s="253"/>
      <c r="N116" s="253"/>
      <c r="O116" s="253"/>
      <c r="P116" s="253"/>
      <c r="Q116" s="253"/>
      <c r="R116" s="253"/>
      <c r="S116" s="253"/>
      <c r="T116" s="253"/>
      <c r="U116" s="253"/>
      <c r="V116" s="253"/>
      <c r="W116" s="253"/>
      <c r="X116" s="253"/>
      <c r="Y116" s="253"/>
      <c r="Z116" s="253"/>
      <c r="AA116" s="253"/>
      <c r="AB116" s="253"/>
      <c r="AC116" s="253"/>
      <c r="AD116" s="253"/>
      <c r="AE116" s="253"/>
      <c r="AF116" s="253"/>
      <c r="AG116" s="253"/>
      <c r="AH116" s="253"/>
      <c r="AI116" s="253"/>
      <c r="AJ116" s="253"/>
      <c r="AK116" s="253"/>
      <c r="AL116" s="253"/>
      <c r="AM116" s="253"/>
      <c r="AN116" s="253"/>
      <c r="AO116" s="253"/>
      <c r="AP116" s="253"/>
      <c r="AQ116" s="253"/>
      <c r="AR116" s="253"/>
      <c r="AS116" s="253"/>
      <c r="AT116" s="253"/>
      <c r="AU116" s="253"/>
      <c r="AV116" s="253"/>
      <c r="AW116" s="253"/>
      <c r="AX116" s="253"/>
      <c r="AY116" s="253"/>
      <c r="AZ116" s="253"/>
      <c r="BA116" s="253"/>
      <c r="BB116" s="253"/>
      <c r="BC116" s="253"/>
      <c r="BD116" s="253"/>
      <c r="BE116" s="253"/>
      <c r="BF116" s="253"/>
      <c r="BG116" s="253"/>
      <c r="BH116" s="253"/>
      <c r="BI116" s="253"/>
      <c r="BJ116" s="253"/>
      <c r="BK116" s="253"/>
      <c r="BL116" s="253"/>
      <c r="BM116" s="253"/>
      <c r="BN116" s="253"/>
      <c r="BO116" s="253"/>
      <c r="BP116" s="253"/>
      <c r="BQ116" s="253"/>
      <c r="BR116" s="253"/>
      <c r="BS116" s="253"/>
      <c r="BT116" s="253"/>
      <c r="BU116" s="253"/>
      <c r="BV116" s="253"/>
      <c r="BW116" s="253"/>
      <c r="BX116" s="253"/>
      <c r="BY116" s="253"/>
      <c r="BZ116" s="253"/>
      <c r="CA116" s="253"/>
      <c r="CB116" s="253"/>
      <c r="CC116" s="253"/>
      <c r="CD116" s="253"/>
      <c r="CE116" s="253"/>
      <c r="CF116" s="253"/>
      <c r="CG116" s="253"/>
      <c r="CH116" s="253"/>
      <c r="CI116" s="253"/>
      <c r="CJ116" s="253"/>
      <c r="CK116" s="253"/>
      <c r="CL116" s="253"/>
      <c r="CM116" s="253"/>
      <c r="CN116" s="253"/>
      <c r="CO116" s="253"/>
      <c r="CP116" s="253"/>
      <c r="CQ116" s="253"/>
      <c r="CR116" s="253"/>
      <c r="CS116" s="253"/>
      <c r="CT116" s="253"/>
      <c r="CU116" s="253"/>
      <c r="CV116" s="253"/>
      <c r="CW116" s="253"/>
      <c r="CX116" s="253"/>
      <c r="CY116" s="253"/>
      <c r="CZ116" s="253"/>
      <c r="DA116" s="253"/>
      <c r="DB116" s="253"/>
      <c r="DC116" s="253"/>
      <c r="DD116" s="253"/>
      <c r="DE116" s="253"/>
      <c r="DF116" s="253"/>
      <c r="DG116" s="253"/>
      <c r="DH116" s="253"/>
      <c r="DI116" s="253"/>
      <c r="DJ116" s="253"/>
      <c r="DK116" s="253"/>
      <c r="DL116" s="253"/>
      <c r="DM116" s="253"/>
      <c r="DN116" s="253"/>
      <c r="DO116" s="253"/>
      <c r="DP116" s="253"/>
      <c r="DQ116" s="253"/>
      <c r="DR116" s="253"/>
      <c r="DS116" s="253"/>
      <c r="DT116" s="253"/>
      <c r="DU116" s="255">
        <f>200-200</f>
        <v>0</v>
      </c>
      <c r="DV116" s="253"/>
      <c r="DW116" s="253"/>
      <c r="DX116" s="253"/>
      <c r="DY116" s="253"/>
      <c r="DZ116" s="253"/>
      <c r="EA116" s="253"/>
      <c r="EB116" s="255">
        <f>200-200</f>
        <v>0</v>
      </c>
      <c r="EC116" s="253"/>
      <c r="ED116" s="253"/>
      <c r="EE116" s="253"/>
      <c r="EF116" s="253"/>
      <c r="EG116" s="253"/>
      <c r="EH116" s="253"/>
      <c r="EI116" s="253"/>
      <c r="EJ116" s="253"/>
      <c r="EK116" s="253"/>
      <c r="EL116" s="253"/>
      <c r="EM116" s="253"/>
      <c r="EN116" s="253"/>
      <c r="EO116" s="253"/>
      <c r="EP116" s="253"/>
      <c r="EQ116" s="253"/>
      <c r="ER116" s="253"/>
      <c r="ES116" s="253"/>
      <c r="ET116" s="253"/>
      <c r="EU116" s="253"/>
      <c r="EV116" s="253"/>
      <c r="EW116" s="253"/>
      <c r="EX116" s="253"/>
      <c r="EY116" s="253"/>
      <c r="EZ116" s="253"/>
      <c r="FA116" s="253"/>
      <c r="FB116" s="253"/>
      <c r="FC116" s="253"/>
      <c r="FD116" s="253"/>
      <c r="FE116" s="253"/>
      <c r="FF116" s="253"/>
      <c r="FG116" s="253"/>
      <c r="FH116" s="253"/>
      <c r="FI116" s="253"/>
      <c r="FJ116" s="253"/>
      <c r="FK116" s="253"/>
      <c r="FL116" s="253"/>
      <c r="FM116" s="253"/>
      <c r="FN116" s="253"/>
      <c r="FO116" s="253"/>
      <c r="FP116" s="256"/>
      <c r="FQ116" s="257" t="s">
        <v>1322</v>
      </c>
      <c r="FR116" s="258" t="s">
        <v>389</v>
      </c>
      <c r="FS116" s="258" t="s">
        <v>451</v>
      </c>
      <c r="FT116" s="258" t="s">
        <v>432</v>
      </c>
      <c r="FU116" s="259">
        <f t="shared" si="5"/>
        <v>0</v>
      </c>
      <c r="FV116" s="260" t="s">
        <v>433</v>
      </c>
    </row>
    <row r="117" spans="1:179" s="334" customFormat="1">
      <c r="A117" s="326"/>
      <c r="B117" s="326"/>
      <c r="C117" s="326" t="s">
        <v>411</v>
      </c>
      <c r="D117" s="326" t="s">
        <v>291</v>
      </c>
      <c r="E117" s="327" t="s">
        <v>933</v>
      </c>
      <c r="F117" s="326"/>
      <c r="G117" s="326"/>
      <c r="H117" s="328"/>
      <c r="I117" s="328"/>
      <c r="J117" s="328"/>
      <c r="K117" s="328"/>
      <c r="L117" s="328"/>
      <c r="M117" s="328"/>
      <c r="N117" s="328"/>
      <c r="O117" s="328"/>
      <c r="P117" s="328"/>
      <c r="Q117" s="328"/>
      <c r="R117" s="328"/>
      <c r="S117" s="328"/>
      <c r="T117" s="328"/>
      <c r="U117" s="328"/>
      <c r="V117" s="328"/>
      <c r="W117" s="328"/>
      <c r="X117" s="328"/>
      <c r="Y117" s="328"/>
      <c r="Z117" s="328"/>
      <c r="AA117" s="328"/>
      <c r="AB117" s="328"/>
      <c r="AC117" s="328"/>
      <c r="AD117" s="328"/>
      <c r="AE117" s="328"/>
      <c r="AF117" s="328"/>
      <c r="AG117" s="328"/>
      <c r="AH117" s="328"/>
      <c r="AI117" s="328"/>
      <c r="AJ117" s="328"/>
      <c r="AK117" s="328"/>
      <c r="AL117" s="328"/>
      <c r="AM117" s="328"/>
      <c r="AN117" s="328"/>
      <c r="AO117" s="328"/>
      <c r="AP117" s="328"/>
      <c r="AQ117" s="328"/>
      <c r="AR117" s="328"/>
      <c r="AS117" s="328"/>
      <c r="AT117" s="328"/>
      <c r="AU117" s="328"/>
      <c r="AV117" s="328"/>
      <c r="AW117" s="328"/>
      <c r="AX117" s="328"/>
      <c r="AY117" s="328"/>
      <c r="AZ117" s="328"/>
      <c r="BA117" s="328"/>
      <c r="BB117" s="328"/>
      <c r="BC117" s="328"/>
      <c r="BD117" s="328"/>
      <c r="BE117" s="328"/>
      <c r="BF117" s="328"/>
      <c r="BG117" s="328"/>
      <c r="BH117" s="328"/>
      <c r="BI117" s="328"/>
      <c r="BJ117" s="328"/>
      <c r="BK117" s="328"/>
      <c r="BL117" s="328"/>
      <c r="BM117" s="328"/>
      <c r="BN117" s="328"/>
      <c r="BO117" s="328"/>
      <c r="BP117" s="328"/>
      <c r="BQ117" s="328"/>
      <c r="BR117" s="328"/>
      <c r="BS117" s="328"/>
      <c r="BT117" s="328"/>
      <c r="BU117" s="328"/>
      <c r="BV117" s="328"/>
      <c r="BW117" s="328"/>
      <c r="BX117" s="328"/>
      <c r="BY117" s="328"/>
      <c r="BZ117" s="328"/>
      <c r="CA117" s="328"/>
      <c r="CB117" s="328"/>
      <c r="CC117" s="328"/>
      <c r="CD117" s="328"/>
      <c r="CE117" s="328"/>
      <c r="CF117" s="328"/>
      <c r="CG117" s="328"/>
      <c r="CH117" s="328"/>
      <c r="CI117" s="328"/>
      <c r="CJ117" s="328"/>
      <c r="CK117" s="328"/>
      <c r="CL117" s="328"/>
      <c r="CM117" s="328"/>
      <c r="CN117" s="328"/>
      <c r="CO117" s="328"/>
      <c r="CP117" s="328"/>
      <c r="CQ117" s="328"/>
      <c r="CR117" s="328"/>
      <c r="CS117" s="328"/>
      <c r="CT117" s="328"/>
      <c r="CU117" s="328"/>
      <c r="CV117" s="328"/>
      <c r="CW117" s="328"/>
      <c r="CX117" s="328"/>
      <c r="CY117" s="328"/>
      <c r="CZ117" s="328"/>
      <c r="DA117" s="328"/>
      <c r="DB117" s="328"/>
      <c r="DC117" s="328"/>
      <c r="DD117" s="328"/>
      <c r="DE117" s="328"/>
      <c r="DF117" s="328"/>
      <c r="DG117" s="328"/>
      <c r="DH117" s="328"/>
      <c r="DI117" s="328">
        <v>120</v>
      </c>
      <c r="DJ117" s="328"/>
      <c r="DK117" s="328"/>
      <c r="DL117" s="328"/>
      <c r="DM117" s="328"/>
      <c r="DN117" s="328"/>
      <c r="DO117" s="328"/>
      <c r="DP117" s="328"/>
      <c r="DQ117" s="328"/>
      <c r="DR117" s="328"/>
      <c r="DS117" s="328"/>
      <c r="DT117" s="328"/>
      <c r="DU117" s="328"/>
      <c r="DV117" s="328"/>
      <c r="DW117" s="328"/>
      <c r="DX117" s="328"/>
      <c r="DY117" s="328"/>
      <c r="DZ117" s="328"/>
      <c r="EA117" s="328"/>
      <c r="EB117" s="328"/>
      <c r="EC117" s="328"/>
      <c r="ED117" s="328"/>
      <c r="EE117" s="328"/>
      <c r="EF117" s="328"/>
      <c r="EG117" s="328"/>
      <c r="EH117" s="328"/>
      <c r="EI117" s="328"/>
      <c r="EJ117" s="328">
        <v>240</v>
      </c>
      <c r="EK117" s="328"/>
      <c r="EL117" s="328"/>
      <c r="EM117" s="328"/>
      <c r="EN117" s="328"/>
      <c r="EO117" s="328"/>
      <c r="EP117" s="328"/>
      <c r="EQ117" s="328"/>
      <c r="ER117" s="328"/>
      <c r="ES117" s="328">
        <v>40</v>
      </c>
      <c r="ET117" s="328"/>
      <c r="EU117" s="328"/>
      <c r="EV117" s="328"/>
      <c r="EW117" s="328">
        <v>240</v>
      </c>
      <c r="EX117" s="328">
        <v>100</v>
      </c>
      <c r="EY117" s="328"/>
      <c r="EZ117" s="328"/>
      <c r="FA117" s="328"/>
      <c r="FB117" s="328"/>
      <c r="FC117" s="328"/>
      <c r="FD117" s="328"/>
      <c r="FE117" s="328"/>
      <c r="FF117" s="328"/>
      <c r="FG117" s="328"/>
      <c r="FH117" s="328"/>
      <c r="FI117" s="328"/>
      <c r="FJ117" s="328"/>
      <c r="FK117" s="328"/>
      <c r="FL117" s="328"/>
      <c r="FM117" s="328"/>
      <c r="FN117" s="328"/>
      <c r="FO117" s="328"/>
      <c r="FP117" s="330"/>
      <c r="FQ117" s="331"/>
      <c r="FR117" s="332"/>
      <c r="FS117" s="332"/>
      <c r="FT117" s="332" t="s">
        <v>1362</v>
      </c>
      <c r="FU117" s="333">
        <f t="shared" si="5"/>
        <v>740</v>
      </c>
    </row>
    <row r="118" spans="1:179" s="334" customFormat="1">
      <c r="A118" s="401"/>
      <c r="B118" s="401"/>
      <c r="C118" s="401" t="s">
        <v>411</v>
      </c>
      <c r="D118" s="401" t="s">
        <v>1</v>
      </c>
      <c r="E118" s="402" t="s">
        <v>933</v>
      </c>
      <c r="F118" s="401"/>
      <c r="G118" s="401"/>
      <c r="H118" s="403"/>
      <c r="I118" s="403"/>
      <c r="J118" s="403"/>
      <c r="K118" s="403"/>
      <c r="L118" s="403"/>
      <c r="M118" s="403"/>
      <c r="N118" s="403"/>
      <c r="O118" s="403"/>
      <c r="P118" s="403">
        <v>0</v>
      </c>
      <c r="Q118" s="403"/>
      <c r="R118" s="403"/>
      <c r="S118" s="403"/>
      <c r="T118" s="403"/>
      <c r="U118" s="403">
        <v>10</v>
      </c>
      <c r="V118" s="403">
        <v>30</v>
      </c>
      <c r="W118" s="403">
        <v>10</v>
      </c>
      <c r="X118" s="403"/>
      <c r="Y118" s="403"/>
      <c r="Z118" s="403"/>
      <c r="AA118" s="403"/>
      <c r="AB118" s="403"/>
      <c r="AC118" s="403">
        <v>2</v>
      </c>
      <c r="AD118" s="403"/>
      <c r="AE118" s="403"/>
      <c r="AF118" s="403"/>
      <c r="AG118" s="403"/>
      <c r="AH118" s="403"/>
      <c r="AI118" s="403"/>
      <c r="AJ118" s="403"/>
      <c r="AK118" s="403"/>
      <c r="AL118" s="403"/>
      <c r="AM118" s="403"/>
      <c r="AN118" s="403"/>
      <c r="AO118" s="403"/>
      <c r="AP118" s="403">
        <v>510</v>
      </c>
      <c r="AQ118" s="403"/>
      <c r="AR118" s="403"/>
      <c r="AS118" s="403"/>
      <c r="AT118" s="403"/>
      <c r="AU118" s="403">
        <v>5</v>
      </c>
      <c r="AV118" s="403"/>
      <c r="AW118" s="403"/>
      <c r="AX118" s="403"/>
      <c r="AY118" s="403"/>
      <c r="AZ118" s="403"/>
      <c r="BA118" s="403"/>
      <c r="BB118" s="403"/>
      <c r="BC118" s="403"/>
      <c r="BD118" s="403">
        <v>10</v>
      </c>
      <c r="BE118" s="403"/>
      <c r="BF118" s="403"/>
      <c r="BG118" s="403"/>
      <c r="BH118" s="403"/>
      <c r="BI118" s="403"/>
      <c r="BJ118" s="403"/>
      <c r="BK118" s="403"/>
      <c r="BL118" s="403"/>
      <c r="BM118" s="403"/>
      <c r="BN118" s="403"/>
      <c r="BO118" s="403"/>
      <c r="BP118" s="403"/>
      <c r="BQ118" s="403">
        <v>60</v>
      </c>
      <c r="BR118" s="403"/>
      <c r="BS118" s="403"/>
      <c r="BT118" s="403"/>
      <c r="BU118" s="403"/>
      <c r="BV118" s="403"/>
      <c r="BW118" s="403"/>
      <c r="BX118" s="403"/>
      <c r="BY118" s="403"/>
      <c r="BZ118" s="403"/>
      <c r="CA118" s="403"/>
      <c r="CB118" s="403"/>
      <c r="CC118" s="403">
        <v>20</v>
      </c>
      <c r="CD118" s="403">
        <v>20</v>
      </c>
      <c r="CE118" s="403"/>
      <c r="CF118" s="403">
        <v>5</v>
      </c>
      <c r="CG118" s="403">
        <v>70</v>
      </c>
      <c r="CH118" s="403">
        <v>70</v>
      </c>
      <c r="CI118" s="403">
        <v>40</v>
      </c>
      <c r="CJ118" s="403"/>
      <c r="CK118" s="403"/>
      <c r="CL118" s="403">
        <v>40</v>
      </c>
      <c r="CM118" s="403">
        <v>135</v>
      </c>
      <c r="CN118" s="403">
        <v>270</v>
      </c>
      <c r="CO118" s="403">
        <v>100</v>
      </c>
      <c r="CP118" s="403"/>
      <c r="CQ118" s="403">
        <v>5</v>
      </c>
      <c r="CR118" s="403"/>
      <c r="CS118" s="403">
        <v>2</v>
      </c>
      <c r="CT118" s="403"/>
      <c r="CU118" s="403"/>
      <c r="CV118" s="403"/>
      <c r="CW118" s="403">
        <v>6</v>
      </c>
      <c r="CX118" s="403">
        <v>4</v>
      </c>
      <c r="CY118" s="403"/>
      <c r="CZ118" s="403"/>
      <c r="DA118" s="403">
        <v>50</v>
      </c>
      <c r="DB118" s="403">
        <v>120</v>
      </c>
      <c r="DC118" s="403">
        <v>10</v>
      </c>
      <c r="DD118" s="403">
        <v>20</v>
      </c>
      <c r="DE118" s="403">
        <v>2</v>
      </c>
      <c r="DF118" s="403"/>
      <c r="DG118" s="403"/>
      <c r="DH118" s="403"/>
      <c r="DI118" s="403"/>
      <c r="DJ118" s="403"/>
      <c r="DK118" s="403"/>
      <c r="DL118" s="403">
        <v>60</v>
      </c>
      <c r="DM118" s="403">
        <v>480</v>
      </c>
      <c r="DN118" s="403"/>
      <c r="DO118" s="403"/>
      <c r="DP118" s="403"/>
      <c r="DQ118" s="403"/>
      <c r="DR118" s="403"/>
      <c r="DS118" s="403"/>
      <c r="DT118" s="403"/>
      <c r="DU118" s="403">
        <v>140</v>
      </c>
      <c r="DV118" s="403"/>
      <c r="DW118" s="403">
        <v>30</v>
      </c>
      <c r="DX118" s="403">
        <v>140</v>
      </c>
      <c r="DY118" s="403"/>
      <c r="DZ118" s="403"/>
      <c r="EA118" s="403"/>
      <c r="EB118" s="403">
        <v>30</v>
      </c>
      <c r="EC118" s="403"/>
      <c r="ED118" s="403"/>
      <c r="EE118" s="403"/>
      <c r="EF118" s="403"/>
      <c r="EG118" s="403"/>
      <c r="EH118" s="403"/>
      <c r="EI118" s="403"/>
      <c r="EJ118" s="403"/>
      <c r="EK118" s="403">
        <v>220</v>
      </c>
      <c r="EL118" s="403">
        <v>140</v>
      </c>
      <c r="EM118" s="403">
        <v>20</v>
      </c>
      <c r="EN118" s="403"/>
      <c r="EO118" s="403"/>
      <c r="EP118" s="403"/>
      <c r="EQ118" s="403">
        <v>400</v>
      </c>
      <c r="ER118" s="403">
        <v>140</v>
      </c>
      <c r="ES118" s="403"/>
      <c r="ET118" s="403"/>
      <c r="EU118" s="403"/>
      <c r="EV118" s="403"/>
      <c r="EW118" s="403"/>
      <c r="EX118" s="403"/>
      <c r="EY118" s="403">
        <v>240</v>
      </c>
      <c r="EZ118" s="403"/>
      <c r="FA118" s="403"/>
      <c r="FB118" s="403"/>
      <c r="FC118" s="403"/>
      <c r="FD118" s="403"/>
      <c r="FE118" s="403"/>
      <c r="FF118" s="403"/>
      <c r="FG118" s="403"/>
      <c r="FH118" s="403"/>
      <c r="FI118" s="403"/>
      <c r="FJ118" s="403"/>
      <c r="FK118" s="403"/>
      <c r="FL118" s="403"/>
      <c r="FM118" s="403"/>
      <c r="FN118" s="403"/>
      <c r="FO118" s="403"/>
      <c r="FP118" s="404"/>
      <c r="FQ118" s="405"/>
      <c r="FR118" s="406"/>
      <c r="FS118" s="406"/>
      <c r="FT118" s="332" t="s">
        <v>1362</v>
      </c>
      <c r="FU118" s="407">
        <f t="shared" si="5"/>
        <v>3666</v>
      </c>
      <c r="FV118" s="408"/>
      <c r="FW118" s="408"/>
    </row>
    <row r="119" spans="1:179" s="416" customFormat="1">
      <c r="A119" s="410"/>
      <c r="B119" s="410"/>
      <c r="C119" s="410" t="s">
        <v>411</v>
      </c>
      <c r="D119" s="410" t="s">
        <v>293</v>
      </c>
      <c r="E119" s="411" t="s">
        <v>933</v>
      </c>
      <c r="F119" s="410"/>
      <c r="G119" s="410"/>
      <c r="H119" s="409"/>
      <c r="I119" s="409"/>
      <c r="J119" s="409"/>
      <c r="K119" s="409"/>
      <c r="L119" s="409"/>
      <c r="M119" s="409"/>
      <c r="N119" s="409"/>
      <c r="O119" s="409"/>
      <c r="P119" s="409"/>
      <c r="Q119" s="409"/>
      <c r="R119" s="409"/>
      <c r="S119" s="409"/>
      <c r="T119" s="409"/>
      <c r="U119" s="409"/>
      <c r="V119" s="409"/>
      <c r="W119" s="409"/>
      <c r="X119" s="409"/>
      <c r="Y119" s="409"/>
      <c r="Z119" s="409"/>
      <c r="AA119" s="409"/>
      <c r="AB119" s="409"/>
      <c r="AC119" s="409"/>
      <c r="AD119" s="409"/>
      <c r="AE119" s="409"/>
      <c r="AF119" s="409"/>
      <c r="AG119" s="409"/>
      <c r="AH119" s="409"/>
      <c r="AI119" s="409"/>
      <c r="AJ119" s="409"/>
      <c r="AK119" s="409"/>
      <c r="AL119" s="409"/>
      <c r="AM119" s="409"/>
      <c r="AN119" s="409"/>
      <c r="AO119" s="409"/>
      <c r="AP119" s="409"/>
      <c r="AQ119" s="409"/>
      <c r="AR119" s="409"/>
      <c r="AS119" s="409"/>
      <c r="AT119" s="409"/>
      <c r="AU119" s="409"/>
      <c r="AV119" s="409"/>
      <c r="AW119" s="409"/>
      <c r="AX119" s="409"/>
      <c r="AY119" s="409"/>
      <c r="AZ119" s="409"/>
      <c r="BA119" s="409"/>
      <c r="BB119" s="409"/>
      <c r="BC119" s="409"/>
      <c r="BD119" s="409"/>
      <c r="BE119" s="409"/>
      <c r="BF119" s="409"/>
      <c r="BG119" s="409"/>
      <c r="BH119" s="409"/>
      <c r="BI119" s="409"/>
      <c r="BJ119" s="409"/>
      <c r="BK119" s="409"/>
      <c r="BL119" s="409"/>
      <c r="BM119" s="409"/>
      <c r="BN119" s="409"/>
      <c r="BO119" s="409"/>
      <c r="BP119" s="409"/>
      <c r="BQ119" s="409"/>
      <c r="BR119" s="409"/>
      <c r="BS119" s="409"/>
      <c r="BT119" s="409"/>
      <c r="BU119" s="409"/>
      <c r="BV119" s="409"/>
      <c r="BW119" s="409"/>
      <c r="BX119" s="409"/>
      <c r="BY119" s="409"/>
      <c r="BZ119" s="409"/>
      <c r="CA119" s="409"/>
      <c r="CB119" s="409"/>
      <c r="CC119" s="409"/>
      <c r="CD119" s="409"/>
      <c r="CE119" s="409">
        <v>40</v>
      </c>
      <c r="CF119" s="409"/>
      <c r="CG119" s="409"/>
      <c r="CH119" s="409"/>
      <c r="CI119" s="409"/>
      <c r="CJ119" s="409"/>
      <c r="CK119" s="409"/>
      <c r="CL119" s="409"/>
      <c r="CM119" s="409"/>
      <c r="CN119" s="409"/>
      <c r="CO119" s="409"/>
      <c r="CP119" s="409">
        <v>2</v>
      </c>
      <c r="CQ119" s="409"/>
      <c r="CR119" s="409"/>
      <c r="CS119" s="409"/>
      <c r="CT119" s="409"/>
      <c r="CU119" s="409"/>
      <c r="CV119" s="409"/>
      <c r="CW119" s="409"/>
      <c r="CX119" s="409"/>
      <c r="CY119" s="409"/>
      <c r="CZ119" s="409"/>
      <c r="DA119" s="409"/>
      <c r="DB119" s="409"/>
      <c r="DC119" s="409"/>
      <c r="DD119" s="409"/>
      <c r="DE119" s="409"/>
      <c r="DF119" s="409"/>
      <c r="DG119" s="409"/>
      <c r="DH119" s="409"/>
      <c r="DI119" s="409"/>
      <c r="DJ119" s="409"/>
      <c r="DK119" s="409"/>
      <c r="DL119" s="409"/>
      <c r="DM119" s="409"/>
      <c r="DN119" s="409"/>
      <c r="DO119" s="409"/>
      <c r="DP119" s="409"/>
      <c r="DQ119" s="409"/>
      <c r="DR119" s="409"/>
      <c r="DS119" s="409"/>
      <c r="DT119" s="409"/>
      <c r="DU119" s="409"/>
      <c r="DV119" s="409"/>
      <c r="DW119" s="409"/>
      <c r="DX119" s="409"/>
      <c r="DY119" s="409"/>
      <c r="DZ119" s="409"/>
      <c r="EA119" s="409"/>
      <c r="EB119" s="409"/>
      <c r="EC119" s="409"/>
      <c r="ED119" s="409"/>
      <c r="EE119" s="409"/>
      <c r="EF119" s="409"/>
      <c r="EG119" s="409"/>
      <c r="EH119" s="409"/>
      <c r="EI119" s="409"/>
      <c r="EJ119" s="409"/>
      <c r="EK119" s="409"/>
      <c r="EL119" s="409"/>
      <c r="EM119" s="409"/>
      <c r="EN119" s="409"/>
      <c r="EO119" s="409"/>
      <c r="EP119" s="409"/>
      <c r="EQ119" s="409"/>
      <c r="ER119" s="409"/>
      <c r="ES119" s="409"/>
      <c r="ET119" s="409"/>
      <c r="EU119" s="409"/>
      <c r="EV119" s="409"/>
      <c r="EW119" s="409"/>
      <c r="EX119" s="409"/>
      <c r="EY119" s="409"/>
      <c r="EZ119" s="409"/>
      <c r="FA119" s="409"/>
      <c r="FB119" s="409"/>
      <c r="FC119" s="409"/>
      <c r="FD119" s="409"/>
      <c r="FE119" s="409"/>
      <c r="FF119" s="409"/>
      <c r="FG119" s="409"/>
      <c r="FH119" s="409"/>
      <c r="FI119" s="409"/>
      <c r="FJ119" s="409"/>
      <c r="FK119" s="409"/>
      <c r="FL119" s="409"/>
      <c r="FM119" s="409"/>
      <c r="FN119" s="409"/>
      <c r="FO119" s="409"/>
      <c r="FP119" s="412"/>
      <c r="FQ119" s="413"/>
      <c r="FR119" s="414"/>
      <c r="FS119" s="414"/>
      <c r="FT119" s="332" t="s">
        <v>1362</v>
      </c>
      <c r="FU119" s="415">
        <f t="shared" si="5"/>
        <v>42</v>
      </c>
    </row>
    <row r="120" spans="1:179" s="222" customFormat="1" hidden="1">
      <c r="A120" s="309"/>
      <c r="B120" s="310"/>
      <c r="C120" s="310"/>
      <c r="D120" s="310"/>
      <c r="E120" s="311" t="s">
        <v>994</v>
      </c>
      <c r="F120" s="311"/>
      <c r="G120" s="312"/>
      <c r="H120" s="313">
        <f>SUM(H7:H119)</f>
        <v>0</v>
      </c>
      <c r="I120" s="313">
        <f>SUM(I7:I119)</f>
        <v>0</v>
      </c>
      <c r="J120" s="313">
        <f>SUM(J7:J119)</f>
        <v>0</v>
      </c>
      <c r="K120" s="313">
        <f>SUM(K7:K119)</f>
        <v>0</v>
      </c>
      <c r="L120" s="313">
        <f>SUM(L7:L119)</f>
        <v>0</v>
      </c>
      <c r="M120" s="313">
        <f>SUM(M7:M119)</f>
        <v>0</v>
      </c>
      <c r="N120" s="313">
        <f>SUM(N7:N119)</f>
        <v>0</v>
      </c>
      <c r="O120" s="313">
        <f>SUM(O7:O119)</f>
        <v>0</v>
      </c>
      <c r="P120" s="313">
        <f>SUM(P7:P119)</f>
        <v>1</v>
      </c>
      <c r="Q120" s="313">
        <f>SUM(Q7:Q119)</f>
        <v>0</v>
      </c>
      <c r="R120" s="313">
        <f>SUM(R7:R119)</f>
        <v>0</v>
      </c>
      <c r="S120" s="313">
        <f>SUM(S7:S119)</f>
        <v>0</v>
      </c>
      <c r="T120" s="313">
        <f>SUM(T7:T119)</f>
        <v>0</v>
      </c>
      <c r="U120" s="313">
        <f>SUM(U7:U119)</f>
        <v>40</v>
      </c>
      <c r="V120" s="313">
        <f>SUM(V7:V119)</f>
        <v>170</v>
      </c>
      <c r="W120" s="313">
        <f>SUM(W7:W119)</f>
        <v>60</v>
      </c>
      <c r="X120" s="313">
        <f>SUM(X7:X119)</f>
        <v>0</v>
      </c>
      <c r="Y120" s="313">
        <f>SUM(Y7:Y119)</f>
        <v>0</v>
      </c>
      <c r="Z120" s="313">
        <f>SUM(Z7:Z119)</f>
        <v>0</v>
      </c>
      <c r="AA120" s="313">
        <f>SUM(AA7:AA119)</f>
        <v>0</v>
      </c>
      <c r="AB120" s="313">
        <f>SUM(AB7:AB119)</f>
        <v>0</v>
      </c>
      <c r="AC120" s="313">
        <f>SUM(AC7:AC119)</f>
        <v>4</v>
      </c>
      <c r="AD120" s="313">
        <f>SUM(AD7:AD119)</f>
        <v>0</v>
      </c>
      <c r="AE120" s="313">
        <f>SUM(AE7:AE119)</f>
        <v>0</v>
      </c>
      <c r="AF120" s="313">
        <f>SUM(AF7:AF119)</f>
        <v>0</v>
      </c>
      <c r="AG120" s="313">
        <f>SUM(AG7:AG119)</f>
        <v>0</v>
      </c>
      <c r="AH120" s="313">
        <f>SUM(AH7:AH119)</f>
        <v>0</v>
      </c>
      <c r="AI120" s="313">
        <f>SUM(AI7:AI119)</f>
        <v>0</v>
      </c>
      <c r="AJ120" s="313">
        <f>SUM(AJ7:AJ119)</f>
        <v>0</v>
      </c>
      <c r="AK120" s="313">
        <f>SUM(AK7:AK119)</f>
        <v>0</v>
      </c>
      <c r="AL120" s="313">
        <f>SUM(AL7:AL119)</f>
        <v>0</v>
      </c>
      <c r="AM120" s="313">
        <f>SUM(AM7:AM119)</f>
        <v>0</v>
      </c>
      <c r="AN120" s="313">
        <f>SUM(AN7:AN119)</f>
        <v>0</v>
      </c>
      <c r="AO120" s="313">
        <f>SUM(AO7:AO119)</f>
        <v>0</v>
      </c>
      <c r="AP120" s="313">
        <f>SUM(AP7:AP119)</f>
        <v>710</v>
      </c>
      <c r="AQ120" s="313">
        <f>SUM(AQ7:AQ119)</f>
        <v>0</v>
      </c>
      <c r="AR120" s="313">
        <f>SUM(AR7:AR119)</f>
        <v>0</v>
      </c>
      <c r="AS120" s="313">
        <f>SUM(AS7:AS119)</f>
        <v>0</v>
      </c>
      <c r="AT120" s="313">
        <f>SUM(AT7:AT119)</f>
        <v>0</v>
      </c>
      <c r="AU120" s="313">
        <f>SUM(AU7:AU119)</f>
        <v>10</v>
      </c>
      <c r="AV120" s="313">
        <f>SUM(AV7:AV119)</f>
        <v>0</v>
      </c>
      <c r="AW120" s="313">
        <f>SUM(AW7:AW119)</f>
        <v>0</v>
      </c>
      <c r="AX120" s="313">
        <f>SUM(AX7:AX119)</f>
        <v>0</v>
      </c>
      <c r="AY120" s="313">
        <f>SUM(AY7:AY119)</f>
        <v>0</v>
      </c>
      <c r="AZ120" s="313">
        <f>SUM(AZ7:AZ119)</f>
        <v>0</v>
      </c>
      <c r="BA120" s="313">
        <f>SUM(BA7:BA119)</f>
        <v>0</v>
      </c>
      <c r="BB120" s="313">
        <f>SUM(BB7:BB119)</f>
        <v>0</v>
      </c>
      <c r="BC120" s="313">
        <f>SUM(BC7:BC119)</f>
        <v>30</v>
      </c>
      <c r="BD120" s="313">
        <f>SUM(BD7:BD119)</f>
        <v>15</v>
      </c>
      <c r="BE120" s="313">
        <f>SUM(BE7:BE119)</f>
        <v>0</v>
      </c>
      <c r="BF120" s="313">
        <f>SUM(BF7:BF119)</f>
        <v>5</v>
      </c>
      <c r="BG120" s="313">
        <f>SUM(BG7:BG119)</f>
        <v>0</v>
      </c>
      <c r="BH120" s="313">
        <f>SUM(BH7:BH119)</f>
        <v>0</v>
      </c>
      <c r="BI120" s="313">
        <f>SUM(BI7:BI119)</f>
        <v>0</v>
      </c>
      <c r="BJ120" s="313">
        <f>SUM(BJ7:BJ119)</f>
        <v>0</v>
      </c>
      <c r="BK120" s="313">
        <f>SUM(BK7:BK119)</f>
        <v>0</v>
      </c>
      <c r="BL120" s="313">
        <f>SUM(BL7:BL119)</f>
        <v>0</v>
      </c>
      <c r="BM120" s="313">
        <f>SUM(BM7:BM119)</f>
        <v>0</v>
      </c>
      <c r="BN120" s="313">
        <f>SUM(BN7:BN119)</f>
        <v>0</v>
      </c>
      <c r="BO120" s="313">
        <f>SUM(BO7:BO119)</f>
        <v>0</v>
      </c>
      <c r="BP120" s="313">
        <f>SUM(BP7:BP119)</f>
        <v>0</v>
      </c>
      <c r="BQ120" s="313">
        <f>SUM(BQ7:BQ119)</f>
        <v>380</v>
      </c>
      <c r="BR120" s="313">
        <f>SUM(BR7:BR119)</f>
        <v>0</v>
      </c>
      <c r="BS120" s="313">
        <f>SUM(BS7:BS119)</f>
        <v>0</v>
      </c>
      <c r="BT120" s="313">
        <f>SUM(BT7:BT119)</f>
        <v>0</v>
      </c>
      <c r="BU120" s="313">
        <f>SUM(BU7:BU119)</f>
        <v>0</v>
      </c>
      <c r="BV120" s="313">
        <f>SUM(BV7:BV119)</f>
        <v>0</v>
      </c>
      <c r="BW120" s="313">
        <f>SUM(BW7:BW119)</f>
        <v>0</v>
      </c>
      <c r="BX120" s="313">
        <f>SUM(BX7:BX119)</f>
        <v>0</v>
      </c>
      <c r="BY120" s="313">
        <f>SUM(BY7:BY119)</f>
        <v>0</v>
      </c>
      <c r="BZ120" s="313">
        <f>SUM(BZ7:BZ119)</f>
        <v>0</v>
      </c>
      <c r="CA120" s="313">
        <f>SUM(CA7:CA119)</f>
        <v>0</v>
      </c>
      <c r="CB120" s="313">
        <f>SUM(CB7:CB119)</f>
        <v>0</v>
      </c>
      <c r="CC120" s="313">
        <f>SUM(CC7:CC119)</f>
        <v>134</v>
      </c>
      <c r="CD120" s="313">
        <f>SUM(CD7:CD119)</f>
        <v>158</v>
      </c>
      <c r="CE120" s="313">
        <f>SUM(CE7:CE119)</f>
        <v>380</v>
      </c>
      <c r="CF120" s="313">
        <f>SUM(CF7:CF119)</f>
        <v>5</v>
      </c>
      <c r="CG120" s="313">
        <f>SUM(CG7:CG119)</f>
        <v>450</v>
      </c>
      <c r="CH120" s="313">
        <f>SUM(CH7:CH119)</f>
        <v>990</v>
      </c>
      <c r="CI120" s="313">
        <f>SUM(CI7:CI119)</f>
        <v>400</v>
      </c>
      <c r="CJ120" s="313">
        <f>SUM(CJ7:CJ119)</f>
        <v>0</v>
      </c>
      <c r="CK120" s="313">
        <f>SUM(CK7:CK119)</f>
        <v>0</v>
      </c>
      <c r="CL120" s="313">
        <f>SUM(CL7:CL119)</f>
        <v>400</v>
      </c>
      <c r="CM120" s="313">
        <f>SUM(CM7:CM119)</f>
        <v>1560</v>
      </c>
      <c r="CN120" s="313">
        <f>SUM(CN7:CN119)</f>
        <v>3620</v>
      </c>
      <c r="CO120" s="313">
        <f>SUM(CO7:CO119)</f>
        <v>840</v>
      </c>
      <c r="CP120" s="313">
        <f>SUM(CP7:CP119)</f>
        <v>4</v>
      </c>
      <c r="CQ120" s="313">
        <f>SUM(CQ7:CQ119)</f>
        <v>20</v>
      </c>
      <c r="CR120" s="313">
        <f>SUM(CR7:CR119)</f>
        <v>30</v>
      </c>
      <c r="CS120" s="313">
        <f>SUM(CS7:CS119)</f>
        <v>4</v>
      </c>
      <c r="CT120" s="313">
        <f>SUM(CT7:CT119)</f>
        <v>0</v>
      </c>
      <c r="CU120" s="313">
        <f>SUM(CU7:CU119)</f>
        <v>1</v>
      </c>
      <c r="CV120" s="313">
        <f>SUM(CV7:CV119)</f>
        <v>0</v>
      </c>
      <c r="CW120" s="313">
        <f>SUM(CW7:CW119)</f>
        <v>12</v>
      </c>
      <c r="CX120" s="313">
        <f>SUM(CX7:CX119)</f>
        <v>8</v>
      </c>
      <c r="CY120" s="313">
        <f>SUM(CY7:CY119)</f>
        <v>0</v>
      </c>
      <c r="CZ120" s="313">
        <f>SUM(CZ7:CZ119)</f>
        <v>0</v>
      </c>
      <c r="DA120" s="313">
        <f>SUM(DA7:DA119)</f>
        <v>530</v>
      </c>
      <c r="DB120" s="313">
        <f>SUM(DB7:DB119)</f>
        <v>1450</v>
      </c>
      <c r="DC120" s="313">
        <f>SUM(DC7:DC119)</f>
        <v>20</v>
      </c>
      <c r="DD120" s="313">
        <f>SUM(DD7:DD119)</f>
        <v>45</v>
      </c>
      <c r="DE120" s="313">
        <f>SUM(DE7:DE119)</f>
        <v>4</v>
      </c>
      <c r="DF120" s="313">
        <f>SUM(DF7:DF119)</f>
        <v>0</v>
      </c>
      <c r="DG120" s="313">
        <f>SUM(DG7:DG119)</f>
        <v>0</v>
      </c>
      <c r="DH120" s="313">
        <f>SUM(DH7:DH119)</f>
        <v>0</v>
      </c>
      <c r="DI120" s="313">
        <f>SUM(DI7:DI119)</f>
        <v>1670</v>
      </c>
      <c r="DJ120" s="313">
        <f>SUM(DJ7:DJ119)</f>
        <v>0</v>
      </c>
      <c r="DK120" s="313">
        <f>SUM(DK7:DK119)</f>
        <v>20</v>
      </c>
      <c r="DL120" s="313">
        <f>SUM(DL7:DL119)</f>
        <v>390</v>
      </c>
      <c r="DM120" s="313">
        <f>SUM(DM7:DM119)</f>
        <v>2320</v>
      </c>
      <c r="DN120" s="313">
        <f>SUM(DN7:DN119)</f>
        <v>0</v>
      </c>
      <c r="DO120" s="313">
        <f>SUM(DO7:DO119)</f>
        <v>0</v>
      </c>
      <c r="DP120" s="313">
        <f>SUM(DP7:DP119)</f>
        <v>0</v>
      </c>
      <c r="DQ120" s="313">
        <f>SUM(DQ7:DQ119)</f>
        <v>0</v>
      </c>
      <c r="DR120" s="313">
        <f>SUM(DR7:DR119)</f>
        <v>9</v>
      </c>
      <c r="DS120" s="313">
        <f>SUM(DS7:DS119)</f>
        <v>0</v>
      </c>
      <c r="DT120" s="313">
        <f>SUM(DT7:DT119)</f>
        <v>0</v>
      </c>
      <c r="DU120" s="313">
        <f>SUM(DU7:DU119)</f>
        <v>490</v>
      </c>
      <c r="DV120" s="313">
        <f>SUM(DV7:DV119)</f>
        <v>0</v>
      </c>
      <c r="DW120" s="313">
        <f>SUM(DW7:DW119)</f>
        <v>140</v>
      </c>
      <c r="DX120" s="313">
        <f>SUM(DX7:DX119)</f>
        <v>560</v>
      </c>
      <c r="DY120" s="313">
        <f>SUM(DY7:DY119)</f>
        <v>30</v>
      </c>
      <c r="DZ120" s="313">
        <f>SUM(DZ7:DZ119)</f>
        <v>0</v>
      </c>
      <c r="EA120" s="313">
        <f>SUM(EA7:EA119)</f>
        <v>0</v>
      </c>
      <c r="EB120" s="313">
        <f>SUM(EB7:EB119)</f>
        <v>30</v>
      </c>
      <c r="EC120" s="313">
        <f>SUM(EC7:EC119)</f>
        <v>0</v>
      </c>
      <c r="ED120" s="313">
        <f>SUM(ED7:ED119)</f>
        <v>0</v>
      </c>
      <c r="EE120" s="313">
        <f>SUM(EE7:EE119)</f>
        <v>10</v>
      </c>
      <c r="EF120" s="313">
        <f>SUM(EF7:EF119)</f>
        <v>0</v>
      </c>
      <c r="EG120" s="313">
        <f>SUM(EG7:EG119)</f>
        <v>0</v>
      </c>
      <c r="EH120" s="313">
        <f>SUM(EH7:EH119)</f>
        <v>0</v>
      </c>
      <c r="EI120" s="313">
        <f>SUM(EI7:EI119)</f>
        <v>0</v>
      </c>
      <c r="EJ120" s="313">
        <f>SUM(EJ7:EJ119)</f>
        <v>810</v>
      </c>
      <c r="EK120" s="313">
        <f>SUM(EK7:EK119)</f>
        <v>800</v>
      </c>
      <c r="EL120" s="313">
        <f>SUM(EL7:EL119)</f>
        <v>440</v>
      </c>
      <c r="EM120" s="313">
        <f>SUM(EM7:EM119)</f>
        <v>120</v>
      </c>
      <c r="EN120" s="313">
        <f>SUM(EN7:EN119)</f>
        <v>25</v>
      </c>
      <c r="EO120" s="313">
        <f>SUM(EO7:EO119)</f>
        <v>0</v>
      </c>
      <c r="EP120" s="313">
        <f>SUM(EP7:EP119)</f>
        <v>0</v>
      </c>
      <c r="EQ120" s="313">
        <f>SUM(EQ7:EQ119)</f>
        <v>1660</v>
      </c>
      <c r="ER120" s="313">
        <f>SUM(ER7:ER119)</f>
        <v>460</v>
      </c>
      <c r="ES120" s="313">
        <f>SUM(ES7:ES119)</f>
        <v>260</v>
      </c>
      <c r="ET120" s="313">
        <f>SUM(ET7:ET119)</f>
        <v>0</v>
      </c>
      <c r="EU120" s="313">
        <f>SUM(EU7:EU119)</f>
        <v>0</v>
      </c>
      <c r="EV120" s="313">
        <f>SUM(EV7:EV119)</f>
        <v>0</v>
      </c>
      <c r="EW120" s="313">
        <f>SUM(EW7:EW119)</f>
        <v>790</v>
      </c>
      <c r="EX120" s="313">
        <f>SUM(EX7:EX119)</f>
        <v>700</v>
      </c>
      <c r="EY120" s="313">
        <f>SUM(EY7:EY119)</f>
        <v>770</v>
      </c>
      <c r="EZ120" s="313">
        <f>SUM(EZ7:EZ119)</f>
        <v>930</v>
      </c>
      <c r="FA120" s="313">
        <f>SUM(FA7:FA119)</f>
        <v>0</v>
      </c>
      <c r="FB120" s="313">
        <f>SUM(FB7:FB119)</f>
        <v>0</v>
      </c>
      <c r="FC120" s="313">
        <f>SUM(FC7:FC119)</f>
        <v>1770</v>
      </c>
      <c r="FD120" s="313">
        <f>SUM(FD7:FD119)</f>
        <v>70</v>
      </c>
      <c r="FE120" s="313">
        <f>SUM(FE7:FE119)</f>
        <v>5</v>
      </c>
      <c r="FF120" s="313">
        <f>SUM(FF7:FF119)</f>
        <v>0</v>
      </c>
      <c r="FG120" s="313">
        <f>SUM(FG7:FG119)</f>
        <v>0</v>
      </c>
      <c r="FH120" s="313">
        <f>SUM(FH7:FH119)</f>
        <v>5</v>
      </c>
      <c r="FI120" s="313">
        <f>SUM(FI7:FI119)</f>
        <v>9</v>
      </c>
      <c r="FJ120" s="313">
        <f>SUM(FJ7:FJ119)</f>
        <v>0</v>
      </c>
      <c r="FK120" s="313">
        <f>SUM(FK7:FK119)</f>
        <v>1200</v>
      </c>
      <c r="FL120" s="313">
        <f>SUM(FL7:FL119)</f>
        <v>0</v>
      </c>
      <c r="FM120" s="313">
        <f>SUM(FM7:FM119)</f>
        <v>0</v>
      </c>
      <c r="FN120" s="313">
        <f>SUM(FN7:FN119)</f>
        <v>0</v>
      </c>
      <c r="FO120" s="313">
        <f>SUM(FO7:FO119)</f>
        <v>0</v>
      </c>
      <c r="FP120" s="314"/>
      <c r="FQ120" s="315">
        <f>SUM(H120:FO120)</f>
        <v>28983</v>
      </c>
      <c r="FR120" s="316"/>
      <c r="FS120" s="317"/>
      <c r="FT120" s="317"/>
      <c r="FU120" s="313">
        <f>SUM(FU7:FU119)</f>
        <v>28983</v>
      </c>
      <c r="FV120" s="260"/>
    </row>
    <row r="122" spans="1:179" s="417" customFormat="1">
      <c r="E122" s="418" t="s">
        <v>770</v>
      </c>
      <c r="U122" s="417">
        <v>10</v>
      </c>
      <c r="V122" s="417">
        <v>20</v>
      </c>
      <c r="W122" s="417">
        <v>10</v>
      </c>
      <c r="AC122" s="417">
        <v>2</v>
      </c>
      <c r="AP122" s="417">
        <v>200</v>
      </c>
      <c r="AU122" s="417">
        <v>5</v>
      </c>
      <c r="BD122" s="417">
        <v>5</v>
      </c>
      <c r="BQ122" s="417">
        <v>40</v>
      </c>
      <c r="CC122" s="417">
        <v>14</v>
      </c>
      <c r="CD122" s="417">
        <v>18</v>
      </c>
      <c r="CE122" s="419">
        <v>40</v>
      </c>
      <c r="CG122" s="417">
        <v>70</v>
      </c>
      <c r="CH122" s="417">
        <v>30</v>
      </c>
      <c r="CI122" s="417">
        <v>20</v>
      </c>
      <c r="CL122" s="417">
        <v>20</v>
      </c>
      <c r="CM122" s="417">
        <v>100</v>
      </c>
      <c r="CN122" s="417">
        <v>150</v>
      </c>
      <c r="CO122" s="417">
        <v>70</v>
      </c>
      <c r="CP122" s="420">
        <v>2</v>
      </c>
      <c r="CQ122" s="417">
        <v>5</v>
      </c>
      <c r="CS122" s="417">
        <v>2</v>
      </c>
      <c r="CW122" s="417">
        <v>6</v>
      </c>
      <c r="DA122" s="417">
        <v>30</v>
      </c>
      <c r="DB122" s="417">
        <v>80</v>
      </c>
      <c r="DD122" s="417">
        <v>20</v>
      </c>
      <c r="DE122" s="417">
        <v>2</v>
      </c>
      <c r="DM122" s="417">
        <v>400</v>
      </c>
      <c r="DW122" s="417">
        <v>30</v>
      </c>
      <c r="DX122" s="417">
        <v>140</v>
      </c>
      <c r="EJ122" s="417">
        <v>150</v>
      </c>
      <c r="EK122" s="417">
        <v>150</v>
      </c>
      <c r="EL122" s="417">
        <v>100</v>
      </c>
      <c r="EQ122" s="417">
        <v>300</v>
      </c>
      <c r="ER122" s="417">
        <v>80</v>
      </c>
      <c r="ES122" s="417">
        <v>20</v>
      </c>
      <c r="EW122" s="417">
        <v>140</v>
      </c>
      <c r="EX122" s="417">
        <v>60</v>
      </c>
      <c r="EY122" s="417">
        <v>140</v>
      </c>
      <c r="FU122" s="417">
        <f t="shared" ref="FU122:FU127" si="6">SUM(H122:FO122)</f>
        <v>2681</v>
      </c>
    </row>
    <row r="123" spans="1:179">
      <c r="E123" s="194" t="s">
        <v>769</v>
      </c>
      <c r="V123" s="273">
        <v>5</v>
      </c>
      <c r="AP123" s="273">
        <v>100</v>
      </c>
      <c r="BD123" s="273">
        <v>1</v>
      </c>
      <c r="BQ123" s="273">
        <v>5</v>
      </c>
      <c r="CC123" s="273">
        <v>2</v>
      </c>
      <c r="CD123" s="273">
        <v>2</v>
      </c>
      <c r="CH123" s="273">
        <v>10</v>
      </c>
      <c r="CI123" s="273">
        <v>5</v>
      </c>
      <c r="CL123" s="273">
        <v>5</v>
      </c>
      <c r="CM123" s="273">
        <v>10</v>
      </c>
      <c r="CN123" s="273">
        <v>30</v>
      </c>
      <c r="CO123" s="273">
        <v>5</v>
      </c>
      <c r="DA123" s="273">
        <v>5</v>
      </c>
      <c r="DB123" s="273">
        <v>10</v>
      </c>
      <c r="DL123" s="273">
        <v>60</v>
      </c>
      <c r="DU123" s="273">
        <v>20</v>
      </c>
      <c r="EB123" s="273">
        <v>10</v>
      </c>
      <c r="EJ123" s="273">
        <v>20</v>
      </c>
      <c r="EK123" s="273">
        <v>20</v>
      </c>
      <c r="EM123" s="273">
        <v>20</v>
      </c>
      <c r="EQ123" s="273">
        <v>20</v>
      </c>
      <c r="ER123" s="273">
        <v>20</v>
      </c>
      <c r="ES123" s="273">
        <v>20</v>
      </c>
      <c r="EW123" s="273">
        <v>20</v>
      </c>
      <c r="EX123" s="273">
        <v>10</v>
      </c>
      <c r="EY123" s="273">
        <v>20</v>
      </c>
      <c r="FU123" s="273">
        <f t="shared" si="6"/>
        <v>455</v>
      </c>
    </row>
    <row r="124" spans="1:179">
      <c r="E124" s="194" t="s">
        <v>768</v>
      </c>
      <c r="V124" s="273">
        <v>5</v>
      </c>
      <c r="AP124" s="273">
        <v>150</v>
      </c>
      <c r="BD124" s="273">
        <v>2</v>
      </c>
      <c r="BQ124" s="273">
        <v>6</v>
      </c>
      <c r="CC124" s="273">
        <v>4</v>
      </c>
      <c r="CH124" s="273">
        <v>10</v>
      </c>
      <c r="CI124" s="273">
        <v>5</v>
      </c>
      <c r="CL124" s="273">
        <v>5</v>
      </c>
      <c r="CM124" s="273">
        <v>10</v>
      </c>
      <c r="CN124" s="273">
        <v>30</v>
      </c>
      <c r="CO124" s="273">
        <v>10</v>
      </c>
      <c r="CX124" s="273">
        <v>4</v>
      </c>
      <c r="DA124" s="273">
        <v>5</v>
      </c>
      <c r="DB124" s="273">
        <v>10</v>
      </c>
      <c r="DC124" s="273">
        <v>5</v>
      </c>
      <c r="DI124" s="273">
        <v>40</v>
      </c>
      <c r="DM124" s="273">
        <v>30</v>
      </c>
      <c r="DU124" s="273">
        <v>60</v>
      </c>
      <c r="EB124" s="273">
        <v>10</v>
      </c>
      <c r="EJ124" s="273">
        <v>20</v>
      </c>
      <c r="EK124" s="273">
        <v>20</v>
      </c>
      <c r="EL124" s="273">
        <v>10</v>
      </c>
      <c r="EQ124" s="273">
        <v>20</v>
      </c>
      <c r="ER124" s="273">
        <v>10</v>
      </c>
      <c r="EW124" s="273">
        <v>20</v>
      </c>
      <c r="EX124" s="273">
        <v>10</v>
      </c>
      <c r="EY124" s="273">
        <v>20</v>
      </c>
      <c r="FU124" s="273">
        <f t="shared" si="6"/>
        <v>531</v>
      </c>
    </row>
    <row r="125" spans="1:179">
      <c r="E125" s="194" t="s">
        <v>766</v>
      </c>
      <c r="AP125" s="273">
        <v>40</v>
      </c>
      <c r="BD125" s="273">
        <v>1</v>
      </c>
      <c r="BQ125" s="273">
        <v>7</v>
      </c>
      <c r="CF125" s="273">
        <v>5</v>
      </c>
      <c r="CH125" s="273">
        <v>10</v>
      </c>
      <c r="CI125" s="273">
        <v>5</v>
      </c>
      <c r="CL125" s="273">
        <v>5</v>
      </c>
      <c r="CM125" s="273">
        <v>10</v>
      </c>
      <c r="CN125" s="273">
        <v>40</v>
      </c>
      <c r="CO125" s="273">
        <v>10</v>
      </c>
      <c r="DA125" s="273">
        <v>5</v>
      </c>
      <c r="DB125" s="273">
        <v>10</v>
      </c>
      <c r="DC125" s="273">
        <v>5</v>
      </c>
      <c r="DI125" s="273">
        <v>60</v>
      </c>
      <c r="DM125" s="273">
        <v>30</v>
      </c>
      <c r="DU125" s="273">
        <v>40</v>
      </c>
      <c r="EB125" s="273">
        <v>10</v>
      </c>
      <c r="EJ125" s="273">
        <v>30</v>
      </c>
      <c r="EK125" s="273">
        <v>20</v>
      </c>
      <c r="EL125" s="273">
        <v>20</v>
      </c>
      <c r="EQ125" s="273">
        <v>40</v>
      </c>
      <c r="ER125" s="273">
        <v>10</v>
      </c>
      <c r="EW125" s="273">
        <v>40</v>
      </c>
      <c r="EX125" s="273">
        <v>10</v>
      </c>
      <c r="EY125" s="273">
        <v>40</v>
      </c>
      <c r="FU125" s="273">
        <f t="shared" si="6"/>
        <v>503</v>
      </c>
    </row>
    <row r="126" spans="1:179">
      <c r="A126" s="274"/>
      <c r="B126" s="274"/>
      <c r="C126" s="274"/>
      <c r="D126" s="274"/>
      <c r="E126" s="291" t="s">
        <v>767</v>
      </c>
      <c r="F126" s="274"/>
      <c r="G126" s="274"/>
      <c r="H126" s="274"/>
      <c r="I126" s="274"/>
      <c r="J126" s="274"/>
      <c r="K126" s="274"/>
      <c r="L126" s="274"/>
      <c r="M126" s="274"/>
      <c r="N126" s="274"/>
      <c r="O126" s="274"/>
      <c r="P126" s="274"/>
      <c r="Q126" s="274"/>
      <c r="R126" s="274"/>
      <c r="S126" s="274"/>
      <c r="T126" s="274"/>
      <c r="U126" s="274"/>
      <c r="V126" s="274"/>
      <c r="W126" s="274"/>
      <c r="X126" s="274"/>
      <c r="Y126" s="274"/>
      <c r="Z126" s="274"/>
      <c r="AA126" s="274"/>
      <c r="AB126" s="274"/>
      <c r="AC126" s="274"/>
      <c r="AD126" s="274"/>
      <c r="AE126" s="274"/>
      <c r="AF126" s="274"/>
      <c r="AG126" s="274"/>
      <c r="AH126" s="274"/>
      <c r="AI126" s="274"/>
      <c r="AJ126" s="274"/>
      <c r="AK126" s="274"/>
      <c r="AL126" s="274"/>
      <c r="AM126" s="274"/>
      <c r="AN126" s="274"/>
      <c r="AO126" s="274"/>
      <c r="AP126" s="274">
        <v>20</v>
      </c>
      <c r="AQ126" s="274"/>
      <c r="AR126" s="274"/>
      <c r="AS126" s="274"/>
      <c r="AT126" s="274"/>
      <c r="AU126" s="274"/>
      <c r="AV126" s="274"/>
      <c r="AW126" s="274"/>
      <c r="AX126" s="274"/>
      <c r="AY126" s="274"/>
      <c r="AZ126" s="274"/>
      <c r="BA126" s="274"/>
      <c r="BB126" s="274"/>
      <c r="BC126" s="274"/>
      <c r="BD126" s="274">
        <v>1</v>
      </c>
      <c r="BE126" s="274"/>
      <c r="BF126" s="274"/>
      <c r="BG126" s="274"/>
      <c r="BH126" s="274"/>
      <c r="BI126" s="274"/>
      <c r="BJ126" s="274"/>
      <c r="BK126" s="274"/>
      <c r="BL126" s="274"/>
      <c r="BM126" s="274"/>
      <c r="BN126" s="274"/>
      <c r="BO126" s="274"/>
      <c r="BP126" s="274"/>
      <c r="BQ126" s="274">
        <v>2</v>
      </c>
      <c r="BR126" s="274"/>
      <c r="BS126" s="274"/>
      <c r="BT126" s="274"/>
      <c r="BU126" s="274"/>
      <c r="BV126" s="274"/>
      <c r="BW126" s="274"/>
      <c r="BX126" s="274"/>
      <c r="BY126" s="274"/>
      <c r="BZ126" s="274"/>
      <c r="CA126" s="274"/>
      <c r="CB126" s="274"/>
      <c r="CC126" s="274"/>
      <c r="CD126" s="274"/>
      <c r="CE126" s="274"/>
      <c r="CF126" s="274"/>
      <c r="CG126" s="274"/>
      <c r="CH126" s="274">
        <v>10</v>
      </c>
      <c r="CI126" s="274">
        <v>5</v>
      </c>
      <c r="CJ126" s="274"/>
      <c r="CK126" s="274"/>
      <c r="CL126" s="274">
        <v>5</v>
      </c>
      <c r="CM126" s="274">
        <v>5</v>
      </c>
      <c r="CN126" s="274">
        <v>20</v>
      </c>
      <c r="CO126" s="274">
        <v>5</v>
      </c>
      <c r="CP126" s="274"/>
      <c r="CQ126" s="274"/>
      <c r="CR126" s="274"/>
      <c r="CS126" s="274"/>
      <c r="CT126" s="274"/>
      <c r="CU126" s="274"/>
      <c r="CV126" s="274"/>
      <c r="CW126" s="274"/>
      <c r="CX126" s="274"/>
      <c r="CY126" s="274"/>
      <c r="CZ126" s="274"/>
      <c r="DA126" s="274">
        <v>5</v>
      </c>
      <c r="DB126" s="274">
        <v>10</v>
      </c>
      <c r="DC126" s="274"/>
      <c r="DD126" s="274"/>
      <c r="DE126" s="274"/>
      <c r="DF126" s="274"/>
      <c r="DG126" s="274"/>
      <c r="DH126" s="274"/>
      <c r="DI126" s="274">
        <v>20</v>
      </c>
      <c r="DJ126" s="274"/>
      <c r="DK126" s="274"/>
      <c r="DL126" s="274"/>
      <c r="DM126" s="274">
        <v>20</v>
      </c>
      <c r="DN126" s="274"/>
      <c r="DO126" s="274"/>
      <c r="DP126" s="274"/>
      <c r="DQ126" s="274"/>
      <c r="DR126" s="274"/>
      <c r="DS126" s="274"/>
      <c r="DT126" s="274"/>
      <c r="DU126" s="274">
        <v>20</v>
      </c>
      <c r="DV126" s="274"/>
      <c r="DW126" s="274"/>
      <c r="DX126" s="274"/>
      <c r="DY126" s="274"/>
      <c r="DZ126" s="274"/>
      <c r="EA126" s="274"/>
      <c r="EB126" s="274"/>
      <c r="EC126" s="274"/>
      <c r="ED126" s="274"/>
      <c r="EE126" s="274"/>
      <c r="EF126" s="274"/>
      <c r="EG126" s="274"/>
      <c r="EH126" s="274"/>
      <c r="EI126" s="274"/>
      <c r="EJ126" s="274">
        <v>20</v>
      </c>
      <c r="EK126" s="274">
        <v>10</v>
      </c>
      <c r="EL126" s="274">
        <v>10</v>
      </c>
      <c r="EM126" s="274"/>
      <c r="EN126" s="274"/>
      <c r="EO126" s="274"/>
      <c r="EP126" s="274"/>
      <c r="EQ126" s="274">
        <v>20</v>
      </c>
      <c r="ER126" s="274">
        <v>20</v>
      </c>
      <c r="ES126" s="274"/>
      <c r="ET126" s="274"/>
      <c r="EU126" s="274"/>
      <c r="EV126" s="274"/>
      <c r="EW126" s="274">
        <v>20</v>
      </c>
      <c r="EX126" s="274">
        <v>10</v>
      </c>
      <c r="EY126" s="274">
        <v>20</v>
      </c>
      <c r="EZ126" s="274"/>
      <c r="FA126" s="274"/>
      <c r="FB126" s="274"/>
      <c r="FC126" s="274"/>
      <c r="FD126" s="274"/>
      <c r="FE126" s="274"/>
      <c r="FF126" s="274"/>
      <c r="FG126" s="274"/>
      <c r="FH126" s="274"/>
      <c r="FI126" s="274"/>
      <c r="FJ126" s="274"/>
      <c r="FK126" s="274"/>
      <c r="FL126" s="274"/>
      <c r="FM126" s="274"/>
      <c r="FN126" s="274"/>
      <c r="FO126" s="274"/>
      <c r="FP126" s="274"/>
      <c r="FQ126" s="274"/>
      <c r="FR126" s="274"/>
      <c r="FS126" s="274"/>
      <c r="FT126" s="274"/>
      <c r="FU126" s="274">
        <f t="shared" si="6"/>
        <v>278</v>
      </c>
    </row>
    <row r="127" spans="1:179">
      <c r="E127" s="318" t="s">
        <v>771</v>
      </c>
      <c r="U127" s="273">
        <f>SUBTOTAL(9,U122:U126)</f>
        <v>10</v>
      </c>
      <c r="V127" s="273">
        <f t="shared" ref="V127:W127" si="7">SUBTOTAL(9,V122:V126)</f>
        <v>30</v>
      </c>
      <c r="W127" s="273">
        <f t="shared" si="7"/>
        <v>10</v>
      </c>
      <c r="AC127" s="273">
        <f t="shared" ref="AC127" si="8">SUBTOTAL(9,AC122:AC126)</f>
        <v>2</v>
      </c>
      <c r="AP127" s="273">
        <f t="shared" ref="AP127" si="9">SUBTOTAL(9,AP122:AP126)</f>
        <v>510</v>
      </c>
      <c r="AU127" s="273">
        <f t="shared" ref="AU127" si="10">SUBTOTAL(9,AU122:AU126)</f>
        <v>5</v>
      </c>
      <c r="BD127" s="273">
        <f t="shared" ref="BD127" si="11">SUBTOTAL(9,BD122:BD126)</f>
        <v>10</v>
      </c>
      <c r="BQ127" s="273">
        <f t="shared" ref="BQ127" si="12">SUBTOTAL(9,BQ122:BQ126)</f>
        <v>60</v>
      </c>
      <c r="CC127" s="273">
        <f t="shared" ref="CC127" si="13">SUBTOTAL(9,CC122:CC126)</f>
        <v>20</v>
      </c>
      <c r="CD127" s="273">
        <f t="shared" ref="CD127" si="14">SUBTOTAL(9,CD122:CD126)</f>
        <v>20</v>
      </c>
      <c r="CE127" s="273">
        <f t="shared" ref="CE127" si="15">SUBTOTAL(9,CE122:CE126)</f>
        <v>40</v>
      </c>
      <c r="CF127" s="273">
        <f t="shared" ref="CF127" si="16">SUBTOTAL(9,CF122:CF126)</f>
        <v>5</v>
      </c>
      <c r="CG127" s="273">
        <f t="shared" ref="CG127" si="17">SUBTOTAL(9,CG122:CG126)</f>
        <v>70</v>
      </c>
      <c r="CH127" s="273">
        <f t="shared" ref="CH127" si="18">SUBTOTAL(9,CH122:CH126)</f>
        <v>70</v>
      </c>
      <c r="CI127" s="273">
        <f t="shared" ref="CI127" si="19">SUBTOTAL(9,CI122:CI126)</f>
        <v>40</v>
      </c>
      <c r="CL127" s="273">
        <f t="shared" ref="CL127" si="20">SUBTOTAL(9,CL122:CL126)</f>
        <v>40</v>
      </c>
      <c r="CM127" s="273">
        <f t="shared" ref="CM127" si="21">SUBTOTAL(9,CM122:CM126)</f>
        <v>135</v>
      </c>
      <c r="CN127" s="273">
        <f t="shared" ref="CN127" si="22">SUBTOTAL(9,CN122:CN126)</f>
        <v>270</v>
      </c>
      <c r="CO127" s="273">
        <f t="shared" ref="CO127" si="23">SUBTOTAL(9,CO122:CO126)</f>
        <v>100</v>
      </c>
      <c r="CP127" s="273">
        <f t="shared" ref="CP127" si="24">SUBTOTAL(9,CP122:CP126)</f>
        <v>2</v>
      </c>
      <c r="CQ127" s="273">
        <f t="shared" ref="CQ127" si="25">SUBTOTAL(9,CQ122:CQ126)</f>
        <v>5</v>
      </c>
      <c r="CS127" s="273">
        <f t="shared" ref="CS127" si="26">SUBTOTAL(9,CS122:CS126)</f>
        <v>2</v>
      </c>
      <c r="CW127" s="273">
        <f t="shared" ref="CW127" si="27">SUBTOTAL(9,CW122:CW126)</f>
        <v>6</v>
      </c>
      <c r="CX127" s="273">
        <f t="shared" ref="CX127" si="28">SUBTOTAL(9,CX122:CX126)</f>
        <v>4</v>
      </c>
      <c r="DA127" s="273">
        <f t="shared" ref="DA127" si="29">SUBTOTAL(9,DA122:DA126)</f>
        <v>50</v>
      </c>
      <c r="DB127" s="273">
        <f t="shared" ref="DB127" si="30">SUBTOTAL(9,DB122:DB126)</f>
        <v>120</v>
      </c>
      <c r="DC127" s="273">
        <f t="shared" ref="DC127" si="31">SUBTOTAL(9,DC122:DC126)</f>
        <v>10</v>
      </c>
      <c r="DD127" s="273">
        <f t="shared" ref="DD127" si="32">SUBTOTAL(9,DD122:DD126)</f>
        <v>20</v>
      </c>
      <c r="DE127" s="273">
        <f t="shared" ref="DE127" si="33">SUBTOTAL(9,DE122:DE126)</f>
        <v>2</v>
      </c>
      <c r="DI127" s="273">
        <f t="shared" ref="DI127" si="34">SUBTOTAL(9,DI122:DI126)</f>
        <v>120</v>
      </c>
      <c r="DL127" s="273">
        <f t="shared" ref="DL127:DM127" si="35">SUBTOTAL(9,DL122:DL126)</f>
        <v>60</v>
      </c>
      <c r="DM127" s="273">
        <f t="shared" si="35"/>
        <v>480</v>
      </c>
      <c r="DU127" s="273">
        <f t="shared" ref="DU127" si="36">SUBTOTAL(9,DU122:DU126)</f>
        <v>140</v>
      </c>
      <c r="DW127" s="273">
        <f t="shared" ref="DW127" si="37">SUBTOTAL(9,DW122:DW126)</f>
        <v>30</v>
      </c>
      <c r="DX127" s="273">
        <f t="shared" ref="DX127" si="38">SUBTOTAL(9,DX122:DX126)</f>
        <v>140</v>
      </c>
      <c r="EB127" s="273">
        <f t="shared" ref="EB127" si="39">SUBTOTAL(9,EB122:EB126)</f>
        <v>30</v>
      </c>
      <c r="EJ127" s="273">
        <f t="shared" ref="EJ127:EM127" si="40">SUBTOTAL(9,EJ122:EJ126)</f>
        <v>240</v>
      </c>
      <c r="EK127" s="273">
        <f t="shared" si="40"/>
        <v>220</v>
      </c>
      <c r="EL127" s="273">
        <f t="shared" si="40"/>
        <v>140</v>
      </c>
      <c r="EM127" s="273">
        <f t="shared" si="40"/>
        <v>20</v>
      </c>
      <c r="EQ127" s="273">
        <f t="shared" ref="EQ127" si="41">SUBTOTAL(9,EQ122:EQ126)</f>
        <v>400</v>
      </c>
      <c r="ER127" s="273">
        <f t="shared" ref="ER127:ES127" si="42">SUBTOTAL(9,ER122:ER126)</f>
        <v>140</v>
      </c>
      <c r="ES127" s="273">
        <f t="shared" si="42"/>
        <v>40</v>
      </c>
      <c r="EW127" s="273">
        <f t="shared" ref="EW127:EY127" si="43">SUBTOTAL(9,EW122:EW126)</f>
        <v>240</v>
      </c>
      <c r="EX127" s="273">
        <f t="shared" si="43"/>
        <v>100</v>
      </c>
      <c r="EY127" s="273">
        <f t="shared" si="43"/>
        <v>240</v>
      </c>
      <c r="FU127" s="273">
        <f t="shared" si="6"/>
        <v>4448</v>
      </c>
    </row>
  </sheetData>
  <autoFilter ref="A6:FV120">
    <filterColumn colId="2">
      <filters blank="1">
        <filter val="UA1J"/>
      </filters>
    </filterColumn>
    <filterColumn colId="175">
      <filters>
        <filter val="RUSSIA"/>
      </filters>
    </filterColumn>
  </autoFilter>
  <phoneticPr fontId="1" type="noConversion"/>
  <conditionalFormatting sqref="F120 F5:F6">
    <cfRule type="cellIs" dxfId="274" priority="266" stopIfTrue="1" operator="equal">
      <formula>"E7"</formula>
    </cfRule>
    <cfRule type="cellIs" dxfId="273" priority="267" stopIfTrue="1" operator="equal">
      <formula>"E7A"</formula>
    </cfRule>
  </conditionalFormatting>
  <conditionalFormatting sqref="F119">
    <cfRule type="cellIs" dxfId="272" priority="264" stopIfTrue="1" operator="equal">
      <formula>"E7"</formula>
    </cfRule>
    <cfRule type="cellIs" dxfId="271" priority="265" stopIfTrue="1" operator="equal">
      <formula>"E7A"</formula>
    </cfRule>
  </conditionalFormatting>
  <conditionalFormatting sqref="F118">
    <cfRule type="cellIs" dxfId="270" priority="262" stopIfTrue="1" operator="equal">
      <formula>"E7"</formula>
    </cfRule>
    <cfRule type="cellIs" dxfId="269" priority="263" stopIfTrue="1" operator="equal">
      <formula>"E7A"</formula>
    </cfRule>
  </conditionalFormatting>
  <conditionalFormatting sqref="F50">
    <cfRule type="cellIs" dxfId="268" priority="260" stopIfTrue="1" operator="equal">
      <formula>"E7"</formula>
    </cfRule>
    <cfRule type="cellIs" dxfId="267" priority="261" stopIfTrue="1" operator="equal">
      <formula>"E7A"</formula>
    </cfRule>
  </conditionalFormatting>
  <conditionalFormatting sqref="F7">
    <cfRule type="cellIs" dxfId="266" priority="258" stopIfTrue="1" operator="equal">
      <formula>"E7"</formula>
    </cfRule>
    <cfRule type="cellIs" dxfId="265" priority="259" stopIfTrue="1" operator="equal">
      <formula>"E7A"</formula>
    </cfRule>
  </conditionalFormatting>
  <conditionalFormatting sqref="F8">
    <cfRule type="cellIs" dxfId="264" priority="256" stopIfTrue="1" operator="equal">
      <formula>"E7"</formula>
    </cfRule>
    <cfRule type="cellIs" dxfId="263" priority="257" stopIfTrue="1" operator="equal">
      <formula>"E7A"</formula>
    </cfRule>
  </conditionalFormatting>
  <conditionalFormatting sqref="F23">
    <cfRule type="cellIs" dxfId="262" priority="254" stopIfTrue="1" operator="equal">
      <formula>"E7"</formula>
    </cfRule>
    <cfRule type="cellIs" dxfId="261" priority="255" stopIfTrue="1" operator="equal">
      <formula>"E7A"</formula>
    </cfRule>
  </conditionalFormatting>
  <conditionalFormatting sqref="F9">
    <cfRule type="cellIs" dxfId="260" priority="250" stopIfTrue="1" operator="equal">
      <formula>"E7"</formula>
    </cfRule>
    <cfRule type="cellIs" dxfId="259" priority="251" stopIfTrue="1" operator="equal">
      <formula>"E7A"</formula>
    </cfRule>
  </conditionalFormatting>
  <conditionalFormatting sqref="F22">
    <cfRule type="cellIs" dxfId="258" priority="252" stopIfTrue="1" operator="equal">
      <formula>"E7"</formula>
    </cfRule>
    <cfRule type="cellIs" dxfId="257" priority="253" stopIfTrue="1" operator="equal">
      <formula>"E7A"</formula>
    </cfRule>
  </conditionalFormatting>
  <conditionalFormatting sqref="F21">
    <cfRule type="cellIs" dxfId="256" priority="248" stopIfTrue="1" operator="equal">
      <formula>"E7"</formula>
    </cfRule>
    <cfRule type="cellIs" dxfId="255" priority="249" stopIfTrue="1" operator="equal">
      <formula>"E7A"</formula>
    </cfRule>
  </conditionalFormatting>
  <conditionalFormatting sqref="F24">
    <cfRule type="cellIs" dxfId="254" priority="246" stopIfTrue="1" operator="equal">
      <formula>"E7"</formula>
    </cfRule>
    <cfRule type="cellIs" dxfId="253" priority="247" stopIfTrue="1" operator="equal">
      <formula>"E7A"</formula>
    </cfRule>
  </conditionalFormatting>
  <conditionalFormatting sqref="F45">
    <cfRule type="cellIs" dxfId="252" priority="244" stopIfTrue="1" operator="equal">
      <formula>"E7"</formula>
    </cfRule>
    <cfRule type="cellIs" dxfId="251" priority="245" stopIfTrue="1" operator="equal">
      <formula>"E7A"</formula>
    </cfRule>
  </conditionalFormatting>
  <conditionalFormatting sqref="F49">
    <cfRule type="cellIs" dxfId="250" priority="242" stopIfTrue="1" operator="equal">
      <formula>"E7"</formula>
    </cfRule>
    <cfRule type="cellIs" dxfId="249" priority="243" stopIfTrue="1" operator="equal">
      <formula>"E7A"</formula>
    </cfRule>
  </conditionalFormatting>
  <conditionalFormatting sqref="F46">
    <cfRule type="cellIs" dxfId="248" priority="240" stopIfTrue="1" operator="equal">
      <formula>"E7"</formula>
    </cfRule>
    <cfRule type="cellIs" dxfId="247" priority="241" stopIfTrue="1" operator="equal">
      <formula>"E7A"</formula>
    </cfRule>
  </conditionalFormatting>
  <conditionalFormatting sqref="F47">
    <cfRule type="cellIs" dxfId="246" priority="238" stopIfTrue="1" operator="equal">
      <formula>"E7"</formula>
    </cfRule>
    <cfRule type="cellIs" dxfId="245" priority="239" stopIfTrue="1" operator="equal">
      <formula>"E7A"</formula>
    </cfRule>
  </conditionalFormatting>
  <conditionalFormatting sqref="F48">
    <cfRule type="cellIs" dxfId="244" priority="236" stopIfTrue="1" operator="equal">
      <formula>"E7"</formula>
    </cfRule>
    <cfRule type="cellIs" dxfId="243" priority="237" stopIfTrue="1" operator="equal">
      <formula>"E7A"</formula>
    </cfRule>
  </conditionalFormatting>
  <conditionalFormatting sqref="F42">
    <cfRule type="cellIs" dxfId="242" priority="234" stopIfTrue="1" operator="equal">
      <formula>"E7"</formula>
    </cfRule>
    <cfRule type="cellIs" dxfId="241" priority="235" stopIfTrue="1" operator="equal">
      <formula>"E7A"</formula>
    </cfRule>
  </conditionalFormatting>
  <conditionalFormatting sqref="F43">
    <cfRule type="cellIs" dxfId="240" priority="232" stopIfTrue="1" operator="equal">
      <formula>"E7"</formula>
    </cfRule>
    <cfRule type="cellIs" dxfId="239" priority="233" stopIfTrue="1" operator="equal">
      <formula>"E7A"</formula>
    </cfRule>
  </conditionalFormatting>
  <conditionalFormatting sqref="F44">
    <cfRule type="cellIs" dxfId="238" priority="230" stopIfTrue="1" operator="equal">
      <formula>"E7"</formula>
    </cfRule>
    <cfRule type="cellIs" dxfId="237" priority="231" stopIfTrue="1" operator="equal">
      <formula>"E7A"</formula>
    </cfRule>
  </conditionalFormatting>
  <conditionalFormatting sqref="B7 B32 B39:B50 B112:B119 B103">
    <cfRule type="expression" dxfId="236" priority="229">
      <formula>$B7="A"</formula>
    </cfRule>
  </conditionalFormatting>
  <conditionalFormatting sqref="B8:B9 B21:B24">
    <cfRule type="expression" dxfId="235" priority="228">
      <formula>$B8="A"</formula>
    </cfRule>
  </conditionalFormatting>
  <conditionalFormatting sqref="FJ6:FO6 H6:DL6 DN6:FE6">
    <cfRule type="expression" dxfId="234" priority="190">
      <formula>H298=0</formula>
    </cfRule>
  </conditionalFormatting>
  <conditionalFormatting sqref="F32">
    <cfRule type="cellIs" dxfId="233" priority="226" stopIfTrue="1" operator="equal">
      <formula>"E7"</formula>
    </cfRule>
    <cfRule type="cellIs" dxfId="232" priority="227" stopIfTrue="1" operator="equal">
      <formula>"E7A"</formula>
    </cfRule>
  </conditionalFormatting>
  <conditionalFormatting sqref="F39">
    <cfRule type="cellIs" dxfId="231" priority="224" stopIfTrue="1" operator="equal">
      <formula>"E7"</formula>
    </cfRule>
    <cfRule type="cellIs" dxfId="230" priority="225" stopIfTrue="1" operator="equal">
      <formula>"E7A"</formula>
    </cfRule>
  </conditionalFormatting>
  <conditionalFormatting sqref="F40">
    <cfRule type="cellIs" dxfId="229" priority="222" stopIfTrue="1" operator="equal">
      <formula>"E7"</formula>
    </cfRule>
    <cfRule type="cellIs" dxfId="228" priority="223" stopIfTrue="1" operator="equal">
      <formula>"E7A"</formula>
    </cfRule>
  </conditionalFormatting>
  <conditionalFormatting sqref="F41">
    <cfRule type="cellIs" dxfId="227" priority="220" stopIfTrue="1" operator="equal">
      <formula>"E7"</formula>
    </cfRule>
    <cfRule type="cellIs" dxfId="226" priority="221" stopIfTrue="1" operator="equal">
      <formula>"E7A"</formula>
    </cfRule>
  </conditionalFormatting>
  <conditionalFormatting sqref="F36">
    <cfRule type="cellIs" dxfId="225" priority="218" stopIfTrue="1" operator="equal">
      <formula>"E7"</formula>
    </cfRule>
    <cfRule type="cellIs" dxfId="224" priority="219" stopIfTrue="1" operator="equal">
      <formula>"E7A"</formula>
    </cfRule>
  </conditionalFormatting>
  <conditionalFormatting sqref="F37">
    <cfRule type="cellIs" dxfId="223" priority="216" stopIfTrue="1" operator="equal">
      <formula>"E7"</formula>
    </cfRule>
    <cfRule type="cellIs" dxfId="222" priority="217" stopIfTrue="1" operator="equal">
      <formula>"E7A"</formula>
    </cfRule>
  </conditionalFormatting>
  <conditionalFormatting sqref="F38">
    <cfRule type="cellIs" dxfId="221" priority="214" stopIfTrue="1" operator="equal">
      <formula>"E7"</formula>
    </cfRule>
    <cfRule type="cellIs" dxfId="220" priority="215" stopIfTrue="1" operator="equal">
      <formula>"E7A"</formula>
    </cfRule>
  </conditionalFormatting>
  <conditionalFormatting sqref="B33:B38">
    <cfRule type="expression" dxfId="219" priority="213">
      <formula>$B33="A"</formula>
    </cfRule>
  </conditionalFormatting>
  <conditionalFormatting sqref="F33">
    <cfRule type="cellIs" dxfId="218" priority="211" stopIfTrue="1" operator="equal">
      <formula>"E7"</formula>
    </cfRule>
    <cfRule type="cellIs" dxfId="217" priority="212" stopIfTrue="1" operator="equal">
      <formula>"E7A"</formula>
    </cfRule>
  </conditionalFormatting>
  <conditionalFormatting sqref="F34">
    <cfRule type="cellIs" dxfId="216" priority="209" stopIfTrue="1" operator="equal">
      <formula>"E7"</formula>
    </cfRule>
    <cfRule type="cellIs" dxfId="215" priority="210" stopIfTrue="1" operator="equal">
      <formula>"E7A"</formula>
    </cfRule>
  </conditionalFormatting>
  <conditionalFormatting sqref="F35">
    <cfRule type="cellIs" dxfId="214" priority="207" stopIfTrue="1" operator="equal">
      <formula>"E7"</formula>
    </cfRule>
    <cfRule type="cellIs" dxfId="213" priority="208" stopIfTrue="1" operator="equal">
      <formula>"E7A"</formula>
    </cfRule>
  </conditionalFormatting>
  <conditionalFormatting sqref="B25">
    <cfRule type="expression" dxfId="212" priority="206">
      <formula>$B25="A"</formula>
    </cfRule>
  </conditionalFormatting>
  <conditionalFormatting sqref="F25">
    <cfRule type="cellIs" dxfId="211" priority="204" stopIfTrue="1" operator="equal">
      <formula>"E7"</formula>
    </cfRule>
    <cfRule type="cellIs" dxfId="210" priority="205" stopIfTrue="1" operator="equal">
      <formula>"E7A"</formula>
    </cfRule>
  </conditionalFormatting>
  <conditionalFormatting sqref="F29">
    <cfRule type="cellIs" dxfId="209" priority="202" stopIfTrue="1" operator="equal">
      <formula>"E7"</formula>
    </cfRule>
    <cfRule type="cellIs" dxfId="208" priority="203" stopIfTrue="1" operator="equal">
      <formula>"E7A"</formula>
    </cfRule>
  </conditionalFormatting>
  <conditionalFormatting sqref="F30">
    <cfRule type="cellIs" dxfId="207" priority="200" stopIfTrue="1" operator="equal">
      <formula>"E7"</formula>
    </cfRule>
    <cfRule type="cellIs" dxfId="206" priority="201" stopIfTrue="1" operator="equal">
      <formula>"E7A"</formula>
    </cfRule>
  </conditionalFormatting>
  <conditionalFormatting sqref="F31">
    <cfRule type="cellIs" dxfId="205" priority="198" stopIfTrue="1" operator="equal">
      <formula>"E7"</formula>
    </cfRule>
    <cfRule type="cellIs" dxfId="204" priority="199" stopIfTrue="1" operator="equal">
      <formula>"E7A"</formula>
    </cfRule>
  </conditionalFormatting>
  <conditionalFormatting sqref="B26:B31">
    <cfRule type="expression" dxfId="203" priority="197">
      <formula>$B26="A"</formula>
    </cfRule>
  </conditionalFormatting>
  <conditionalFormatting sqref="F26">
    <cfRule type="cellIs" dxfId="202" priority="195" stopIfTrue="1" operator="equal">
      <formula>"E7"</formula>
    </cfRule>
    <cfRule type="cellIs" dxfId="201" priority="196" stopIfTrue="1" operator="equal">
      <formula>"E7A"</formula>
    </cfRule>
  </conditionalFormatting>
  <conditionalFormatting sqref="F27">
    <cfRule type="cellIs" dxfId="200" priority="193" stopIfTrue="1" operator="equal">
      <formula>"E7"</formula>
    </cfRule>
    <cfRule type="cellIs" dxfId="199" priority="194" stopIfTrue="1" operator="equal">
      <formula>"E7A"</formula>
    </cfRule>
  </conditionalFormatting>
  <conditionalFormatting sqref="F28">
    <cfRule type="cellIs" dxfId="198" priority="191" stopIfTrue="1" operator="equal">
      <formula>"E7"</formula>
    </cfRule>
    <cfRule type="cellIs" dxfId="197" priority="192" stopIfTrue="1" operator="equal">
      <formula>"E7A"</formula>
    </cfRule>
  </conditionalFormatting>
  <conditionalFormatting sqref="I1:K1">
    <cfRule type="duplicateValues" dxfId="196" priority="189"/>
  </conditionalFormatting>
  <conditionalFormatting sqref="O1">
    <cfRule type="duplicateValues" dxfId="195" priority="188"/>
  </conditionalFormatting>
  <conditionalFormatting sqref="F12">
    <cfRule type="cellIs" dxfId="194" priority="186" stopIfTrue="1" operator="equal">
      <formula>"E7"</formula>
    </cfRule>
    <cfRule type="cellIs" dxfId="193" priority="187" stopIfTrue="1" operator="equal">
      <formula>"E7A"</formula>
    </cfRule>
  </conditionalFormatting>
  <conditionalFormatting sqref="F11">
    <cfRule type="cellIs" dxfId="192" priority="184" stopIfTrue="1" operator="equal">
      <formula>"E7"</formula>
    </cfRule>
    <cfRule type="cellIs" dxfId="191" priority="185" stopIfTrue="1" operator="equal">
      <formula>"E7A"</formula>
    </cfRule>
  </conditionalFormatting>
  <conditionalFormatting sqref="F10">
    <cfRule type="cellIs" dxfId="190" priority="182" stopIfTrue="1" operator="equal">
      <formula>"E7"</formula>
    </cfRule>
    <cfRule type="cellIs" dxfId="189" priority="183" stopIfTrue="1" operator="equal">
      <formula>"E7A"</formula>
    </cfRule>
  </conditionalFormatting>
  <conditionalFormatting sqref="F13:F14">
    <cfRule type="cellIs" dxfId="188" priority="180" stopIfTrue="1" operator="equal">
      <formula>"E7"</formula>
    </cfRule>
    <cfRule type="cellIs" dxfId="187" priority="181" stopIfTrue="1" operator="equal">
      <formula>"E7A"</formula>
    </cfRule>
  </conditionalFormatting>
  <conditionalFormatting sqref="B10:B14">
    <cfRule type="expression" dxfId="186" priority="179">
      <formula>$B10="A"</formula>
    </cfRule>
  </conditionalFormatting>
  <conditionalFormatting sqref="B15">
    <cfRule type="expression" dxfId="185" priority="178">
      <formula>$B15="A"</formula>
    </cfRule>
  </conditionalFormatting>
  <conditionalFormatting sqref="F15">
    <cfRule type="cellIs" dxfId="184" priority="176" stopIfTrue="1" operator="equal">
      <formula>"E7"</formula>
    </cfRule>
    <cfRule type="cellIs" dxfId="183" priority="177" stopIfTrue="1" operator="equal">
      <formula>"E7A"</formula>
    </cfRule>
  </conditionalFormatting>
  <conditionalFormatting sqref="F19">
    <cfRule type="cellIs" dxfId="182" priority="174" stopIfTrue="1" operator="equal">
      <formula>"E7"</formula>
    </cfRule>
    <cfRule type="cellIs" dxfId="181" priority="175" stopIfTrue="1" operator="equal">
      <formula>"E7A"</formula>
    </cfRule>
  </conditionalFormatting>
  <conditionalFormatting sqref="F20">
    <cfRule type="cellIs" dxfId="180" priority="172" stopIfTrue="1" operator="equal">
      <formula>"E7"</formula>
    </cfRule>
    <cfRule type="cellIs" dxfId="179" priority="173" stopIfTrue="1" operator="equal">
      <formula>"E7A"</formula>
    </cfRule>
  </conditionalFormatting>
  <conditionalFormatting sqref="B16:B20">
    <cfRule type="expression" dxfId="178" priority="171">
      <formula>$B16="A"</formula>
    </cfRule>
  </conditionalFormatting>
  <conditionalFormatting sqref="F16">
    <cfRule type="cellIs" dxfId="177" priority="169" stopIfTrue="1" operator="equal">
      <formula>"E7"</formula>
    </cfRule>
    <cfRule type="cellIs" dxfId="176" priority="170" stopIfTrue="1" operator="equal">
      <formula>"E7A"</formula>
    </cfRule>
  </conditionalFormatting>
  <conditionalFormatting sqref="F17">
    <cfRule type="cellIs" dxfId="175" priority="167" stopIfTrue="1" operator="equal">
      <formula>"E7"</formula>
    </cfRule>
    <cfRule type="cellIs" dxfId="174" priority="168" stopIfTrue="1" operator="equal">
      <formula>"E7A"</formula>
    </cfRule>
  </conditionalFormatting>
  <conditionalFormatting sqref="F18">
    <cfRule type="cellIs" dxfId="173" priority="165" stopIfTrue="1" operator="equal">
      <formula>"E7"</formula>
    </cfRule>
    <cfRule type="cellIs" dxfId="172" priority="166" stopIfTrue="1" operator="equal">
      <formula>"E7A"</formula>
    </cfRule>
  </conditionalFormatting>
  <conditionalFormatting sqref="H4">
    <cfRule type="duplicateValues" dxfId="171" priority="164"/>
  </conditionalFormatting>
  <conditionalFormatting sqref="FJ1:FO1 DQ1:FE1">
    <cfRule type="duplicateValues" dxfId="170" priority="163"/>
  </conditionalFormatting>
  <conditionalFormatting sqref="FJ4:FO4 DQ4:FE4">
    <cfRule type="duplicateValues" dxfId="169" priority="162"/>
  </conditionalFormatting>
  <conditionalFormatting sqref="F63">
    <cfRule type="cellIs" dxfId="168" priority="160" stopIfTrue="1" operator="equal">
      <formula>"E7"</formula>
    </cfRule>
    <cfRule type="cellIs" dxfId="167" priority="161" stopIfTrue="1" operator="equal">
      <formula>"E7A"</formula>
    </cfRule>
  </conditionalFormatting>
  <conditionalFormatting sqref="F62">
    <cfRule type="cellIs" dxfId="166" priority="158" stopIfTrue="1" operator="equal">
      <formula>"E7"</formula>
    </cfRule>
    <cfRule type="cellIs" dxfId="165" priority="159" stopIfTrue="1" operator="equal">
      <formula>"E7A"</formula>
    </cfRule>
  </conditionalFormatting>
  <conditionalFormatting sqref="F61">
    <cfRule type="cellIs" dxfId="164" priority="156" stopIfTrue="1" operator="equal">
      <formula>"E7"</formula>
    </cfRule>
    <cfRule type="cellIs" dxfId="163" priority="157" stopIfTrue="1" operator="equal">
      <formula>"E7A"</formula>
    </cfRule>
  </conditionalFormatting>
  <conditionalFormatting sqref="F64">
    <cfRule type="cellIs" dxfId="162" priority="154" stopIfTrue="1" operator="equal">
      <formula>"E7"</formula>
    </cfRule>
    <cfRule type="cellIs" dxfId="161" priority="155" stopIfTrue="1" operator="equal">
      <formula>"E7A"</formula>
    </cfRule>
  </conditionalFormatting>
  <conditionalFormatting sqref="F114">
    <cfRule type="cellIs" dxfId="160" priority="152" stopIfTrue="1" operator="equal">
      <formula>"E7"</formula>
    </cfRule>
    <cfRule type="cellIs" dxfId="159" priority="153" stopIfTrue="1" operator="equal">
      <formula>"E7A"</formula>
    </cfRule>
  </conditionalFormatting>
  <conditionalFormatting sqref="F115">
    <cfRule type="cellIs" dxfId="158" priority="150" stopIfTrue="1" operator="equal">
      <formula>"E7"</formula>
    </cfRule>
    <cfRule type="cellIs" dxfId="157" priority="151" stopIfTrue="1" operator="equal">
      <formula>"E7A"</formula>
    </cfRule>
  </conditionalFormatting>
  <conditionalFormatting sqref="F116">
    <cfRule type="cellIs" dxfId="156" priority="148" stopIfTrue="1" operator="equal">
      <formula>"E7"</formula>
    </cfRule>
    <cfRule type="cellIs" dxfId="155" priority="149" stopIfTrue="1" operator="equal">
      <formula>"E7A"</formula>
    </cfRule>
  </conditionalFormatting>
  <conditionalFormatting sqref="F117">
    <cfRule type="cellIs" dxfId="154" priority="146" stopIfTrue="1" operator="equal">
      <formula>"E7"</formula>
    </cfRule>
    <cfRule type="cellIs" dxfId="153" priority="147" stopIfTrue="1" operator="equal">
      <formula>"E7A"</formula>
    </cfRule>
  </conditionalFormatting>
  <conditionalFormatting sqref="F112">
    <cfRule type="cellIs" dxfId="152" priority="142" stopIfTrue="1" operator="equal">
      <formula>"E7"</formula>
    </cfRule>
    <cfRule type="cellIs" dxfId="151" priority="143" stopIfTrue="1" operator="equal">
      <formula>"E7A"</formula>
    </cfRule>
  </conditionalFormatting>
  <conditionalFormatting sqref="F113">
    <cfRule type="cellIs" dxfId="150" priority="140" stopIfTrue="1" operator="equal">
      <formula>"E7"</formula>
    </cfRule>
    <cfRule type="cellIs" dxfId="149" priority="141" stopIfTrue="1" operator="equal">
      <formula>"E7A"</formula>
    </cfRule>
  </conditionalFormatting>
  <conditionalFormatting sqref="B72 B99:B100">
    <cfRule type="expression" dxfId="148" priority="139">
      <formula>$B72="A"</formula>
    </cfRule>
  </conditionalFormatting>
  <conditionalFormatting sqref="B61:B64">
    <cfRule type="expression" dxfId="147" priority="138">
      <formula>$B61="A"</formula>
    </cfRule>
  </conditionalFormatting>
  <conditionalFormatting sqref="F72">
    <cfRule type="cellIs" dxfId="146" priority="136" stopIfTrue="1" operator="equal">
      <formula>"E7"</formula>
    </cfRule>
    <cfRule type="cellIs" dxfId="145" priority="137" stopIfTrue="1" operator="equal">
      <formula>"E7A"</formula>
    </cfRule>
  </conditionalFormatting>
  <conditionalFormatting sqref="F99">
    <cfRule type="cellIs" dxfId="144" priority="134" stopIfTrue="1" operator="equal">
      <formula>"E7"</formula>
    </cfRule>
    <cfRule type="cellIs" dxfId="143" priority="135" stopIfTrue="1" operator="equal">
      <formula>"E7A"</formula>
    </cfRule>
  </conditionalFormatting>
  <conditionalFormatting sqref="F100">
    <cfRule type="cellIs" dxfId="142" priority="132" stopIfTrue="1" operator="equal">
      <formula>"E7"</formula>
    </cfRule>
    <cfRule type="cellIs" dxfId="141" priority="133" stopIfTrue="1" operator="equal">
      <formula>"E7A"</formula>
    </cfRule>
  </conditionalFormatting>
  <conditionalFormatting sqref="F103">
    <cfRule type="cellIs" dxfId="140" priority="130" stopIfTrue="1" operator="equal">
      <formula>"E7"</formula>
    </cfRule>
    <cfRule type="cellIs" dxfId="139" priority="131" stopIfTrue="1" operator="equal">
      <formula>"E7A"</formula>
    </cfRule>
  </conditionalFormatting>
  <conditionalFormatting sqref="F96">
    <cfRule type="cellIs" dxfId="138" priority="128" stopIfTrue="1" operator="equal">
      <formula>"E7"</formula>
    </cfRule>
    <cfRule type="cellIs" dxfId="137" priority="129" stopIfTrue="1" operator="equal">
      <formula>"E7A"</formula>
    </cfRule>
  </conditionalFormatting>
  <conditionalFormatting sqref="F97">
    <cfRule type="cellIs" dxfId="136" priority="126" stopIfTrue="1" operator="equal">
      <formula>"E7"</formula>
    </cfRule>
    <cfRule type="cellIs" dxfId="135" priority="127" stopIfTrue="1" operator="equal">
      <formula>"E7A"</formula>
    </cfRule>
  </conditionalFormatting>
  <conditionalFormatting sqref="F98">
    <cfRule type="cellIs" dxfId="134" priority="124" stopIfTrue="1" operator="equal">
      <formula>"E7"</formula>
    </cfRule>
    <cfRule type="cellIs" dxfId="133" priority="125" stopIfTrue="1" operator="equal">
      <formula>"E7A"</formula>
    </cfRule>
  </conditionalFormatting>
  <conditionalFormatting sqref="B93:B98">
    <cfRule type="expression" dxfId="132" priority="123">
      <formula>$B93="A"</formula>
    </cfRule>
  </conditionalFormatting>
  <conditionalFormatting sqref="F93">
    <cfRule type="cellIs" dxfId="131" priority="121" stopIfTrue="1" operator="equal">
      <formula>"E7"</formula>
    </cfRule>
    <cfRule type="cellIs" dxfId="130" priority="122" stopIfTrue="1" operator="equal">
      <formula>"E7A"</formula>
    </cfRule>
  </conditionalFormatting>
  <conditionalFormatting sqref="F94">
    <cfRule type="cellIs" dxfId="129" priority="119" stopIfTrue="1" operator="equal">
      <formula>"E7"</formula>
    </cfRule>
    <cfRule type="cellIs" dxfId="128" priority="120" stopIfTrue="1" operator="equal">
      <formula>"E7A"</formula>
    </cfRule>
  </conditionalFormatting>
  <conditionalFormatting sqref="F95">
    <cfRule type="cellIs" dxfId="127" priority="117" stopIfTrue="1" operator="equal">
      <formula>"E7"</formula>
    </cfRule>
    <cfRule type="cellIs" dxfId="126" priority="118" stopIfTrue="1" operator="equal">
      <formula>"E7A"</formula>
    </cfRule>
  </conditionalFormatting>
  <conditionalFormatting sqref="B65">
    <cfRule type="expression" dxfId="125" priority="116">
      <formula>$B65="A"</formula>
    </cfRule>
  </conditionalFormatting>
  <conditionalFormatting sqref="F65">
    <cfRule type="cellIs" dxfId="124" priority="114" stopIfTrue="1" operator="equal">
      <formula>"E7"</formula>
    </cfRule>
    <cfRule type="cellIs" dxfId="123" priority="115" stopIfTrue="1" operator="equal">
      <formula>"E7A"</formula>
    </cfRule>
  </conditionalFormatting>
  <conditionalFormatting sqref="F69">
    <cfRule type="cellIs" dxfId="122" priority="112" stopIfTrue="1" operator="equal">
      <formula>"E7"</formula>
    </cfRule>
    <cfRule type="cellIs" dxfId="121" priority="113" stopIfTrue="1" operator="equal">
      <formula>"E7A"</formula>
    </cfRule>
  </conditionalFormatting>
  <conditionalFormatting sqref="F70">
    <cfRule type="cellIs" dxfId="120" priority="110" stopIfTrue="1" operator="equal">
      <formula>"E7"</formula>
    </cfRule>
    <cfRule type="cellIs" dxfId="119" priority="111" stopIfTrue="1" operator="equal">
      <formula>"E7A"</formula>
    </cfRule>
  </conditionalFormatting>
  <conditionalFormatting sqref="F71">
    <cfRule type="cellIs" dxfId="118" priority="108" stopIfTrue="1" operator="equal">
      <formula>"E7"</formula>
    </cfRule>
    <cfRule type="cellIs" dxfId="117" priority="109" stopIfTrue="1" operator="equal">
      <formula>"E7A"</formula>
    </cfRule>
  </conditionalFormatting>
  <conditionalFormatting sqref="B66:B71">
    <cfRule type="expression" dxfId="116" priority="107">
      <formula>$B66="A"</formula>
    </cfRule>
  </conditionalFormatting>
  <conditionalFormatting sqref="F66">
    <cfRule type="cellIs" dxfId="115" priority="105" stopIfTrue="1" operator="equal">
      <formula>"E7"</formula>
    </cfRule>
    <cfRule type="cellIs" dxfId="114" priority="106" stopIfTrue="1" operator="equal">
      <formula>"E7A"</formula>
    </cfRule>
  </conditionalFormatting>
  <conditionalFormatting sqref="F67">
    <cfRule type="cellIs" dxfId="113" priority="103" stopIfTrue="1" operator="equal">
      <formula>"E7"</formula>
    </cfRule>
    <cfRule type="cellIs" dxfId="112" priority="104" stopIfTrue="1" operator="equal">
      <formula>"E7A"</formula>
    </cfRule>
  </conditionalFormatting>
  <conditionalFormatting sqref="F68">
    <cfRule type="cellIs" dxfId="111" priority="101" stopIfTrue="1" operator="equal">
      <formula>"E7"</formula>
    </cfRule>
    <cfRule type="cellIs" dxfId="110" priority="102" stopIfTrue="1" operator="equal">
      <formula>"E7A"</formula>
    </cfRule>
  </conditionalFormatting>
  <conditionalFormatting sqref="F53">
    <cfRule type="cellIs" dxfId="109" priority="99" stopIfTrue="1" operator="equal">
      <formula>"E7"</formula>
    </cfRule>
    <cfRule type="cellIs" dxfId="108" priority="100" stopIfTrue="1" operator="equal">
      <formula>"E7A"</formula>
    </cfRule>
  </conditionalFormatting>
  <conditionalFormatting sqref="F52">
    <cfRule type="cellIs" dxfId="107" priority="97" stopIfTrue="1" operator="equal">
      <formula>"E7"</formula>
    </cfRule>
    <cfRule type="cellIs" dxfId="106" priority="98" stopIfTrue="1" operator="equal">
      <formula>"E7A"</formula>
    </cfRule>
  </conditionalFormatting>
  <conditionalFormatting sqref="F51">
    <cfRule type="cellIs" dxfId="105" priority="95" stopIfTrue="1" operator="equal">
      <formula>"E7"</formula>
    </cfRule>
    <cfRule type="cellIs" dxfId="104" priority="96" stopIfTrue="1" operator="equal">
      <formula>"E7A"</formula>
    </cfRule>
  </conditionalFormatting>
  <conditionalFormatting sqref="F54">
    <cfRule type="cellIs" dxfId="103" priority="93" stopIfTrue="1" operator="equal">
      <formula>"E7"</formula>
    </cfRule>
    <cfRule type="cellIs" dxfId="102" priority="94" stopIfTrue="1" operator="equal">
      <formula>"E7A"</formula>
    </cfRule>
  </conditionalFormatting>
  <conditionalFormatting sqref="B51:B54">
    <cfRule type="expression" dxfId="101" priority="92">
      <formula>$B51="A"</formula>
    </cfRule>
  </conditionalFormatting>
  <conditionalFormatting sqref="B55">
    <cfRule type="expression" dxfId="100" priority="91">
      <formula>$B55="A"</formula>
    </cfRule>
  </conditionalFormatting>
  <conditionalFormatting sqref="F55">
    <cfRule type="cellIs" dxfId="99" priority="89" stopIfTrue="1" operator="equal">
      <formula>"E7"</formula>
    </cfRule>
    <cfRule type="cellIs" dxfId="98" priority="90" stopIfTrue="1" operator="equal">
      <formula>"E7A"</formula>
    </cfRule>
  </conditionalFormatting>
  <conditionalFormatting sqref="F59">
    <cfRule type="cellIs" dxfId="97" priority="87" stopIfTrue="1" operator="equal">
      <formula>"E7"</formula>
    </cfRule>
    <cfRule type="cellIs" dxfId="96" priority="88" stopIfTrue="1" operator="equal">
      <formula>"E7A"</formula>
    </cfRule>
  </conditionalFormatting>
  <conditionalFormatting sqref="F60">
    <cfRule type="cellIs" dxfId="95" priority="85" stopIfTrue="1" operator="equal">
      <formula>"E7"</formula>
    </cfRule>
    <cfRule type="cellIs" dxfId="94" priority="86" stopIfTrue="1" operator="equal">
      <formula>"E7A"</formula>
    </cfRule>
  </conditionalFormatting>
  <conditionalFormatting sqref="B56:B60">
    <cfRule type="expression" dxfId="93" priority="84">
      <formula>$B56="A"</formula>
    </cfRule>
  </conditionalFormatting>
  <conditionalFormatting sqref="F56">
    <cfRule type="cellIs" dxfId="92" priority="82" stopIfTrue="1" operator="equal">
      <formula>"E7"</formula>
    </cfRule>
    <cfRule type="cellIs" dxfId="91" priority="83" stopIfTrue="1" operator="equal">
      <formula>"E7A"</formula>
    </cfRule>
  </conditionalFormatting>
  <conditionalFormatting sqref="F57">
    <cfRule type="cellIs" dxfId="90" priority="80" stopIfTrue="1" operator="equal">
      <formula>"E7"</formula>
    </cfRule>
    <cfRule type="cellIs" dxfId="89" priority="81" stopIfTrue="1" operator="equal">
      <formula>"E7A"</formula>
    </cfRule>
  </conditionalFormatting>
  <conditionalFormatting sqref="F58">
    <cfRule type="cellIs" dxfId="88" priority="78" stopIfTrue="1" operator="equal">
      <formula>"E7"</formula>
    </cfRule>
    <cfRule type="cellIs" dxfId="87" priority="79" stopIfTrue="1" operator="equal">
      <formula>"E7A"</formula>
    </cfRule>
  </conditionalFormatting>
  <conditionalFormatting sqref="F111">
    <cfRule type="cellIs" dxfId="86" priority="76" stopIfTrue="1" operator="equal">
      <formula>"E7"</formula>
    </cfRule>
    <cfRule type="cellIs" dxfId="85" priority="77" stopIfTrue="1" operator="equal">
      <formula>"E7A"</formula>
    </cfRule>
  </conditionalFormatting>
  <conditionalFormatting sqref="F106">
    <cfRule type="cellIs" dxfId="84" priority="74" stopIfTrue="1" operator="equal">
      <formula>"E7"</formula>
    </cfRule>
    <cfRule type="cellIs" dxfId="83" priority="75" stopIfTrue="1" operator="equal">
      <formula>"E7A"</formula>
    </cfRule>
  </conditionalFormatting>
  <conditionalFormatting sqref="F110">
    <cfRule type="cellIs" dxfId="82" priority="72" stopIfTrue="1" operator="equal">
      <formula>"E7"</formula>
    </cfRule>
    <cfRule type="cellIs" dxfId="81" priority="73" stopIfTrue="1" operator="equal">
      <formula>"E7A"</formula>
    </cfRule>
  </conditionalFormatting>
  <conditionalFormatting sqref="F107">
    <cfRule type="cellIs" dxfId="80" priority="70" stopIfTrue="1" operator="equal">
      <formula>"E7"</formula>
    </cfRule>
    <cfRule type="cellIs" dxfId="79" priority="71" stopIfTrue="1" operator="equal">
      <formula>"E7A"</formula>
    </cfRule>
  </conditionalFormatting>
  <conditionalFormatting sqref="F108">
    <cfRule type="cellIs" dxfId="78" priority="68" stopIfTrue="1" operator="equal">
      <formula>"E7"</formula>
    </cfRule>
    <cfRule type="cellIs" dxfId="77" priority="69" stopIfTrue="1" operator="equal">
      <formula>"E7A"</formula>
    </cfRule>
  </conditionalFormatting>
  <conditionalFormatting sqref="F109">
    <cfRule type="cellIs" dxfId="76" priority="66" stopIfTrue="1" operator="equal">
      <formula>"E7"</formula>
    </cfRule>
    <cfRule type="cellIs" dxfId="75" priority="67" stopIfTrue="1" operator="equal">
      <formula>"E7A"</formula>
    </cfRule>
  </conditionalFormatting>
  <conditionalFormatting sqref="F104">
    <cfRule type="cellIs" dxfId="74" priority="64" stopIfTrue="1" operator="equal">
      <formula>"E7"</formula>
    </cfRule>
    <cfRule type="cellIs" dxfId="73" priority="65" stopIfTrue="1" operator="equal">
      <formula>"E7A"</formula>
    </cfRule>
  </conditionalFormatting>
  <conditionalFormatting sqref="F105">
    <cfRule type="cellIs" dxfId="72" priority="62" stopIfTrue="1" operator="equal">
      <formula>"E7"</formula>
    </cfRule>
    <cfRule type="cellIs" dxfId="71" priority="63" stopIfTrue="1" operator="equal">
      <formula>"E7A"</formula>
    </cfRule>
  </conditionalFormatting>
  <conditionalFormatting sqref="B104:B111">
    <cfRule type="expression" dxfId="70" priority="61">
      <formula>$B104="A"</formula>
    </cfRule>
  </conditionalFormatting>
  <conditionalFormatting sqref="FF6:FI6">
    <cfRule type="expression" dxfId="69" priority="60">
      <formula>FF298=0</formula>
    </cfRule>
  </conditionalFormatting>
  <conditionalFormatting sqref="FF1:FI1">
    <cfRule type="duplicateValues" dxfId="68" priority="59"/>
  </conditionalFormatting>
  <conditionalFormatting sqref="FF4:FI4">
    <cfRule type="duplicateValues" dxfId="67" priority="58"/>
  </conditionalFormatting>
  <conditionalFormatting sqref="F83">
    <cfRule type="cellIs" dxfId="66" priority="56" stopIfTrue="1" operator="equal">
      <formula>"E7"</formula>
    </cfRule>
    <cfRule type="cellIs" dxfId="65" priority="57" stopIfTrue="1" operator="equal">
      <formula>"E7A"</formula>
    </cfRule>
  </conditionalFormatting>
  <conditionalFormatting sqref="F82">
    <cfRule type="cellIs" dxfId="64" priority="54" stopIfTrue="1" operator="equal">
      <formula>"E7"</formula>
    </cfRule>
    <cfRule type="cellIs" dxfId="63" priority="55" stopIfTrue="1" operator="equal">
      <formula>"E7A"</formula>
    </cfRule>
  </conditionalFormatting>
  <conditionalFormatting sqref="F81">
    <cfRule type="cellIs" dxfId="62" priority="52" stopIfTrue="1" operator="equal">
      <formula>"E7"</formula>
    </cfRule>
    <cfRule type="cellIs" dxfId="61" priority="53" stopIfTrue="1" operator="equal">
      <formula>"E7A"</formula>
    </cfRule>
  </conditionalFormatting>
  <conditionalFormatting sqref="F84">
    <cfRule type="cellIs" dxfId="60" priority="50" stopIfTrue="1" operator="equal">
      <formula>"E7"</formula>
    </cfRule>
    <cfRule type="cellIs" dxfId="59" priority="51" stopIfTrue="1" operator="equal">
      <formula>"E7A"</formula>
    </cfRule>
  </conditionalFormatting>
  <conditionalFormatting sqref="B92">
    <cfRule type="expression" dxfId="58" priority="49">
      <formula>$B92="A"</formula>
    </cfRule>
  </conditionalFormatting>
  <conditionalFormatting sqref="B81:B84">
    <cfRule type="expression" dxfId="57" priority="48">
      <formula>$B81="A"</formula>
    </cfRule>
  </conditionalFormatting>
  <conditionalFormatting sqref="F92">
    <cfRule type="cellIs" dxfId="56" priority="46" stopIfTrue="1" operator="equal">
      <formula>"E7"</formula>
    </cfRule>
    <cfRule type="cellIs" dxfId="55" priority="47" stopIfTrue="1" operator="equal">
      <formula>"E7A"</formula>
    </cfRule>
  </conditionalFormatting>
  <conditionalFormatting sqref="B85">
    <cfRule type="expression" dxfId="54" priority="45">
      <formula>$B85="A"</formula>
    </cfRule>
  </conditionalFormatting>
  <conditionalFormatting sqref="F85">
    <cfRule type="cellIs" dxfId="53" priority="43" stopIfTrue="1" operator="equal">
      <formula>"E7"</formula>
    </cfRule>
    <cfRule type="cellIs" dxfId="52" priority="44" stopIfTrue="1" operator="equal">
      <formula>"E7A"</formula>
    </cfRule>
  </conditionalFormatting>
  <conditionalFormatting sqref="F89">
    <cfRule type="cellIs" dxfId="51" priority="41" stopIfTrue="1" operator="equal">
      <formula>"E7"</formula>
    </cfRule>
    <cfRule type="cellIs" dxfId="50" priority="42" stopIfTrue="1" operator="equal">
      <formula>"E7A"</formula>
    </cfRule>
  </conditionalFormatting>
  <conditionalFormatting sqref="F90">
    <cfRule type="cellIs" dxfId="49" priority="39" stopIfTrue="1" operator="equal">
      <formula>"E7"</formula>
    </cfRule>
    <cfRule type="cellIs" dxfId="48" priority="40" stopIfTrue="1" operator="equal">
      <formula>"E7A"</formula>
    </cfRule>
  </conditionalFormatting>
  <conditionalFormatting sqref="F91">
    <cfRule type="cellIs" dxfId="47" priority="37" stopIfTrue="1" operator="equal">
      <formula>"E7"</formula>
    </cfRule>
    <cfRule type="cellIs" dxfId="46" priority="38" stopIfTrue="1" operator="equal">
      <formula>"E7A"</formula>
    </cfRule>
  </conditionalFormatting>
  <conditionalFormatting sqref="B86:B91">
    <cfRule type="expression" dxfId="45" priority="36">
      <formula>$B86="A"</formula>
    </cfRule>
  </conditionalFormatting>
  <conditionalFormatting sqref="F86">
    <cfRule type="cellIs" dxfId="44" priority="34" stopIfTrue="1" operator="equal">
      <formula>"E7"</formula>
    </cfRule>
    <cfRule type="cellIs" dxfId="43" priority="35" stopIfTrue="1" operator="equal">
      <formula>"E7A"</formula>
    </cfRule>
  </conditionalFormatting>
  <conditionalFormatting sqref="F87">
    <cfRule type="cellIs" dxfId="42" priority="32" stopIfTrue="1" operator="equal">
      <formula>"E7"</formula>
    </cfRule>
    <cfRule type="cellIs" dxfId="41" priority="33" stopIfTrue="1" operator="equal">
      <formula>"E7A"</formula>
    </cfRule>
  </conditionalFormatting>
  <conditionalFormatting sqref="F88">
    <cfRule type="cellIs" dxfId="40" priority="30" stopIfTrue="1" operator="equal">
      <formula>"E7"</formula>
    </cfRule>
    <cfRule type="cellIs" dxfId="39" priority="31" stopIfTrue="1" operator="equal">
      <formula>"E7A"</formula>
    </cfRule>
  </conditionalFormatting>
  <conditionalFormatting sqref="F73">
    <cfRule type="cellIs" dxfId="38" priority="28" stopIfTrue="1" operator="equal">
      <formula>"E7"</formula>
    </cfRule>
    <cfRule type="cellIs" dxfId="37" priority="29" stopIfTrue="1" operator="equal">
      <formula>"E7A"</formula>
    </cfRule>
  </conditionalFormatting>
  <conditionalFormatting sqref="F74">
    <cfRule type="cellIs" dxfId="36" priority="26" stopIfTrue="1" operator="equal">
      <formula>"E7"</formula>
    </cfRule>
    <cfRule type="cellIs" dxfId="35" priority="27" stopIfTrue="1" operator="equal">
      <formula>"E7A"</formula>
    </cfRule>
  </conditionalFormatting>
  <conditionalFormatting sqref="B73:B74">
    <cfRule type="expression" dxfId="34" priority="25">
      <formula>$B73="A"</formula>
    </cfRule>
  </conditionalFormatting>
  <conditionalFormatting sqref="B75">
    <cfRule type="expression" dxfId="33" priority="24">
      <formula>$B75="A"</formula>
    </cfRule>
  </conditionalFormatting>
  <conditionalFormatting sqref="F75">
    <cfRule type="cellIs" dxfId="32" priority="22" stopIfTrue="1" operator="equal">
      <formula>"E7"</formula>
    </cfRule>
    <cfRule type="cellIs" dxfId="31" priority="23" stopIfTrue="1" operator="equal">
      <formula>"E7A"</formula>
    </cfRule>
  </conditionalFormatting>
  <conditionalFormatting sqref="F79">
    <cfRule type="cellIs" dxfId="30" priority="20" stopIfTrue="1" operator="equal">
      <formula>"E7"</formula>
    </cfRule>
    <cfRule type="cellIs" dxfId="29" priority="21" stopIfTrue="1" operator="equal">
      <formula>"E7A"</formula>
    </cfRule>
  </conditionalFormatting>
  <conditionalFormatting sqref="F80">
    <cfRule type="cellIs" dxfId="28" priority="18" stopIfTrue="1" operator="equal">
      <formula>"E7"</formula>
    </cfRule>
    <cfRule type="cellIs" dxfId="27" priority="19" stopIfTrue="1" operator="equal">
      <formula>"E7A"</formula>
    </cfRule>
  </conditionalFormatting>
  <conditionalFormatting sqref="B76:B80">
    <cfRule type="expression" dxfId="26" priority="17">
      <formula>$B76="A"</formula>
    </cfRule>
  </conditionalFormatting>
  <conditionalFormatting sqref="F76">
    <cfRule type="cellIs" dxfId="25" priority="15" stopIfTrue="1" operator="equal">
      <formula>"E7"</formula>
    </cfRule>
    <cfRule type="cellIs" dxfId="24" priority="16" stopIfTrue="1" operator="equal">
      <formula>"E7A"</formula>
    </cfRule>
  </conditionalFormatting>
  <conditionalFormatting sqref="F77">
    <cfRule type="cellIs" dxfId="23" priority="13" stopIfTrue="1" operator="equal">
      <formula>"E7"</formula>
    </cfRule>
    <cfRule type="cellIs" dxfId="22" priority="14" stopIfTrue="1" operator="equal">
      <formula>"E7A"</formula>
    </cfRule>
  </conditionalFormatting>
  <conditionalFormatting sqref="F78">
    <cfRule type="cellIs" dxfId="21" priority="11" stopIfTrue="1" operator="equal">
      <formula>"E7"</formula>
    </cfRule>
    <cfRule type="cellIs" dxfId="20" priority="12" stopIfTrue="1" operator="equal">
      <formula>"E7A"</formula>
    </cfRule>
  </conditionalFormatting>
  <conditionalFormatting sqref="H1:DL1 DN1:DP1">
    <cfRule type="duplicateValues" dxfId="19" priority="268"/>
  </conditionalFormatting>
  <conditionalFormatting sqref="I4:DL4 DN4:DP4">
    <cfRule type="duplicateValues" dxfId="18" priority="269"/>
  </conditionalFormatting>
  <conditionalFormatting sqref="DM6">
    <cfRule type="expression" dxfId="17" priority="6">
      <formula>DM298=0</formula>
    </cfRule>
  </conditionalFormatting>
  <conditionalFormatting sqref="DM1">
    <cfRule type="duplicateValues" dxfId="16" priority="7"/>
  </conditionalFormatting>
  <conditionalFormatting sqref="DM4">
    <cfRule type="duplicateValues" dxfId="15" priority="8"/>
  </conditionalFormatting>
  <conditionalFormatting sqref="F102">
    <cfRule type="cellIs" dxfId="14" priority="4" stopIfTrue="1" operator="equal">
      <formula>"E7"</formula>
    </cfRule>
    <cfRule type="cellIs" dxfId="13" priority="5" stopIfTrue="1" operator="equal">
      <formula>"E7A"</formula>
    </cfRule>
  </conditionalFormatting>
  <conditionalFormatting sqref="B101:B102">
    <cfRule type="expression" dxfId="12" priority="3">
      <formula>$B101="A"</formula>
    </cfRule>
  </conditionalFormatting>
  <conditionalFormatting sqref="F101">
    <cfRule type="cellIs" dxfId="11" priority="1" stopIfTrue="1" operator="equal">
      <formula>"E7"</formula>
    </cfRule>
    <cfRule type="cellIs" dxfId="10" priority="2" stopIfTrue="1" operator="equal">
      <formula>"E7A"</formula>
    </cfRule>
  </conditionalFormatting>
  <conditionalFormatting sqref="H6">
    <cfRule type="expression" dxfId="9" priority="329">
      <formula>H$299&gt;0</formula>
    </cfRule>
    <cfRule type="duplicateValues" dxfId="8" priority="330"/>
  </conditionalFormatting>
  <conditionalFormatting sqref="FF6:FI6">
    <cfRule type="expression" dxfId="7" priority="331">
      <formula>FF$299&gt;0</formula>
    </cfRule>
    <cfRule type="duplicateValues" dxfId="6" priority="332"/>
  </conditionalFormatting>
  <conditionalFormatting sqref="I6:DL6 DN6:DP6">
    <cfRule type="expression" dxfId="5" priority="333">
      <formula>I$299&gt;0</formula>
    </cfRule>
    <cfRule type="duplicateValues" dxfId="4" priority="334"/>
  </conditionalFormatting>
  <conditionalFormatting sqref="DQ6:FE6 FJ6:FO6">
    <cfRule type="expression" dxfId="3" priority="337">
      <formula>DQ$299&gt;0</formula>
    </cfRule>
    <cfRule type="duplicateValues" dxfId="2" priority="338"/>
  </conditionalFormatting>
  <conditionalFormatting sqref="DM6">
    <cfRule type="expression" dxfId="1" priority="341">
      <formula>DM$299&gt;0</formula>
    </cfRule>
    <cfRule type="duplicateValues" dxfId="0" priority="342"/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2"/>
  <sheetViews>
    <sheetView topLeftCell="B1" workbookViewId="0">
      <selection activeCell="B13" sqref="B13:E13"/>
    </sheetView>
  </sheetViews>
  <sheetFormatPr defaultRowHeight="13.8"/>
  <cols>
    <col min="1" max="1" width="12.44140625" style="57" customWidth="1"/>
    <col min="2" max="2" width="34.33203125" style="57" customWidth="1"/>
    <col min="3" max="3" width="21" style="57" customWidth="1"/>
    <col min="4" max="4" width="8.88671875" style="57"/>
    <col min="5" max="5" width="8.5546875" style="57" customWidth="1"/>
    <col min="6" max="16384" width="8.88671875" style="57"/>
  </cols>
  <sheetData>
    <row r="1" spans="1:19" ht="27.6">
      <c r="F1" s="59" t="s">
        <v>42</v>
      </c>
      <c r="G1" s="59"/>
      <c r="H1" s="59"/>
      <c r="I1" s="59"/>
      <c r="J1" s="59"/>
      <c r="K1" s="59"/>
      <c r="L1" s="59" t="s">
        <v>43</v>
      </c>
      <c r="M1" s="60" t="s">
        <v>44</v>
      </c>
      <c r="N1" s="61" t="s">
        <v>45</v>
      </c>
      <c r="O1" s="61" t="s">
        <v>46</v>
      </c>
      <c r="P1" s="61" t="s">
        <v>48</v>
      </c>
      <c r="Q1" s="61" t="s">
        <v>47</v>
      </c>
      <c r="R1" s="61" t="s">
        <v>49</v>
      </c>
    </row>
    <row r="2" spans="1:19">
      <c r="F2" s="49">
        <v>0.17699999999999999</v>
      </c>
      <c r="G2" s="49"/>
      <c r="H2" s="49"/>
      <c r="I2" s="49"/>
      <c r="J2" s="49"/>
      <c r="K2" s="49"/>
      <c r="L2" s="49">
        <v>2.1999999999999999E-2</v>
      </c>
      <c r="M2" s="50">
        <v>1.4999999999999999E-2</v>
      </c>
      <c r="N2" s="51">
        <v>4.3999999999999997E-2</v>
      </c>
      <c r="O2" s="51">
        <v>2E-3</v>
      </c>
      <c r="P2" s="51">
        <v>8.0000000000000002E-3</v>
      </c>
      <c r="Q2" s="51">
        <v>8.9999999999999993E-3</v>
      </c>
      <c r="R2" s="51">
        <v>4.0000000000000001E-3</v>
      </c>
      <c r="S2" s="20" t="s">
        <v>76</v>
      </c>
    </row>
    <row r="3" spans="1:19">
      <c r="F3" s="49">
        <v>0.11899999999999999</v>
      </c>
      <c r="G3" s="49"/>
      <c r="H3" s="49"/>
      <c r="I3" s="49"/>
      <c r="J3" s="49"/>
      <c r="K3" s="49"/>
      <c r="L3" s="49">
        <v>1.4E-2</v>
      </c>
      <c r="M3" s="50">
        <v>1.6E-2</v>
      </c>
      <c r="N3" s="51">
        <v>1.7000000000000001E-2</v>
      </c>
      <c r="O3" s="51">
        <v>2E-3</v>
      </c>
      <c r="P3" s="51">
        <v>4.0000000000000001E-3</v>
      </c>
      <c r="Q3" s="51">
        <v>3.0000000000000001E-3</v>
      </c>
      <c r="R3" s="51">
        <v>3.0000000000000001E-3</v>
      </c>
      <c r="S3" s="52">
        <v>30.7</v>
      </c>
    </row>
    <row r="4" spans="1:19">
      <c r="F4" s="54">
        <v>0.115</v>
      </c>
      <c r="G4" s="54"/>
      <c r="H4" s="54"/>
      <c r="I4" s="54"/>
      <c r="J4" s="54"/>
      <c r="K4" s="54"/>
      <c r="L4" s="54">
        <v>1.6E-2</v>
      </c>
      <c r="M4" s="55">
        <v>0.02</v>
      </c>
      <c r="N4" s="56">
        <v>2.8000000000000001E-2</v>
      </c>
      <c r="O4" s="56">
        <v>2E-3</v>
      </c>
      <c r="P4" s="56">
        <v>3.0000000000000001E-3</v>
      </c>
      <c r="Q4" s="56">
        <v>6.0000000000000001E-3</v>
      </c>
      <c r="R4" s="56">
        <v>4.0000000000000001E-3</v>
      </c>
      <c r="S4" s="53">
        <v>30.8</v>
      </c>
    </row>
    <row r="5" spans="1:19" ht="14.4" thickBot="1">
      <c r="F5" s="54">
        <v>0.14599999999999999</v>
      </c>
      <c r="G5" s="54"/>
      <c r="H5" s="54"/>
      <c r="I5" s="54"/>
      <c r="J5" s="54"/>
      <c r="K5" s="54"/>
      <c r="L5" s="54">
        <v>2.5000000000000001E-2</v>
      </c>
      <c r="M5" s="55">
        <v>0.01</v>
      </c>
      <c r="N5" s="56">
        <v>1.6E-2</v>
      </c>
      <c r="O5" s="56">
        <v>3.0000000000000001E-3</v>
      </c>
      <c r="P5" s="51">
        <v>1E-3</v>
      </c>
      <c r="Q5" s="51">
        <v>3.0000000000000001E-3</v>
      </c>
      <c r="R5" s="51">
        <v>4.0000000000000001E-3</v>
      </c>
      <c r="S5" s="52">
        <v>30.9</v>
      </c>
    </row>
    <row r="6" spans="1:19" s="62" customFormat="1" ht="28.2" thickBot="1">
      <c r="A6" s="65" t="s">
        <v>77</v>
      </c>
      <c r="B6" s="66" t="s">
        <v>78</v>
      </c>
      <c r="C6" s="66" t="s">
        <v>79</v>
      </c>
      <c r="D6" s="66" t="s">
        <v>80</v>
      </c>
      <c r="E6" s="67" t="s">
        <v>65</v>
      </c>
      <c r="F6" s="90" t="s">
        <v>81</v>
      </c>
      <c r="G6" s="90" t="s">
        <v>68</v>
      </c>
      <c r="H6" s="90" t="s">
        <v>50</v>
      </c>
      <c r="I6" s="90" t="s">
        <v>51</v>
      </c>
      <c r="J6" s="90" t="s">
        <v>82</v>
      </c>
      <c r="K6" s="91" t="s">
        <v>86</v>
      </c>
      <c r="L6" s="92" t="s">
        <v>83</v>
      </c>
      <c r="M6" s="93" t="s">
        <v>44</v>
      </c>
      <c r="N6" s="94" t="s">
        <v>84</v>
      </c>
      <c r="O6" s="95" t="s">
        <v>85</v>
      </c>
    </row>
    <row r="7" spans="1:19">
      <c r="A7" s="70">
        <v>5</v>
      </c>
      <c r="B7" s="71" t="s">
        <v>70</v>
      </c>
      <c r="C7" s="71" t="s">
        <v>73</v>
      </c>
      <c r="D7" s="82">
        <v>740</v>
      </c>
      <c r="E7" s="86">
        <v>208</v>
      </c>
      <c r="F7" s="72">
        <v>40</v>
      </c>
      <c r="G7" s="72">
        <v>23</v>
      </c>
      <c r="H7" s="72">
        <v>40</v>
      </c>
      <c r="I7" s="72">
        <v>20</v>
      </c>
      <c r="J7" s="72">
        <v>10</v>
      </c>
      <c r="K7" s="72">
        <v>131</v>
      </c>
      <c r="L7" s="72">
        <v>15</v>
      </c>
      <c r="M7" s="72">
        <v>10</v>
      </c>
      <c r="N7" s="72">
        <v>40</v>
      </c>
      <c r="O7" s="73">
        <v>10</v>
      </c>
      <c r="P7" s="62">
        <f t="shared" ref="P7:P21" si="0">SUM(L7:O7,F7:J7)</f>
        <v>208</v>
      </c>
      <c r="Q7" s="62"/>
      <c r="R7" s="62"/>
    </row>
    <row r="8" spans="1:19">
      <c r="A8" s="68">
        <v>5</v>
      </c>
      <c r="B8" s="58" t="s">
        <v>20</v>
      </c>
      <c r="C8" s="63" t="s">
        <v>40</v>
      </c>
      <c r="D8" s="83">
        <v>380</v>
      </c>
      <c r="E8" s="87">
        <v>107</v>
      </c>
      <c r="F8" s="64">
        <v>20</v>
      </c>
      <c r="G8" s="64">
        <v>17</v>
      </c>
      <c r="H8" s="64">
        <v>20</v>
      </c>
      <c r="I8" s="64">
        <v>10</v>
      </c>
      <c r="J8" s="64">
        <v>5</v>
      </c>
      <c r="K8" s="64">
        <v>67</v>
      </c>
      <c r="L8" s="64">
        <v>5</v>
      </c>
      <c r="M8" s="64">
        <v>5</v>
      </c>
      <c r="N8" s="64">
        <v>20</v>
      </c>
      <c r="O8" s="69">
        <v>5</v>
      </c>
      <c r="P8" s="62">
        <f t="shared" si="0"/>
        <v>107</v>
      </c>
      <c r="Q8" s="62"/>
      <c r="R8" s="62"/>
    </row>
    <row r="9" spans="1:19">
      <c r="A9" s="76">
        <v>10</v>
      </c>
      <c r="B9" s="74" t="s">
        <v>11</v>
      </c>
      <c r="C9" s="74" t="s">
        <v>30</v>
      </c>
      <c r="D9" s="84">
        <v>400</v>
      </c>
      <c r="E9" s="88">
        <v>113</v>
      </c>
      <c r="F9" s="75">
        <v>20</v>
      </c>
      <c r="G9" s="75">
        <v>20</v>
      </c>
      <c r="H9" s="75">
        <v>20</v>
      </c>
      <c r="I9" s="75">
        <v>10</v>
      </c>
      <c r="J9" s="75"/>
      <c r="K9" s="75">
        <v>71</v>
      </c>
      <c r="L9" s="75">
        <v>10</v>
      </c>
      <c r="M9" s="75">
        <v>5</v>
      </c>
      <c r="N9" s="75">
        <v>20</v>
      </c>
      <c r="O9" s="77">
        <v>8</v>
      </c>
      <c r="P9" s="62">
        <f t="shared" si="0"/>
        <v>113</v>
      </c>
      <c r="Q9" s="62"/>
      <c r="R9" s="62"/>
    </row>
    <row r="10" spans="1:19">
      <c r="A10" s="68">
        <v>10</v>
      </c>
      <c r="B10" s="58" t="s">
        <v>12</v>
      </c>
      <c r="C10" s="63" t="s">
        <v>31</v>
      </c>
      <c r="D10" s="83">
        <v>1030</v>
      </c>
      <c r="E10" s="87">
        <v>290</v>
      </c>
      <c r="F10" s="64">
        <v>40</v>
      </c>
      <c r="G10" s="64">
        <v>40</v>
      </c>
      <c r="H10" s="64">
        <v>50</v>
      </c>
      <c r="I10" s="64">
        <v>40</v>
      </c>
      <c r="J10" s="64">
        <v>10</v>
      </c>
      <c r="K10" s="64">
        <v>180</v>
      </c>
      <c r="L10" s="64">
        <v>25</v>
      </c>
      <c r="M10" s="64">
        <v>15</v>
      </c>
      <c r="N10" s="64">
        <v>55</v>
      </c>
      <c r="O10" s="69">
        <v>15</v>
      </c>
      <c r="P10" s="62">
        <f t="shared" si="0"/>
        <v>290</v>
      </c>
      <c r="Q10" s="62"/>
      <c r="R10" s="62"/>
    </row>
    <row r="11" spans="1:19">
      <c r="A11" s="76">
        <v>10</v>
      </c>
      <c r="B11" s="74" t="s">
        <v>13</v>
      </c>
      <c r="C11" s="74" t="s">
        <v>32</v>
      </c>
      <c r="D11" s="84">
        <v>1720</v>
      </c>
      <c r="E11" s="88">
        <v>485</v>
      </c>
      <c r="F11" s="75">
        <v>70</v>
      </c>
      <c r="G11" s="75">
        <v>70</v>
      </c>
      <c r="H11" s="75">
        <v>80</v>
      </c>
      <c r="I11" s="75">
        <v>60</v>
      </c>
      <c r="J11" s="75">
        <v>20</v>
      </c>
      <c r="K11" s="75">
        <v>305</v>
      </c>
      <c r="L11" s="75">
        <v>40</v>
      </c>
      <c r="M11" s="75">
        <v>30</v>
      </c>
      <c r="N11" s="75">
        <v>95</v>
      </c>
      <c r="O11" s="77">
        <v>20</v>
      </c>
      <c r="P11" s="62">
        <f t="shared" si="0"/>
        <v>485</v>
      </c>
      <c r="Q11" s="62"/>
      <c r="R11" s="62"/>
    </row>
    <row r="12" spans="1:19">
      <c r="A12" s="68">
        <v>5</v>
      </c>
      <c r="B12" s="58" t="s">
        <v>17</v>
      </c>
      <c r="C12" s="63" t="s">
        <v>37</v>
      </c>
      <c r="D12" s="83">
        <v>1480</v>
      </c>
      <c r="E12" s="87">
        <v>265</v>
      </c>
      <c r="F12" s="64">
        <v>50</v>
      </c>
      <c r="G12" s="64">
        <v>40</v>
      </c>
      <c r="H12" s="64">
        <v>50</v>
      </c>
      <c r="I12" s="64">
        <v>30</v>
      </c>
      <c r="J12" s="64">
        <v>5</v>
      </c>
      <c r="K12" s="64">
        <v>175</v>
      </c>
      <c r="L12" s="64">
        <v>20</v>
      </c>
      <c r="M12" s="64">
        <v>25</v>
      </c>
      <c r="N12" s="64">
        <v>35</v>
      </c>
      <c r="O12" s="69">
        <v>10</v>
      </c>
      <c r="P12" s="62">
        <f t="shared" si="0"/>
        <v>265</v>
      </c>
      <c r="Q12" s="62"/>
      <c r="R12" s="62"/>
    </row>
    <row r="13" spans="1:19">
      <c r="A13" s="76">
        <v>10</v>
      </c>
      <c r="B13" s="74" t="s">
        <v>6</v>
      </c>
      <c r="C13" s="74" t="s">
        <v>25</v>
      </c>
      <c r="D13" s="84">
        <v>1200</v>
      </c>
      <c r="E13" s="88">
        <v>220</v>
      </c>
      <c r="F13" s="75">
        <v>40</v>
      </c>
      <c r="G13" s="75">
        <v>30</v>
      </c>
      <c r="H13" s="75">
        <v>40</v>
      </c>
      <c r="I13" s="75">
        <v>20</v>
      </c>
      <c r="J13" s="75">
        <v>10</v>
      </c>
      <c r="K13" s="75">
        <v>140</v>
      </c>
      <c r="L13" s="75">
        <v>20</v>
      </c>
      <c r="M13" s="75">
        <v>20</v>
      </c>
      <c r="N13" s="75">
        <v>30</v>
      </c>
      <c r="O13" s="77">
        <v>10</v>
      </c>
      <c r="P13" s="62">
        <f t="shared" si="0"/>
        <v>220</v>
      </c>
      <c r="Q13" s="62"/>
      <c r="R13" s="62"/>
    </row>
    <row r="14" spans="1:19">
      <c r="A14" s="68">
        <v>10</v>
      </c>
      <c r="B14" s="58" t="s">
        <v>7</v>
      </c>
      <c r="C14" s="63" t="s">
        <v>26</v>
      </c>
      <c r="D14" s="83">
        <v>7540</v>
      </c>
      <c r="E14" s="87">
        <v>1340</v>
      </c>
      <c r="F14" s="64">
        <v>200</v>
      </c>
      <c r="G14" s="64">
        <v>200</v>
      </c>
      <c r="H14" s="64">
        <v>300</v>
      </c>
      <c r="I14" s="64">
        <v>160</v>
      </c>
      <c r="J14" s="64">
        <v>40</v>
      </c>
      <c r="K14" s="64">
        <v>900</v>
      </c>
      <c r="L14" s="64">
        <v>100</v>
      </c>
      <c r="M14" s="64">
        <v>120</v>
      </c>
      <c r="N14" s="64">
        <v>180</v>
      </c>
      <c r="O14" s="69">
        <v>40</v>
      </c>
      <c r="P14" s="62">
        <f t="shared" si="0"/>
        <v>1340</v>
      </c>
      <c r="Q14" s="62"/>
      <c r="R14" s="62"/>
    </row>
    <row r="15" spans="1:19">
      <c r="A15" s="76">
        <v>5</v>
      </c>
      <c r="B15" s="74" t="s">
        <v>8</v>
      </c>
      <c r="C15" s="74" t="s">
        <v>27</v>
      </c>
      <c r="D15" s="84">
        <v>760</v>
      </c>
      <c r="E15" s="88">
        <v>145</v>
      </c>
      <c r="F15" s="75">
        <v>20</v>
      </c>
      <c r="G15" s="75">
        <v>20</v>
      </c>
      <c r="H15" s="75">
        <v>20</v>
      </c>
      <c r="I15" s="75">
        <v>20</v>
      </c>
      <c r="J15" s="75">
        <v>5</v>
      </c>
      <c r="K15" s="75">
        <v>87</v>
      </c>
      <c r="L15" s="75">
        <v>10</v>
      </c>
      <c r="M15" s="75">
        <v>15</v>
      </c>
      <c r="N15" s="75">
        <v>25</v>
      </c>
      <c r="O15" s="77">
        <v>10</v>
      </c>
      <c r="P15" s="62">
        <f t="shared" si="0"/>
        <v>145</v>
      </c>
      <c r="Q15" s="62"/>
      <c r="R15" s="62"/>
    </row>
    <row r="16" spans="1:19">
      <c r="A16" s="68">
        <v>10</v>
      </c>
      <c r="B16" s="58" t="s">
        <v>71</v>
      </c>
      <c r="C16" s="63" t="s">
        <v>74</v>
      </c>
      <c r="D16" s="83">
        <v>140</v>
      </c>
      <c r="E16" s="87">
        <v>28</v>
      </c>
      <c r="F16" s="64">
        <v>5</v>
      </c>
      <c r="G16" s="64">
        <v>5</v>
      </c>
      <c r="H16" s="64">
        <v>5</v>
      </c>
      <c r="I16" s="64"/>
      <c r="J16" s="64"/>
      <c r="K16" s="64">
        <v>16</v>
      </c>
      <c r="L16" s="64">
        <v>3</v>
      </c>
      <c r="M16" s="64">
        <v>3</v>
      </c>
      <c r="N16" s="64">
        <v>5</v>
      </c>
      <c r="O16" s="69">
        <v>2</v>
      </c>
      <c r="P16" s="62">
        <f t="shared" si="0"/>
        <v>28</v>
      </c>
      <c r="Q16" s="62"/>
      <c r="R16" s="62"/>
    </row>
    <row r="17" spans="1:18">
      <c r="A17" s="76">
        <v>5</v>
      </c>
      <c r="B17" s="74" t="s">
        <v>16</v>
      </c>
      <c r="C17" s="74" t="s">
        <v>35</v>
      </c>
      <c r="D17" s="84">
        <v>350</v>
      </c>
      <c r="E17" s="88">
        <v>68</v>
      </c>
      <c r="F17" s="75">
        <v>10</v>
      </c>
      <c r="G17" s="75">
        <v>10</v>
      </c>
      <c r="H17" s="75">
        <v>10</v>
      </c>
      <c r="I17" s="75">
        <v>10</v>
      </c>
      <c r="J17" s="75"/>
      <c r="K17" s="75">
        <v>40</v>
      </c>
      <c r="L17" s="75">
        <v>5</v>
      </c>
      <c r="M17" s="75">
        <v>6</v>
      </c>
      <c r="N17" s="75">
        <v>12</v>
      </c>
      <c r="O17" s="77">
        <v>5</v>
      </c>
      <c r="P17" s="62">
        <f t="shared" si="0"/>
        <v>68</v>
      </c>
      <c r="Q17" s="62"/>
      <c r="R17" s="62"/>
    </row>
    <row r="18" spans="1:18">
      <c r="A18" s="68">
        <v>10</v>
      </c>
      <c r="B18" s="58" t="s">
        <v>72</v>
      </c>
      <c r="C18" s="63" t="s">
        <v>75</v>
      </c>
      <c r="D18" s="83">
        <v>180</v>
      </c>
      <c r="E18" s="87">
        <v>35</v>
      </c>
      <c r="F18" s="64">
        <v>10</v>
      </c>
      <c r="G18" s="64"/>
      <c r="H18" s="64">
        <v>10</v>
      </c>
      <c r="I18" s="64"/>
      <c r="J18" s="64"/>
      <c r="K18" s="64">
        <v>21</v>
      </c>
      <c r="L18" s="64">
        <v>5</v>
      </c>
      <c r="M18" s="64"/>
      <c r="N18" s="64">
        <v>5</v>
      </c>
      <c r="O18" s="69">
        <v>5</v>
      </c>
      <c r="P18" s="62">
        <f t="shared" si="0"/>
        <v>35</v>
      </c>
      <c r="Q18" s="62"/>
      <c r="R18" s="62"/>
    </row>
    <row r="19" spans="1:18">
      <c r="A19" s="76">
        <v>10</v>
      </c>
      <c r="B19" s="74" t="s">
        <v>2</v>
      </c>
      <c r="C19" s="74" t="s">
        <v>21</v>
      </c>
      <c r="D19" s="84">
        <v>760</v>
      </c>
      <c r="E19" s="88">
        <v>145</v>
      </c>
      <c r="F19" s="75">
        <v>20</v>
      </c>
      <c r="G19" s="75">
        <v>20</v>
      </c>
      <c r="H19" s="75">
        <v>20</v>
      </c>
      <c r="I19" s="75">
        <v>10</v>
      </c>
      <c r="J19" s="75">
        <v>10</v>
      </c>
      <c r="K19" s="75">
        <v>87</v>
      </c>
      <c r="L19" s="75">
        <v>12</v>
      </c>
      <c r="M19" s="75">
        <v>20</v>
      </c>
      <c r="N19" s="75">
        <v>25</v>
      </c>
      <c r="O19" s="77">
        <v>8</v>
      </c>
      <c r="P19" s="62">
        <f t="shared" si="0"/>
        <v>145</v>
      </c>
      <c r="Q19" s="62"/>
      <c r="R19" s="62"/>
    </row>
    <row r="20" spans="1:18">
      <c r="A20" s="68">
        <v>10</v>
      </c>
      <c r="B20" s="58" t="s">
        <v>3</v>
      </c>
      <c r="C20" s="63" t="s">
        <v>22</v>
      </c>
      <c r="D20" s="83">
        <v>1900</v>
      </c>
      <c r="E20" s="87">
        <v>375</v>
      </c>
      <c r="F20" s="64">
        <v>50</v>
      </c>
      <c r="G20" s="64">
        <v>50</v>
      </c>
      <c r="H20" s="64">
        <v>60</v>
      </c>
      <c r="I20" s="64">
        <v>40</v>
      </c>
      <c r="J20" s="64">
        <v>20</v>
      </c>
      <c r="K20" s="64">
        <v>220</v>
      </c>
      <c r="L20" s="64">
        <v>30</v>
      </c>
      <c r="M20" s="64">
        <v>40</v>
      </c>
      <c r="N20" s="64">
        <v>65</v>
      </c>
      <c r="O20" s="69">
        <v>20</v>
      </c>
      <c r="P20" s="62">
        <f t="shared" si="0"/>
        <v>375</v>
      </c>
      <c r="Q20" s="62"/>
      <c r="R20" s="62"/>
    </row>
    <row r="21" spans="1:18" ht="14.4" thickBot="1">
      <c r="A21" s="78">
        <v>10</v>
      </c>
      <c r="B21" s="79" t="s">
        <v>9</v>
      </c>
      <c r="C21" s="79" t="s">
        <v>28</v>
      </c>
      <c r="D21" s="85">
        <v>720</v>
      </c>
      <c r="E21" s="89">
        <v>141</v>
      </c>
      <c r="F21" s="80">
        <v>20</v>
      </c>
      <c r="G21" s="80">
        <v>20</v>
      </c>
      <c r="H21" s="80">
        <v>20</v>
      </c>
      <c r="I21" s="80">
        <v>10</v>
      </c>
      <c r="J21" s="80">
        <v>10</v>
      </c>
      <c r="K21" s="80">
        <v>83</v>
      </c>
      <c r="L21" s="80">
        <v>15</v>
      </c>
      <c r="M21" s="80">
        <v>15</v>
      </c>
      <c r="N21" s="80">
        <v>23</v>
      </c>
      <c r="O21" s="81">
        <v>8</v>
      </c>
      <c r="P21" s="62">
        <f t="shared" si="0"/>
        <v>141</v>
      </c>
      <c r="Q21" s="62"/>
      <c r="R21" s="62"/>
    </row>
    <row r="22" spans="1:18">
      <c r="D22" s="57">
        <f t="shared" ref="D22:E22" si="1">SUM(D7:D21)</f>
        <v>19300</v>
      </c>
      <c r="E22" s="57">
        <f t="shared" si="1"/>
        <v>3965</v>
      </c>
      <c r="F22" s="57">
        <f>SUM(F7:F21)</f>
        <v>615</v>
      </c>
      <c r="G22" s="57">
        <f t="shared" ref="G22:O22" si="2">SUM(G7:G21)</f>
        <v>565</v>
      </c>
      <c r="H22" s="57">
        <f t="shared" si="2"/>
        <v>745</v>
      </c>
      <c r="I22" s="57">
        <f t="shared" si="2"/>
        <v>440</v>
      </c>
      <c r="J22" s="57">
        <f t="shared" si="2"/>
        <v>145</v>
      </c>
      <c r="K22" s="57">
        <f t="shared" si="2"/>
        <v>2523</v>
      </c>
      <c r="L22" s="57">
        <f t="shared" si="2"/>
        <v>315</v>
      </c>
      <c r="M22" s="57">
        <f t="shared" si="2"/>
        <v>329</v>
      </c>
      <c r="N22" s="57">
        <f t="shared" si="2"/>
        <v>635</v>
      </c>
      <c r="O22" s="57">
        <f t="shared" si="2"/>
        <v>176</v>
      </c>
      <c r="P22" s="62"/>
      <c r="Q22" s="62"/>
      <c r="R22" s="6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"/>
  <sheetViews>
    <sheetView zoomScale="90" zoomScaleNormal="90"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G15" sqref="G15"/>
    </sheetView>
  </sheetViews>
  <sheetFormatPr defaultRowHeight="13.8"/>
  <cols>
    <col min="1" max="1" width="12.77734375" style="22" bestFit="1" customWidth="1"/>
    <col min="2" max="2" width="11.21875" style="22" bestFit="1" customWidth="1"/>
    <col min="3" max="3" width="24.21875" style="22" customWidth="1"/>
    <col min="4" max="4" width="23.77734375" style="22" bestFit="1" customWidth="1"/>
    <col min="5" max="5" width="11.88671875" style="22" bestFit="1" customWidth="1"/>
    <col min="6" max="6" width="26" style="22" bestFit="1" customWidth="1"/>
    <col min="7" max="7" width="25.44140625" style="22" bestFit="1" customWidth="1"/>
    <col min="8" max="8" width="14" style="22" bestFit="1" customWidth="1"/>
    <col min="9" max="10" width="49" style="22" bestFit="1" customWidth="1"/>
    <col min="11" max="16384" width="8.88671875" style="22"/>
  </cols>
  <sheetData>
    <row r="1" spans="1:11">
      <c r="A1" s="294" t="s">
        <v>1006</v>
      </c>
      <c r="B1" s="294" t="s">
        <v>940</v>
      </c>
      <c r="C1" s="294" t="s">
        <v>941</v>
      </c>
      <c r="D1" s="294" t="s">
        <v>942</v>
      </c>
      <c r="E1" s="294" t="s">
        <v>943</v>
      </c>
      <c r="F1" s="294" t="s">
        <v>944</v>
      </c>
      <c r="G1" s="294" t="s">
        <v>945</v>
      </c>
      <c r="H1" s="294" t="s">
        <v>946</v>
      </c>
      <c r="I1" s="294" t="s">
        <v>947</v>
      </c>
      <c r="J1" s="294" t="s">
        <v>948</v>
      </c>
    </row>
    <row r="2" spans="1:11" ht="41.4">
      <c r="A2" s="296" t="s">
        <v>1015</v>
      </c>
      <c r="B2" s="295">
        <v>44249</v>
      </c>
      <c r="C2" s="296" t="s">
        <v>1274</v>
      </c>
      <c r="D2" s="296" t="s">
        <v>949</v>
      </c>
      <c r="E2" s="296">
        <v>400</v>
      </c>
      <c r="F2" s="296" t="s">
        <v>950</v>
      </c>
      <c r="G2" s="296" t="s">
        <v>999</v>
      </c>
      <c r="H2" s="340" t="s">
        <v>1273</v>
      </c>
      <c r="I2" s="296" t="s">
        <v>1093</v>
      </c>
      <c r="J2" s="296" t="s">
        <v>951</v>
      </c>
    </row>
    <row r="3" spans="1:11" hidden="1">
      <c r="A3" s="347" t="s">
        <v>1015</v>
      </c>
      <c r="B3" s="348">
        <v>44244</v>
      </c>
      <c r="C3" s="347" t="s">
        <v>952</v>
      </c>
      <c r="D3" s="346" t="s">
        <v>968</v>
      </c>
      <c r="E3" s="347">
        <v>100</v>
      </c>
      <c r="F3" s="347" t="s">
        <v>950</v>
      </c>
      <c r="G3" s="347"/>
      <c r="H3" s="347"/>
      <c r="I3" s="347" t="s">
        <v>953</v>
      </c>
      <c r="J3" s="346" t="s">
        <v>954</v>
      </c>
    </row>
    <row r="4" spans="1:11">
      <c r="A4" s="321" t="s">
        <v>1015</v>
      </c>
      <c r="B4" s="322">
        <v>44264</v>
      </c>
      <c r="C4" s="321" t="s">
        <v>955</v>
      </c>
      <c r="D4" s="321" t="s">
        <v>967</v>
      </c>
      <c r="E4" s="321">
        <v>40</v>
      </c>
      <c r="F4" s="321" t="s">
        <v>956</v>
      </c>
      <c r="G4" s="321" t="s">
        <v>998</v>
      </c>
      <c r="H4" s="321" t="s">
        <v>996</v>
      </c>
      <c r="I4" s="321" t="s">
        <v>957</v>
      </c>
      <c r="J4" s="321" t="s">
        <v>958</v>
      </c>
    </row>
    <row r="5" spans="1:11">
      <c r="A5" s="321" t="s">
        <v>1015</v>
      </c>
      <c r="B5" s="322">
        <v>44264</v>
      </c>
      <c r="C5" s="321" t="s">
        <v>955</v>
      </c>
      <c r="D5" s="321" t="s">
        <v>959</v>
      </c>
      <c r="E5" s="321">
        <v>40</v>
      </c>
      <c r="F5" s="321" t="s">
        <v>956</v>
      </c>
      <c r="G5" s="321" t="s">
        <v>995</v>
      </c>
      <c r="H5" s="321" t="s">
        <v>996</v>
      </c>
      <c r="I5" s="321" t="s">
        <v>957</v>
      </c>
      <c r="J5" s="321" t="s">
        <v>958</v>
      </c>
    </row>
    <row r="6" spans="1:11">
      <c r="A6" s="296" t="s">
        <v>1015</v>
      </c>
      <c r="B6" s="295">
        <v>44266</v>
      </c>
      <c r="C6" s="296" t="s">
        <v>1011</v>
      </c>
      <c r="D6" s="323" t="s">
        <v>1012</v>
      </c>
      <c r="E6" s="296">
        <v>35</v>
      </c>
      <c r="F6" s="296" t="s">
        <v>956</v>
      </c>
      <c r="G6" s="296"/>
      <c r="H6" s="296" t="s">
        <v>1110</v>
      </c>
      <c r="I6" s="296" t="s">
        <v>1013</v>
      </c>
      <c r="J6" s="296"/>
    </row>
    <row r="7" spans="1:11">
      <c r="A7" s="321" t="s">
        <v>1015</v>
      </c>
      <c r="B7" s="322">
        <v>44266</v>
      </c>
      <c r="C7" s="321" t="s">
        <v>1092</v>
      </c>
      <c r="D7" s="321" t="s">
        <v>959</v>
      </c>
      <c r="E7" s="321">
        <v>45</v>
      </c>
      <c r="F7" s="321" t="s">
        <v>956</v>
      </c>
      <c r="G7" s="321" t="s">
        <v>995</v>
      </c>
      <c r="H7" s="321" t="s">
        <v>1094</v>
      </c>
      <c r="I7" s="321" t="s">
        <v>1014</v>
      </c>
      <c r="J7" s="321"/>
    </row>
    <row r="8" spans="1:11">
      <c r="A8" s="321" t="s">
        <v>1015</v>
      </c>
      <c r="B8" s="322">
        <v>44272</v>
      </c>
      <c r="C8" s="321" t="s">
        <v>1120</v>
      </c>
      <c r="D8" s="321" t="s">
        <v>1111</v>
      </c>
      <c r="E8" s="321">
        <v>5</v>
      </c>
      <c r="F8" s="321" t="s">
        <v>956</v>
      </c>
      <c r="G8" s="321" t="s">
        <v>94</v>
      </c>
      <c r="H8" s="321" t="s">
        <v>1122</v>
      </c>
      <c r="I8" s="321" t="s">
        <v>1116</v>
      </c>
      <c r="J8" s="321"/>
    </row>
    <row r="9" spans="1:11" ht="27.6">
      <c r="A9" s="321" t="s">
        <v>1015</v>
      </c>
      <c r="B9" s="322">
        <v>44272</v>
      </c>
      <c r="C9" s="321" t="s">
        <v>1120</v>
      </c>
      <c r="D9" s="321" t="s">
        <v>1112</v>
      </c>
      <c r="E9" s="321">
        <v>20</v>
      </c>
      <c r="F9" s="321" t="s">
        <v>956</v>
      </c>
      <c r="G9" s="321" t="s">
        <v>1183</v>
      </c>
      <c r="H9" s="364" t="s">
        <v>1184</v>
      </c>
      <c r="I9" s="321" t="s">
        <v>1116</v>
      </c>
      <c r="J9" s="321"/>
    </row>
    <row r="10" spans="1:11">
      <c r="A10" s="321" t="s">
        <v>1015</v>
      </c>
      <c r="B10" s="322">
        <v>44272</v>
      </c>
      <c r="C10" s="321" t="s">
        <v>1120</v>
      </c>
      <c r="D10" s="321" t="s">
        <v>959</v>
      </c>
      <c r="E10" s="321">
        <v>30</v>
      </c>
      <c r="F10" s="321" t="s">
        <v>956</v>
      </c>
      <c r="G10" s="321" t="s">
        <v>995</v>
      </c>
      <c r="H10" s="321" t="s">
        <v>1121</v>
      </c>
      <c r="I10" s="321" t="s">
        <v>1117</v>
      </c>
      <c r="J10" s="321"/>
    </row>
    <row r="11" spans="1:11">
      <c r="A11" s="321" t="s">
        <v>1015</v>
      </c>
      <c r="B11" s="322">
        <v>44274</v>
      </c>
      <c r="C11" s="321" t="s">
        <v>1182</v>
      </c>
      <c r="D11" s="321" t="s">
        <v>1112</v>
      </c>
      <c r="E11" s="321">
        <v>20</v>
      </c>
      <c r="F11" s="321" t="s">
        <v>956</v>
      </c>
      <c r="G11" s="321" t="s">
        <v>998</v>
      </c>
      <c r="H11" s="321" t="s">
        <v>1186</v>
      </c>
      <c r="I11" s="321" t="s">
        <v>1118</v>
      </c>
      <c r="J11" s="321"/>
    </row>
    <row r="12" spans="1:11">
      <c r="A12" s="321" t="s">
        <v>1015</v>
      </c>
      <c r="B12" s="322">
        <v>44274</v>
      </c>
      <c r="C12" s="321" t="s">
        <v>1182</v>
      </c>
      <c r="D12" s="321" t="s">
        <v>949</v>
      </c>
      <c r="E12" s="321">
        <v>10</v>
      </c>
      <c r="F12" s="321" t="s">
        <v>956</v>
      </c>
      <c r="G12" s="321" t="s">
        <v>176</v>
      </c>
      <c r="H12" s="321" t="s">
        <v>1185</v>
      </c>
      <c r="I12" s="321" t="s">
        <v>1136</v>
      </c>
      <c r="J12" s="321"/>
    </row>
    <row r="13" spans="1:11">
      <c r="A13" s="321" t="s">
        <v>1015</v>
      </c>
      <c r="B13" s="322">
        <v>44274</v>
      </c>
      <c r="C13" s="321" t="s">
        <v>1182</v>
      </c>
      <c r="D13" s="321" t="s">
        <v>1113</v>
      </c>
      <c r="E13" s="321">
        <v>20</v>
      </c>
      <c r="F13" s="321" t="s">
        <v>1181</v>
      </c>
      <c r="G13" s="321" t="s">
        <v>1004</v>
      </c>
      <c r="H13" s="321" t="s">
        <v>1180</v>
      </c>
      <c r="I13" s="321" t="s">
        <v>1119</v>
      </c>
      <c r="J13" s="321"/>
    </row>
    <row r="14" spans="1:11" hidden="1">
      <c r="A14" s="347" t="s">
        <v>1015</v>
      </c>
      <c r="B14" s="348">
        <v>44279</v>
      </c>
      <c r="C14" s="347" t="s">
        <v>1126</v>
      </c>
      <c r="D14" s="346" t="s">
        <v>1138</v>
      </c>
      <c r="E14" s="347">
        <v>50</v>
      </c>
      <c r="F14" s="347" t="s">
        <v>950</v>
      </c>
      <c r="G14" s="347"/>
      <c r="H14" s="347"/>
      <c r="I14" s="347" t="s">
        <v>1139</v>
      </c>
      <c r="J14" s="346" t="s">
        <v>1195</v>
      </c>
      <c r="K14" s="22" t="s">
        <v>1127</v>
      </c>
    </row>
    <row r="15" spans="1:11">
      <c r="A15" s="321" t="s">
        <v>1015</v>
      </c>
      <c r="B15" s="322">
        <v>44279</v>
      </c>
      <c r="C15" s="321" t="s">
        <v>1197</v>
      </c>
      <c r="D15" s="321" t="s">
        <v>1128</v>
      </c>
      <c r="E15" s="321">
        <v>40</v>
      </c>
      <c r="F15" s="321" t="s">
        <v>1198</v>
      </c>
      <c r="G15" s="321" t="s">
        <v>176</v>
      </c>
      <c r="H15" s="321" t="s">
        <v>1248</v>
      </c>
      <c r="I15" s="321" t="s">
        <v>1133</v>
      </c>
      <c r="J15" s="321"/>
      <c r="K15" s="22" t="s">
        <v>1130</v>
      </c>
    </row>
    <row r="16" spans="1:11">
      <c r="A16" s="321" t="s">
        <v>1015</v>
      </c>
      <c r="B16" s="322">
        <v>44279</v>
      </c>
      <c r="C16" s="321" t="s">
        <v>1197</v>
      </c>
      <c r="D16" s="321" t="s">
        <v>1132</v>
      </c>
      <c r="E16" s="321">
        <v>6</v>
      </c>
      <c r="F16" s="321" t="s">
        <v>1198</v>
      </c>
      <c r="G16" s="321" t="s">
        <v>100</v>
      </c>
      <c r="H16" s="321" t="s">
        <v>1196</v>
      </c>
      <c r="I16" s="321" t="s">
        <v>1134</v>
      </c>
      <c r="J16" s="321"/>
      <c r="K16" s="22" t="s">
        <v>1130</v>
      </c>
    </row>
    <row r="17" spans="1:11">
      <c r="A17" s="296" t="s">
        <v>1015</v>
      </c>
      <c r="B17" s="295">
        <v>44279</v>
      </c>
      <c r="C17" s="296" t="s">
        <v>1131</v>
      </c>
      <c r="D17" s="296" t="s">
        <v>1128</v>
      </c>
      <c r="E17" s="296">
        <v>60</v>
      </c>
      <c r="F17" s="296" t="s">
        <v>1129</v>
      </c>
      <c r="G17" s="296"/>
      <c r="H17" s="340"/>
      <c r="I17" s="296" t="s">
        <v>1133</v>
      </c>
      <c r="J17" s="296"/>
    </row>
    <row r="18" spans="1:11">
      <c r="A18" s="296" t="s">
        <v>1015</v>
      </c>
      <c r="B18" s="295">
        <v>44279</v>
      </c>
      <c r="C18" s="296" t="s">
        <v>1131</v>
      </c>
      <c r="D18" s="296" t="s">
        <v>1132</v>
      </c>
      <c r="E18" s="296">
        <v>10</v>
      </c>
      <c r="F18" s="296" t="s">
        <v>1129</v>
      </c>
      <c r="G18" s="296"/>
      <c r="H18" s="340"/>
      <c r="I18" s="296" t="s">
        <v>1135</v>
      </c>
      <c r="J18" s="296"/>
    </row>
    <row r="19" spans="1:11">
      <c r="A19" s="296" t="s">
        <v>1015</v>
      </c>
      <c r="B19" s="295">
        <v>44285</v>
      </c>
      <c r="C19" s="296" t="s">
        <v>1199</v>
      </c>
      <c r="D19" s="296" t="s">
        <v>1132</v>
      </c>
      <c r="E19" s="296">
        <v>10</v>
      </c>
      <c r="F19" s="296" t="s">
        <v>956</v>
      </c>
      <c r="G19" s="296"/>
      <c r="H19" s="340"/>
      <c r="I19" s="296" t="s">
        <v>1201</v>
      </c>
      <c r="J19" s="296"/>
      <c r="K19" s="22" t="s">
        <v>1200</v>
      </c>
    </row>
    <row r="20" spans="1:11">
      <c r="A20" s="294" t="s">
        <v>1006</v>
      </c>
      <c r="B20" s="294" t="s">
        <v>940</v>
      </c>
      <c r="C20" s="294" t="s">
        <v>941</v>
      </c>
      <c r="D20" s="294" t="s">
        <v>942</v>
      </c>
      <c r="E20" s="294" t="s">
        <v>943</v>
      </c>
      <c r="F20" s="294" t="s">
        <v>944</v>
      </c>
      <c r="G20" s="294" t="s">
        <v>945</v>
      </c>
      <c r="H20" s="294" t="s">
        <v>946</v>
      </c>
      <c r="I20" s="294" t="s">
        <v>947</v>
      </c>
      <c r="J20" s="294" t="s">
        <v>948</v>
      </c>
    </row>
    <row r="21" spans="1:11">
      <c r="A21" s="321" t="s">
        <v>1018</v>
      </c>
      <c r="B21" s="322">
        <v>44267</v>
      </c>
      <c r="C21" s="321" t="s">
        <v>1007</v>
      </c>
      <c r="D21" s="321" t="s">
        <v>1008</v>
      </c>
      <c r="E21" s="321">
        <v>11</v>
      </c>
      <c r="F21" s="321" t="s">
        <v>1190</v>
      </c>
      <c r="G21" s="321" t="s">
        <v>176</v>
      </c>
      <c r="H21" s="321" t="s">
        <v>1188</v>
      </c>
      <c r="I21" s="321" t="s">
        <v>1009</v>
      </c>
      <c r="J21" s="321"/>
    </row>
    <row r="22" spans="1:11" ht="27.6">
      <c r="A22" s="321" t="s">
        <v>1018</v>
      </c>
      <c r="B22" s="322">
        <v>44267</v>
      </c>
      <c r="C22" s="321" t="s">
        <v>1095</v>
      </c>
      <c r="D22" s="321" t="s">
        <v>1008</v>
      </c>
      <c r="E22" s="321">
        <v>40</v>
      </c>
      <c r="F22" s="321" t="s">
        <v>1191</v>
      </c>
      <c r="G22" s="321" t="s">
        <v>176</v>
      </c>
      <c r="H22" s="364" t="s">
        <v>1189</v>
      </c>
      <c r="I22" s="321" t="s">
        <v>1192</v>
      </c>
      <c r="J22" s="321"/>
    </row>
    <row r="23" spans="1:11">
      <c r="A23" s="321" t="s">
        <v>1018</v>
      </c>
      <c r="B23" s="322">
        <v>44267</v>
      </c>
      <c r="C23" s="321" t="s">
        <v>1010</v>
      </c>
      <c r="D23" s="321" t="s">
        <v>1097</v>
      </c>
      <c r="E23" s="321">
        <v>25</v>
      </c>
      <c r="F23" s="321" t="s">
        <v>51</v>
      </c>
      <c r="G23" s="321" t="s">
        <v>998</v>
      </c>
      <c r="H23" s="321" t="s">
        <v>1096</v>
      </c>
      <c r="I23" s="321" t="s">
        <v>1098</v>
      </c>
      <c r="J23" s="321"/>
    </row>
    <row r="24" spans="1:11">
      <c r="A24" s="296" t="s">
        <v>1018</v>
      </c>
      <c r="B24" s="295">
        <v>44277</v>
      </c>
      <c r="C24" s="296" t="s">
        <v>1010</v>
      </c>
      <c r="D24" s="296" t="s">
        <v>1114</v>
      </c>
      <c r="E24" s="296">
        <v>45</v>
      </c>
      <c r="F24" s="296" t="s">
        <v>203</v>
      </c>
      <c r="G24" s="296"/>
      <c r="H24" s="296"/>
      <c r="I24" s="296" t="s">
        <v>1123</v>
      </c>
      <c r="J24" s="296"/>
    </row>
    <row r="25" spans="1:11">
      <c r="A25" s="321" t="s">
        <v>1018</v>
      </c>
      <c r="B25" s="322">
        <v>44277</v>
      </c>
      <c r="C25" s="321" t="s">
        <v>1010</v>
      </c>
      <c r="D25" s="321" t="s">
        <v>1115</v>
      </c>
      <c r="E25" s="321">
        <v>20</v>
      </c>
      <c r="F25" s="321" t="s">
        <v>203</v>
      </c>
      <c r="G25" s="321"/>
      <c r="H25" s="321" t="s">
        <v>1186</v>
      </c>
      <c r="I25" s="321" t="s">
        <v>1187</v>
      </c>
      <c r="J25" s="321"/>
    </row>
    <row r="26" spans="1:11">
      <c r="A26" s="294" t="s">
        <v>1006</v>
      </c>
      <c r="B26" s="294" t="s">
        <v>940</v>
      </c>
      <c r="C26" s="294" t="s">
        <v>941</v>
      </c>
      <c r="D26" s="294" t="s">
        <v>942</v>
      </c>
      <c r="E26" s="294" t="s">
        <v>943</v>
      </c>
      <c r="F26" s="294" t="s">
        <v>944</v>
      </c>
      <c r="G26" s="294" t="s">
        <v>945</v>
      </c>
      <c r="H26" s="294" t="s">
        <v>946</v>
      </c>
      <c r="I26" s="294" t="s">
        <v>947</v>
      </c>
      <c r="J26" s="294" t="s">
        <v>948</v>
      </c>
    </row>
    <row r="27" spans="1:11">
      <c r="A27" s="321" t="s">
        <v>1016</v>
      </c>
      <c r="B27" s="322">
        <v>44252</v>
      </c>
      <c r="C27" s="321" t="s">
        <v>1193</v>
      </c>
      <c r="D27" s="321" t="s">
        <v>962</v>
      </c>
      <c r="E27" s="321">
        <v>119</v>
      </c>
      <c r="F27" s="321" t="s">
        <v>961</v>
      </c>
      <c r="G27" s="321" t="s">
        <v>997</v>
      </c>
      <c r="H27" s="321" t="s">
        <v>1001</v>
      </c>
      <c r="I27" s="321" t="s">
        <v>960</v>
      </c>
      <c r="J27" s="321" t="s">
        <v>969</v>
      </c>
    </row>
    <row r="28" spans="1:11">
      <c r="A28" s="321" t="s">
        <v>1016</v>
      </c>
      <c r="B28" s="322"/>
      <c r="C28" s="321"/>
      <c r="D28" s="321" t="s">
        <v>1024</v>
      </c>
      <c r="E28" s="321">
        <v>62</v>
      </c>
      <c r="F28" s="321" t="s">
        <v>68</v>
      </c>
      <c r="G28" s="321" t="s">
        <v>176</v>
      </c>
      <c r="H28" s="321" t="s">
        <v>1194</v>
      </c>
      <c r="I28" s="321"/>
      <c r="J28" s="321"/>
    </row>
    <row r="29" spans="1:11">
      <c r="A29" s="321" t="s">
        <v>1017</v>
      </c>
      <c r="B29" s="322">
        <v>44260</v>
      </c>
      <c r="C29" s="321" t="s">
        <v>964</v>
      </c>
      <c r="D29" s="321" t="s">
        <v>965</v>
      </c>
      <c r="E29" s="321">
        <v>15</v>
      </c>
      <c r="F29" s="321" t="s">
        <v>961</v>
      </c>
      <c r="G29" s="321" t="s">
        <v>94</v>
      </c>
      <c r="H29" s="321" t="s">
        <v>1000</v>
      </c>
      <c r="I29" s="321" t="s">
        <v>963</v>
      </c>
      <c r="J29" s="321" t="s">
        <v>970</v>
      </c>
    </row>
    <row r="30" spans="1:11">
      <c r="A30" s="321" t="s">
        <v>1016</v>
      </c>
      <c r="B30" s="322"/>
      <c r="C30" s="321"/>
      <c r="D30" s="321" t="s">
        <v>966</v>
      </c>
      <c r="E30" s="321">
        <v>20</v>
      </c>
      <c r="F30" s="321"/>
      <c r="G30" s="321" t="s">
        <v>176</v>
      </c>
      <c r="H30" s="321" t="s">
        <v>1002</v>
      </c>
      <c r="I30" s="321"/>
      <c r="J30" s="321"/>
    </row>
    <row r="31" spans="1:11">
      <c r="A31" s="321" t="s">
        <v>1016</v>
      </c>
      <c r="B31" s="322"/>
      <c r="C31" s="321"/>
      <c r="D31" s="321" t="s">
        <v>1003</v>
      </c>
      <c r="E31" s="321">
        <v>35</v>
      </c>
      <c r="F31" s="321"/>
      <c r="G31" s="321" t="s">
        <v>1004</v>
      </c>
      <c r="H31" s="321" t="s">
        <v>1005</v>
      </c>
      <c r="I31" s="321"/>
      <c r="J31" s="321"/>
    </row>
    <row r="32" spans="1:11">
      <c r="A32" s="294" t="s">
        <v>1006</v>
      </c>
      <c r="B32" s="294" t="s">
        <v>940</v>
      </c>
      <c r="C32" s="294" t="s">
        <v>941</v>
      </c>
      <c r="D32" s="294" t="s">
        <v>942</v>
      </c>
      <c r="E32" s="294" t="s">
        <v>943</v>
      </c>
      <c r="F32" s="294" t="s">
        <v>944</v>
      </c>
      <c r="G32" s="294" t="s">
        <v>945</v>
      </c>
      <c r="H32" s="294" t="s">
        <v>946</v>
      </c>
      <c r="I32" s="294" t="s">
        <v>947</v>
      </c>
      <c r="J32" s="294" t="s">
        <v>948</v>
      </c>
    </row>
    <row r="33" spans="1:10" ht="27.6">
      <c r="A33" s="321" t="s">
        <v>1124</v>
      </c>
      <c r="B33" s="322">
        <v>44278</v>
      </c>
      <c r="C33" s="321" t="s">
        <v>1125</v>
      </c>
      <c r="D33" s="321" t="s">
        <v>1137</v>
      </c>
      <c r="E33" s="321">
        <v>200</v>
      </c>
      <c r="F33" s="321" t="s">
        <v>69</v>
      </c>
      <c r="G33" s="321" t="s">
        <v>1179</v>
      </c>
      <c r="H33" s="364" t="s">
        <v>1246</v>
      </c>
      <c r="I33" s="321"/>
      <c r="J33" s="321"/>
    </row>
    <row r="34" spans="1:10" ht="27.6">
      <c r="A34" s="321" t="s">
        <v>1124</v>
      </c>
      <c r="B34" s="322">
        <v>44278</v>
      </c>
      <c r="C34" s="321" t="s">
        <v>1125</v>
      </c>
      <c r="D34" s="321" t="s">
        <v>967</v>
      </c>
      <c r="E34" s="321">
        <v>100</v>
      </c>
      <c r="F34" s="321" t="s">
        <v>69</v>
      </c>
      <c r="G34" s="321" t="s">
        <v>998</v>
      </c>
      <c r="H34" s="364" t="s">
        <v>1247</v>
      </c>
      <c r="I34" s="321"/>
      <c r="J34" s="321"/>
    </row>
    <row r="35" spans="1:10" ht="27.6">
      <c r="A35" s="321" t="s">
        <v>1124</v>
      </c>
      <c r="B35" s="322">
        <v>44278</v>
      </c>
      <c r="C35" s="321" t="s">
        <v>1125</v>
      </c>
      <c r="D35" s="321" t="s">
        <v>966</v>
      </c>
      <c r="E35" s="321">
        <v>50</v>
      </c>
      <c r="F35" s="321" t="s">
        <v>69</v>
      </c>
      <c r="G35" s="321" t="s">
        <v>176</v>
      </c>
      <c r="H35" s="364" t="s">
        <v>1250</v>
      </c>
      <c r="I35" s="321"/>
      <c r="J35" s="321"/>
    </row>
    <row r="44" spans="1:10">
      <c r="A44" s="22" t="s">
        <v>1023</v>
      </c>
    </row>
    <row r="45" spans="1:10">
      <c r="A45" s="22" t="s">
        <v>1022</v>
      </c>
    </row>
    <row r="46" spans="1:10">
      <c r="A46" s="22" t="s">
        <v>1021</v>
      </c>
    </row>
    <row r="47" spans="1:10">
      <c r="A47" s="22" t="s">
        <v>1019</v>
      </c>
    </row>
    <row r="48" spans="1:10">
      <c r="A48" s="22" t="s">
        <v>1020</v>
      </c>
    </row>
    <row r="50" spans="1:1">
      <c r="A50" s="349">
        <v>349999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workbookViewId="0">
      <selection activeCell="H3" sqref="H3"/>
    </sheetView>
  </sheetViews>
  <sheetFormatPr defaultRowHeight="13.8"/>
  <cols>
    <col min="1" max="1" width="28.6640625" style="22" bestFit="1" customWidth="1"/>
    <col min="2" max="4" width="8.88671875" style="22"/>
    <col min="5" max="5" width="11.6640625" style="22" bestFit="1" customWidth="1"/>
    <col min="6" max="6" width="11.21875" style="22" bestFit="1" customWidth="1"/>
    <col min="7" max="7" width="13" style="22" bestFit="1" customWidth="1"/>
    <col min="8" max="8" width="8.88671875" style="22"/>
    <col min="9" max="9" width="19.109375" style="22" bestFit="1" customWidth="1"/>
    <col min="10" max="10" width="11.109375" style="22" bestFit="1" customWidth="1"/>
    <col min="11" max="11" width="13.88671875" style="22" customWidth="1"/>
    <col min="12" max="12" width="18.5546875" style="22" bestFit="1" customWidth="1"/>
    <col min="13" max="16384" width="8.88671875" style="22"/>
  </cols>
  <sheetData>
    <row r="1" spans="1:12">
      <c r="A1" s="341" t="s">
        <v>942</v>
      </c>
      <c r="B1" s="341" t="s">
        <v>1099</v>
      </c>
      <c r="C1" s="341" t="s">
        <v>1100</v>
      </c>
      <c r="D1" s="341" t="s">
        <v>1101</v>
      </c>
      <c r="E1" s="341" t="s">
        <v>1105</v>
      </c>
      <c r="F1" s="341" t="s">
        <v>1102</v>
      </c>
      <c r="G1" s="341" t="s">
        <v>1106</v>
      </c>
      <c r="H1" s="341" t="s">
        <v>1103</v>
      </c>
      <c r="I1" s="341" t="s">
        <v>1107</v>
      </c>
      <c r="J1" s="341" t="s">
        <v>1104</v>
      </c>
      <c r="K1" s="342" t="s">
        <v>1108</v>
      </c>
      <c r="L1" s="342" t="s">
        <v>1109</v>
      </c>
    </row>
    <row r="2" spans="1:12">
      <c r="A2" s="130" t="s">
        <v>997</v>
      </c>
      <c r="B2" s="343">
        <v>379</v>
      </c>
      <c r="C2" s="344">
        <v>0.2</v>
      </c>
      <c r="D2" s="344">
        <v>0.05</v>
      </c>
      <c r="E2" s="344">
        <v>0.1</v>
      </c>
      <c r="F2" s="343">
        <f>B2*(1+C2+D2+E2)</f>
        <v>511.65000000000003</v>
      </c>
      <c r="G2" s="344">
        <v>0.1</v>
      </c>
      <c r="H2" s="343">
        <f>F2*(1+G2)</f>
        <v>562.81500000000005</v>
      </c>
      <c r="I2" s="345">
        <f>H2*75</f>
        <v>42211.125000000007</v>
      </c>
      <c r="J2" s="345">
        <v>42999</v>
      </c>
      <c r="K2" s="345">
        <v>32990</v>
      </c>
      <c r="L2" s="345">
        <v>74990</v>
      </c>
    </row>
    <row r="3" spans="1:12">
      <c r="A3" s="130" t="s">
        <v>191</v>
      </c>
      <c r="B3" s="343">
        <v>549</v>
      </c>
      <c r="C3" s="344">
        <v>0.2</v>
      </c>
      <c r="D3" s="344">
        <v>0.05</v>
      </c>
      <c r="E3" s="344">
        <v>0.1</v>
      </c>
      <c r="F3" s="343">
        <f>B3*(1+C3+D3+E3)</f>
        <v>741.15000000000009</v>
      </c>
      <c r="G3" s="344">
        <v>0.1</v>
      </c>
      <c r="H3" s="343">
        <f t="shared" ref="H3" si="0">F3*(1+G3)</f>
        <v>815.26500000000021</v>
      </c>
      <c r="I3" s="345">
        <f>H3*75</f>
        <v>61144.875000000015</v>
      </c>
      <c r="J3" s="345">
        <v>61999</v>
      </c>
      <c r="K3" s="345">
        <v>45490</v>
      </c>
      <c r="L3" s="345">
        <v>125990</v>
      </c>
    </row>
    <row r="5" spans="1:12">
      <c r="A5" s="162" t="s">
        <v>1023</v>
      </c>
    </row>
    <row r="6" spans="1:12">
      <c r="A6" s="162" t="s">
        <v>1022</v>
      </c>
    </row>
    <row r="7" spans="1:12">
      <c r="A7" s="162" t="s">
        <v>1021</v>
      </c>
    </row>
    <row r="8" spans="1:12">
      <c r="A8" s="162" t="s">
        <v>1019</v>
      </c>
    </row>
    <row r="9" spans="1:12">
      <c r="A9" s="162" t="s">
        <v>1020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3"/>
  <sheetViews>
    <sheetView workbookViewId="0">
      <selection activeCell="A12" sqref="A12:XFD12"/>
    </sheetView>
  </sheetViews>
  <sheetFormatPr defaultRowHeight="13.8"/>
  <cols>
    <col min="1" max="1" width="8.88671875" style="22"/>
    <col min="2" max="2" width="27.44140625" style="22" customWidth="1"/>
    <col min="3" max="3" width="19.77734375" style="22" customWidth="1"/>
    <col min="4" max="16384" width="8.88671875" style="22"/>
  </cols>
  <sheetData>
    <row r="1" spans="1:18" ht="14.4" thickBot="1">
      <c r="A1" s="96"/>
      <c r="B1" s="96"/>
      <c r="C1" s="96"/>
      <c r="D1" s="97" t="s">
        <v>89</v>
      </c>
      <c r="E1" s="98" t="s">
        <v>76</v>
      </c>
      <c r="F1" s="99">
        <v>0.17699999999999999</v>
      </c>
      <c r="G1" s="99">
        <v>2.1999999999999999E-2</v>
      </c>
      <c r="H1" s="100">
        <v>1.4999999999999999E-2</v>
      </c>
      <c r="I1" s="101">
        <v>4.3999999999999997E-2</v>
      </c>
      <c r="J1" s="101">
        <v>2E-3</v>
      </c>
      <c r="K1" s="101">
        <v>8.0000000000000002E-3</v>
      </c>
      <c r="L1" s="102">
        <v>4.0000000000000001E-3</v>
      </c>
      <c r="M1" s="101">
        <v>8.9999999999999993E-3</v>
      </c>
      <c r="N1" s="96"/>
      <c r="O1" s="96"/>
    </row>
    <row r="2" spans="1:18" ht="14.4" thickBot="1">
      <c r="A2" s="96"/>
      <c r="B2" s="96"/>
      <c r="C2" s="96"/>
      <c r="D2" s="97" t="s">
        <v>89</v>
      </c>
      <c r="E2" s="103">
        <v>30.7</v>
      </c>
      <c r="F2" s="99">
        <v>0.11899999999999999</v>
      </c>
      <c r="G2" s="99">
        <v>1.4E-2</v>
      </c>
      <c r="H2" s="100">
        <v>1.6E-2</v>
      </c>
      <c r="I2" s="101">
        <v>1.7000000000000001E-2</v>
      </c>
      <c r="J2" s="101">
        <v>2E-3</v>
      </c>
      <c r="K2" s="101">
        <v>4.0000000000000001E-3</v>
      </c>
      <c r="L2" s="102">
        <v>3.0000000000000001E-3</v>
      </c>
      <c r="M2" s="101">
        <v>3.0000000000000001E-3</v>
      </c>
      <c r="N2" s="96"/>
      <c r="O2" s="96"/>
    </row>
    <row r="3" spans="1:18" ht="14.4" thickBot="1">
      <c r="A3" s="96"/>
      <c r="B3" s="96"/>
      <c r="C3" s="96"/>
      <c r="D3" s="97" t="s">
        <v>89</v>
      </c>
      <c r="E3" s="103">
        <v>30.8</v>
      </c>
      <c r="F3" s="99">
        <v>0.115</v>
      </c>
      <c r="G3" s="99">
        <v>1.6E-2</v>
      </c>
      <c r="H3" s="100">
        <v>0.02</v>
      </c>
      <c r="I3" s="101">
        <v>2.8000000000000001E-2</v>
      </c>
      <c r="J3" s="101">
        <v>2E-3</v>
      </c>
      <c r="K3" s="101">
        <v>3.0000000000000001E-3</v>
      </c>
      <c r="L3" s="102">
        <v>4.0000000000000001E-3</v>
      </c>
      <c r="M3" s="101">
        <v>6.0000000000000001E-3</v>
      </c>
      <c r="N3" s="96"/>
      <c r="O3" s="96"/>
    </row>
    <row r="4" spans="1:18" ht="14.4" thickBot="1">
      <c r="A4" s="96"/>
      <c r="B4" s="96"/>
      <c r="C4" s="96"/>
      <c r="D4" s="97" t="s">
        <v>89</v>
      </c>
      <c r="E4" s="103">
        <v>30.9</v>
      </c>
      <c r="F4" s="99">
        <v>0.14599999999999999</v>
      </c>
      <c r="G4" s="99">
        <v>2.5000000000000001E-2</v>
      </c>
      <c r="H4" s="100">
        <v>0.01</v>
      </c>
      <c r="I4" s="101">
        <v>1.6E-2</v>
      </c>
      <c r="J4" s="101">
        <v>3.0000000000000001E-3</v>
      </c>
      <c r="K4" s="101">
        <v>1E-3</v>
      </c>
      <c r="L4" s="102">
        <v>4.0000000000000001E-3</v>
      </c>
      <c r="M4" s="101">
        <v>3.0000000000000001E-3</v>
      </c>
      <c r="N4" s="96"/>
      <c r="O4" s="96"/>
    </row>
    <row r="5" spans="1:18" ht="14.4" thickBot="1">
      <c r="A5" s="96"/>
      <c r="B5" s="96"/>
      <c r="C5" s="96"/>
      <c r="D5" s="96"/>
      <c r="E5" s="96"/>
      <c r="F5" s="96"/>
      <c r="G5" s="96"/>
      <c r="H5" s="96"/>
      <c r="I5" s="96"/>
      <c r="J5" s="96"/>
      <c r="K5" s="96"/>
      <c r="L5" s="96"/>
      <c r="M5" s="96"/>
      <c r="N5" s="96"/>
      <c r="O5" s="96"/>
    </row>
    <row r="6" spans="1:18" s="62" customFormat="1" ht="28.2" thickBot="1">
      <c r="A6" s="65" t="s">
        <v>77</v>
      </c>
      <c r="B6" s="66" t="s">
        <v>78</v>
      </c>
      <c r="C6" s="66" t="s">
        <v>79</v>
      </c>
      <c r="D6" s="66" t="s">
        <v>80</v>
      </c>
      <c r="E6" s="67" t="s">
        <v>65</v>
      </c>
      <c r="F6" s="90" t="s">
        <v>81</v>
      </c>
      <c r="G6" s="90" t="s">
        <v>68</v>
      </c>
      <c r="H6" s="90" t="s">
        <v>50</v>
      </c>
      <c r="I6" s="90" t="s">
        <v>51</v>
      </c>
      <c r="J6" s="90" t="s">
        <v>82</v>
      </c>
      <c r="K6" s="91" t="s">
        <v>86</v>
      </c>
      <c r="L6" s="92" t="s">
        <v>83</v>
      </c>
      <c r="M6" s="93" t="s">
        <v>44</v>
      </c>
      <c r="N6" s="94" t="s">
        <v>84</v>
      </c>
      <c r="O6" s="95" t="s">
        <v>85</v>
      </c>
    </row>
    <row r="7" spans="1:18" s="57" customFormat="1">
      <c r="A7" s="70">
        <v>5</v>
      </c>
      <c r="B7" s="71" t="s">
        <v>20</v>
      </c>
      <c r="C7" s="71" t="s">
        <v>40</v>
      </c>
      <c r="D7" s="82">
        <v>360</v>
      </c>
      <c r="E7" s="86">
        <v>102</v>
      </c>
      <c r="F7" s="72">
        <v>15</v>
      </c>
      <c r="G7" s="72">
        <v>12</v>
      </c>
      <c r="H7" s="72">
        <v>20</v>
      </c>
      <c r="I7" s="72">
        <v>5</v>
      </c>
      <c r="J7" s="72">
        <v>5</v>
      </c>
      <c r="K7" s="72">
        <f>SUM(F7:J7)</f>
        <v>57</v>
      </c>
      <c r="L7" s="72">
        <v>10</v>
      </c>
      <c r="M7" s="72">
        <v>10</v>
      </c>
      <c r="N7" s="72">
        <v>20</v>
      </c>
      <c r="O7" s="73">
        <v>5</v>
      </c>
      <c r="P7" s="62">
        <f>SUM(F7:J7,L7:O7)</f>
        <v>102</v>
      </c>
      <c r="Q7" s="62"/>
      <c r="R7" s="62"/>
    </row>
    <row r="8" spans="1:18" s="57" customFormat="1">
      <c r="A8" s="68">
        <v>10</v>
      </c>
      <c r="B8" s="58" t="s">
        <v>11</v>
      </c>
      <c r="C8" s="63" t="s">
        <v>30</v>
      </c>
      <c r="D8" s="83">
        <v>400</v>
      </c>
      <c r="E8" s="87">
        <v>112</v>
      </c>
      <c r="F8" s="64">
        <v>20</v>
      </c>
      <c r="G8" s="64">
        <v>22</v>
      </c>
      <c r="H8" s="64">
        <v>20</v>
      </c>
      <c r="I8" s="64">
        <v>10</v>
      </c>
      <c r="J8" s="64">
        <v>5</v>
      </c>
      <c r="K8" s="64">
        <f t="shared" ref="K8:K22" si="0">SUM(F8:J8)</f>
        <v>77</v>
      </c>
      <c r="L8" s="64">
        <v>10</v>
      </c>
      <c r="M8" s="64">
        <v>0</v>
      </c>
      <c r="N8" s="64">
        <v>20</v>
      </c>
      <c r="O8" s="69">
        <v>5</v>
      </c>
      <c r="P8" s="62">
        <f t="shared" ref="P8:P22" si="1">SUM(F8:J8,L8:O8)</f>
        <v>112</v>
      </c>
      <c r="Q8" s="62"/>
      <c r="R8" s="62"/>
    </row>
    <row r="9" spans="1:18" s="57" customFormat="1">
      <c r="A9" s="76">
        <v>10</v>
      </c>
      <c r="B9" s="74" t="s">
        <v>12</v>
      </c>
      <c r="C9" s="74" t="s">
        <v>31</v>
      </c>
      <c r="D9" s="84">
        <v>550</v>
      </c>
      <c r="E9" s="88">
        <v>153</v>
      </c>
      <c r="F9" s="75">
        <v>20</v>
      </c>
      <c r="G9" s="75">
        <v>23</v>
      </c>
      <c r="H9" s="75">
        <v>30</v>
      </c>
      <c r="I9" s="75">
        <v>10</v>
      </c>
      <c r="J9" s="75">
        <v>10</v>
      </c>
      <c r="K9" s="75">
        <f t="shared" si="0"/>
        <v>93</v>
      </c>
      <c r="L9" s="75">
        <v>10</v>
      </c>
      <c r="M9" s="75">
        <v>10</v>
      </c>
      <c r="N9" s="75">
        <v>30</v>
      </c>
      <c r="O9" s="77">
        <v>10</v>
      </c>
      <c r="P9" s="62">
        <f t="shared" si="1"/>
        <v>153</v>
      </c>
      <c r="Q9" s="62"/>
      <c r="R9" s="62"/>
    </row>
    <row r="10" spans="1:18" s="57" customFormat="1">
      <c r="A10" s="68">
        <v>10</v>
      </c>
      <c r="B10" s="58" t="s">
        <v>13</v>
      </c>
      <c r="C10" s="63" t="s">
        <v>32</v>
      </c>
      <c r="D10" s="83">
        <v>800</v>
      </c>
      <c r="E10" s="87">
        <v>224</v>
      </c>
      <c r="F10" s="64">
        <v>30</v>
      </c>
      <c r="G10" s="64">
        <v>24</v>
      </c>
      <c r="H10" s="64">
        <v>40</v>
      </c>
      <c r="I10" s="64">
        <v>20</v>
      </c>
      <c r="J10" s="64">
        <v>20</v>
      </c>
      <c r="K10" s="64">
        <f t="shared" si="0"/>
        <v>134</v>
      </c>
      <c r="L10" s="64">
        <v>20</v>
      </c>
      <c r="M10" s="64">
        <v>20</v>
      </c>
      <c r="N10" s="64">
        <v>40</v>
      </c>
      <c r="O10" s="69">
        <v>10</v>
      </c>
      <c r="P10" s="62">
        <f t="shared" si="1"/>
        <v>224</v>
      </c>
      <c r="Q10" s="62"/>
      <c r="R10" s="62"/>
    </row>
    <row r="11" spans="1:18" s="57" customFormat="1">
      <c r="A11" s="76">
        <v>10</v>
      </c>
      <c r="B11" s="74" t="s">
        <v>70</v>
      </c>
      <c r="C11" s="74" t="s">
        <v>92</v>
      </c>
      <c r="D11" s="84">
        <v>750</v>
      </c>
      <c r="E11" s="88">
        <v>212</v>
      </c>
      <c r="F11" s="75">
        <v>30</v>
      </c>
      <c r="G11" s="75">
        <v>32</v>
      </c>
      <c r="H11" s="75">
        <v>40</v>
      </c>
      <c r="I11" s="75">
        <v>20</v>
      </c>
      <c r="J11" s="75">
        <v>10</v>
      </c>
      <c r="K11" s="75">
        <f t="shared" si="0"/>
        <v>132</v>
      </c>
      <c r="L11" s="75">
        <v>20</v>
      </c>
      <c r="M11" s="75">
        <v>10</v>
      </c>
      <c r="N11" s="75">
        <v>40</v>
      </c>
      <c r="O11" s="77">
        <v>10</v>
      </c>
      <c r="P11" s="62">
        <f t="shared" si="1"/>
        <v>212</v>
      </c>
      <c r="Q11" s="62"/>
      <c r="R11" s="62"/>
    </row>
    <row r="12" spans="1:18" s="57" customFormat="1">
      <c r="A12" s="68">
        <v>5</v>
      </c>
      <c r="B12" s="58" t="s">
        <v>17</v>
      </c>
      <c r="C12" s="63" t="s">
        <v>37</v>
      </c>
      <c r="D12" s="83">
        <v>1400</v>
      </c>
      <c r="E12" s="87">
        <v>255</v>
      </c>
      <c r="F12" s="64">
        <v>50</v>
      </c>
      <c r="G12" s="64">
        <v>35</v>
      </c>
      <c r="H12" s="64">
        <v>50</v>
      </c>
      <c r="I12" s="64">
        <v>15</v>
      </c>
      <c r="J12" s="64">
        <v>5</v>
      </c>
      <c r="K12" s="64">
        <f t="shared" si="0"/>
        <v>155</v>
      </c>
      <c r="L12" s="64">
        <v>20</v>
      </c>
      <c r="M12" s="64">
        <v>30</v>
      </c>
      <c r="N12" s="64">
        <v>40</v>
      </c>
      <c r="O12" s="69">
        <v>10</v>
      </c>
      <c r="P12" s="62">
        <f t="shared" si="1"/>
        <v>255</v>
      </c>
      <c r="Q12" s="62"/>
      <c r="R12" s="62"/>
    </row>
    <row r="13" spans="1:18" s="57" customFormat="1">
      <c r="A13" s="76">
        <v>10</v>
      </c>
      <c r="B13" s="74" t="s">
        <v>6</v>
      </c>
      <c r="C13" s="74" t="s">
        <v>25</v>
      </c>
      <c r="D13" s="84">
        <v>1160</v>
      </c>
      <c r="E13" s="88">
        <v>205</v>
      </c>
      <c r="F13" s="75">
        <v>30</v>
      </c>
      <c r="G13" s="75">
        <v>30</v>
      </c>
      <c r="H13" s="75">
        <v>40</v>
      </c>
      <c r="I13" s="75">
        <v>20</v>
      </c>
      <c r="J13" s="75">
        <v>10</v>
      </c>
      <c r="K13" s="75">
        <f t="shared" si="0"/>
        <v>130</v>
      </c>
      <c r="L13" s="75">
        <v>15</v>
      </c>
      <c r="M13" s="75">
        <v>20</v>
      </c>
      <c r="N13" s="75">
        <v>30</v>
      </c>
      <c r="O13" s="77">
        <v>10</v>
      </c>
      <c r="P13" s="62">
        <f t="shared" si="1"/>
        <v>205</v>
      </c>
      <c r="Q13" s="62"/>
      <c r="R13" s="62"/>
    </row>
    <row r="14" spans="1:18" s="57" customFormat="1">
      <c r="A14" s="68">
        <v>10</v>
      </c>
      <c r="B14" s="58" t="s">
        <v>7</v>
      </c>
      <c r="C14" s="63" t="s">
        <v>26</v>
      </c>
      <c r="D14" s="83">
        <v>3440</v>
      </c>
      <c r="E14" s="87">
        <v>615</v>
      </c>
      <c r="F14" s="64">
        <v>100</v>
      </c>
      <c r="G14" s="64">
        <v>95</v>
      </c>
      <c r="H14" s="64">
        <v>110</v>
      </c>
      <c r="I14" s="64">
        <v>80</v>
      </c>
      <c r="J14" s="64">
        <v>20</v>
      </c>
      <c r="K14" s="64">
        <f t="shared" si="0"/>
        <v>405</v>
      </c>
      <c r="L14" s="64">
        <v>50</v>
      </c>
      <c r="M14" s="64">
        <v>60</v>
      </c>
      <c r="N14" s="64">
        <v>80</v>
      </c>
      <c r="O14" s="69">
        <v>20</v>
      </c>
      <c r="P14" s="62">
        <f t="shared" si="1"/>
        <v>615</v>
      </c>
      <c r="Q14" s="62"/>
      <c r="R14" s="62"/>
    </row>
    <row r="15" spans="1:18" s="57" customFormat="1">
      <c r="A15" s="76">
        <v>10</v>
      </c>
      <c r="B15" s="74" t="s">
        <v>18</v>
      </c>
      <c r="C15" s="74" t="s">
        <v>38</v>
      </c>
      <c r="D15" s="84">
        <v>1120</v>
      </c>
      <c r="E15" s="88">
        <v>200</v>
      </c>
      <c r="F15" s="75">
        <v>30</v>
      </c>
      <c r="G15" s="75">
        <v>30</v>
      </c>
      <c r="H15" s="75">
        <v>40</v>
      </c>
      <c r="I15" s="75">
        <v>10</v>
      </c>
      <c r="J15" s="75">
        <v>10</v>
      </c>
      <c r="K15" s="75">
        <f t="shared" si="0"/>
        <v>120</v>
      </c>
      <c r="L15" s="75">
        <v>20</v>
      </c>
      <c r="M15" s="75">
        <v>20</v>
      </c>
      <c r="N15" s="75">
        <v>30</v>
      </c>
      <c r="O15" s="77">
        <v>10</v>
      </c>
      <c r="P15" s="62">
        <f t="shared" si="1"/>
        <v>200</v>
      </c>
      <c r="Q15" s="62"/>
      <c r="R15" s="62"/>
    </row>
    <row r="16" spans="1:18" s="57" customFormat="1">
      <c r="A16" s="68">
        <v>5</v>
      </c>
      <c r="B16" s="58" t="s">
        <v>8</v>
      </c>
      <c r="C16" s="63" t="s">
        <v>27</v>
      </c>
      <c r="D16" s="83">
        <v>760</v>
      </c>
      <c r="E16" s="87">
        <v>145</v>
      </c>
      <c r="F16" s="64">
        <v>20</v>
      </c>
      <c r="G16" s="64">
        <v>20</v>
      </c>
      <c r="H16" s="64">
        <v>20</v>
      </c>
      <c r="I16" s="64">
        <v>15</v>
      </c>
      <c r="J16" s="64">
        <v>5</v>
      </c>
      <c r="K16" s="64">
        <f t="shared" si="0"/>
        <v>80</v>
      </c>
      <c r="L16" s="64">
        <v>15</v>
      </c>
      <c r="M16" s="64">
        <v>15</v>
      </c>
      <c r="N16" s="64">
        <v>25</v>
      </c>
      <c r="O16" s="69">
        <v>10</v>
      </c>
      <c r="P16" s="62">
        <f t="shared" si="1"/>
        <v>145</v>
      </c>
      <c r="Q16" s="62"/>
      <c r="R16" s="62"/>
    </row>
    <row r="17" spans="1:18" s="57" customFormat="1">
      <c r="A17" s="76">
        <v>4</v>
      </c>
      <c r="B17" s="74" t="s">
        <v>87</v>
      </c>
      <c r="C17" s="74" t="s">
        <v>88</v>
      </c>
      <c r="D17" s="84">
        <v>140</v>
      </c>
      <c r="E17" s="88">
        <v>28</v>
      </c>
      <c r="F17" s="75">
        <v>4</v>
      </c>
      <c r="G17" s="75">
        <v>4</v>
      </c>
      <c r="H17" s="75">
        <v>4</v>
      </c>
      <c r="I17" s="75"/>
      <c r="J17" s="75"/>
      <c r="K17" s="75">
        <f t="shared" si="0"/>
        <v>12</v>
      </c>
      <c r="L17" s="75">
        <v>4</v>
      </c>
      <c r="M17" s="75">
        <v>4</v>
      </c>
      <c r="N17" s="75">
        <v>4</v>
      </c>
      <c r="O17" s="77">
        <v>4</v>
      </c>
      <c r="P17" s="62">
        <f t="shared" si="1"/>
        <v>28</v>
      </c>
      <c r="Q17" s="62"/>
      <c r="R17" s="62"/>
    </row>
    <row r="18" spans="1:18" s="57" customFormat="1">
      <c r="A18" s="68">
        <v>5</v>
      </c>
      <c r="B18" s="58" t="s">
        <v>16</v>
      </c>
      <c r="C18" s="63" t="s">
        <v>35</v>
      </c>
      <c r="D18" s="83">
        <v>340</v>
      </c>
      <c r="E18" s="87">
        <v>66</v>
      </c>
      <c r="F18" s="64">
        <v>10</v>
      </c>
      <c r="G18" s="64">
        <v>5</v>
      </c>
      <c r="H18" s="64">
        <v>15</v>
      </c>
      <c r="I18" s="64">
        <v>5</v>
      </c>
      <c r="J18" s="64">
        <v>1</v>
      </c>
      <c r="K18" s="64">
        <f t="shared" si="0"/>
        <v>36</v>
      </c>
      <c r="L18" s="64">
        <v>5</v>
      </c>
      <c r="M18" s="64">
        <v>10</v>
      </c>
      <c r="N18" s="64">
        <v>10</v>
      </c>
      <c r="O18" s="69">
        <v>5</v>
      </c>
      <c r="P18" s="62">
        <f t="shared" si="1"/>
        <v>66</v>
      </c>
      <c r="Q18" s="62"/>
      <c r="R18" s="62"/>
    </row>
    <row r="19" spans="1:18" s="57" customFormat="1">
      <c r="A19" s="76">
        <v>10</v>
      </c>
      <c r="B19" s="74" t="s">
        <v>2</v>
      </c>
      <c r="C19" s="74" t="s">
        <v>21</v>
      </c>
      <c r="D19" s="84">
        <v>760</v>
      </c>
      <c r="E19" s="88">
        <v>145</v>
      </c>
      <c r="F19" s="75">
        <v>20</v>
      </c>
      <c r="G19" s="75">
        <v>25</v>
      </c>
      <c r="H19" s="75">
        <v>20</v>
      </c>
      <c r="I19" s="75">
        <v>20</v>
      </c>
      <c r="J19" s="75">
        <v>10</v>
      </c>
      <c r="K19" s="75">
        <f t="shared" si="0"/>
        <v>95</v>
      </c>
      <c r="L19" s="75">
        <v>10</v>
      </c>
      <c r="M19" s="75">
        <v>10</v>
      </c>
      <c r="N19" s="75">
        <v>20</v>
      </c>
      <c r="O19" s="77">
        <v>10</v>
      </c>
      <c r="P19" s="62">
        <f t="shared" si="1"/>
        <v>145</v>
      </c>
      <c r="Q19" s="62"/>
      <c r="R19" s="62"/>
    </row>
    <row r="20" spans="1:18" s="57" customFormat="1">
      <c r="A20" s="68">
        <v>10</v>
      </c>
      <c r="B20" s="58" t="s">
        <v>94</v>
      </c>
      <c r="C20" s="63" t="s">
        <v>93</v>
      </c>
      <c r="D20" s="83">
        <v>2070</v>
      </c>
      <c r="E20" s="87">
        <v>405</v>
      </c>
      <c r="F20" s="64">
        <v>60</v>
      </c>
      <c r="G20" s="64">
        <v>45</v>
      </c>
      <c r="H20" s="64">
        <v>60</v>
      </c>
      <c r="I20" s="64">
        <v>40</v>
      </c>
      <c r="J20" s="64">
        <v>20</v>
      </c>
      <c r="K20" s="64">
        <f t="shared" si="0"/>
        <v>225</v>
      </c>
      <c r="L20" s="64">
        <v>40</v>
      </c>
      <c r="M20" s="64">
        <v>40</v>
      </c>
      <c r="N20" s="64">
        <v>70</v>
      </c>
      <c r="O20" s="69">
        <v>30</v>
      </c>
      <c r="P20" s="62">
        <f t="shared" si="1"/>
        <v>405</v>
      </c>
      <c r="Q20" s="62"/>
      <c r="R20" s="62"/>
    </row>
    <row r="21" spans="1:18" s="57" customFormat="1">
      <c r="A21" s="76">
        <v>10</v>
      </c>
      <c r="B21" s="74" t="s">
        <v>9</v>
      </c>
      <c r="C21" s="74" t="s">
        <v>28</v>
      </c>
      <c r="D21" s="84">
        <v>760</v>
      </c>
      <c r="E21" s="88">
        <v>145</v>
      </c>
      <c r="F21" s="75">
        <v>20</v>
      </c>
      <c r="G21" s="75">
        <v>10</v>
      </c>
      <c r="H21" s="75">
        <v>30</v>
      </c>
      <c r="I21" s="75">
        <v>20</v>
      </c>
      <c r="J21" s="75">
        <v>5</v>
      </c>
      <c r="K21" s="75">
        <f t="shared" si="0"/>
        <v>85</v>
      </c>
      <c r="L21" s="75">
        <v>10</v>
      </c>
      <c r="M21" s="75">
        <v>20</v>
      </c>
      <c r="N21" s="75">
        <v>20</v>
      </c>
      <c r="O21" s="77">
        <v>10</v>
      </c>
      <c r="P21" s="62">
        <f t="shared" si="1"/>
        <v>145</v>
      </c>
      <c r="Q21" s="62"/>
      <c r="R21" s="62"/>
    </row>
    <row r="22" spans="1:18" s="57" customFormat="1" ht="14.4" thickBot="1">
      <c r="A22" s="68">
        <v>10</v>
      </c>
      <c r="B22" s="58" t="s">
        <v>90</v>
      </c>
      <c r="C22" s="63" t="s">
        <v>91</v>
      </c>
      <c r="D22" s="83">
        <v>60</v>
      </c>
      <c r="E22" s="87">
        <v>7</v>
      </c>
      <c r="F22" s="64"/>
      <c r="G22" s="64">
        <v>5</v>
      </c>
      <c r="H22" s="64"/>
      <c r="I22" s="64"/>
      <c r="J22" s="64"/>
      <c r="K22" s="64">
        <f t="shared" si="0"/>
        <v>5</v>
      </c>
      <c r="L22" s="64"/>
      <c r="M22" s="64"/>
      <c r="N22" s="64">
        <v>2</v>
      </c>
      <c r="O22" s="69"/>
      <c r="P22" s="62">
        <f t="shared" si="1"/>
        <v>7</v>
      </c>
      <c r="Q22" s="62"/>
      <c r="R22" s="62"/>
    </row>
    <row r="23" spans="1:18" ht="14.4" thickBot="1">
      <c r="A23" s="65"/>
      <c r="B23" s="66"/>
      <c r="C23" s="66"/>
      <c r="D23" s="104">
        <f>SUM(D7:D22)</f>
        <v>14870</v>
      </c>
      <c r="E23" s="104">
        <f t="shared" ref="E23:O23" si="2">SUM(E7:E22)</f>
        <v>3019</v>
      </c>
      <c r="F23" s="104">
        <f t="shared" si="2"/>
        <v>459</v>
      </c>
      <c r="G23" s="104">
        <f t="shared" si="2"/>
        <v>417</v>
      </c>
      <c r="H23" s="104">
        <f t="shared" si="2"/>
        <v>539</v>
      </c>
      <c r="I23" s="104">
        <f t="shared" si="2"/>
        <v>290</v>
      </c>
      <c r="J23" s="104">
        <f t="shared" si="2"/>
        <v>136</v>
      </c>
      <c r="K23" s="104">
        <f t="shared" si="2"/>
        <v>1841</v>
      </c>
      <c r="L23" s="104">
        <f t="shared" si="2"/>
        <v>259</v>
      </c>
      <c r="M23" s="104">
        <f t="shared" si="2"/>
        <v>279</v>
      </c>
      <c r="N23" s="104">
        <f t="shared" si="2"/>
        <v>481</v>
      </c>
      <c r="O23" s="104">
        <f t="shared" si="2"/>
        <v>159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0"/>
  <sheetViews>
    <sheetView topLeftCell="A10" workbookViewId="0">
      <selection activeCell="B12" sqref="B12:I27"/>
    </sheetView>
  </sheetViews>
  <sheetFormatPr defaultRowHeight="13.8"/>
  <cols>
    <col min="1" max="1" width="8.88671875" style="22"/>
    <col min="2" max="2" width="29.88671875" style="22" customWidth="1"/>
    <col min="3" max="3" width="20.77734375" style="22" customWidth="1"/>
    <col min="4" max="8" width="8.88671875" style="22"/>
    <col min="9" max="9" width="13.109375" style="22" customWidth="1"/>
    <col min="10" max="10" width="8.88671875" style="22"/>
    <col min="11" max="11" width="24.77734375" style="22" bestFit="1" customWidth="1"/>
    <col min="12" max="16384" width="8.88671875" style="22"/>
  </cols>
  <sheetData>
    <row r="1" spans="1:17">
      <c r="A1" s="110" t="s">
        <v>95</v>
      </c>
      <c r="B1" s="111" t="s">
        <v>42</v>
      </c>
      <c r="C1" s="111" t="s">
        <v>43</v>
      </c>
      <c r="D1" s="111" t="s">
        <v>44</v>
      </c>
      <c r="E1" s="112" t="s">
        <v>45</v>
      </c>
      <c r="F1" s="112" t="s">
        <v>46</v>
      </c>
      <c r="G1" s="112" t="s">
        <v>48</v>
      </c>
      <c r="H1" s="113" t="s">
        <v>47</v>
      </c>
      <c r="I1" s="113" t="s">
        <v>96</v>
      </c>
      <c r="K1" s="114" t="s">
        <v>14</v>
      </c>
      <c r="L1" s="22">
        <v>13</v>
      </c>
      <c r="M1" s="22" t="s">
        <v>98</v>
      </c>
      <c r="N1" s="22" t="s">
        <v>113</v>
      </c>
    </row>
    <row r="2" spans="1:17">
      <c r="A2" s="105" t="s">
        <v>97</v>
      </c>
      <c r="B2" s="107">
        <v>0.17699999999999999</v>
      </c>
      <c r="C2" s="107">
        <v>2.1999999999999999E-2</v>
      </c>
      <c r="D2" s="108">
        <v>1.4999999999999999E-2</v>
      </c>
      <c r="E2" s="109">
        <v>4.3999999999999997E-2</v>
      </c>
      <c r="F2" s="109">
        <v>2E-3</v>
      </c>
      <c r="G2" s="109">
        <v>8.0000000000000002E-3</v>
      </c>
      <c r="H2" s="109">
        <v>8.9999999999999993E-3</v>
      </c>
      <c r="I2" s="109">
        <v>4.0000000000000001E-3</v>
      </c>
      <c r="K2" s="114" t="s">
        <v>7</v>
      </c>
      <c r="L2" s="22">
        <v>91</v>
      </c>
      <c r="M2" s="22" t="s">
        <v>98</v>
      </c>
    </row>
    <row r="3" spans="1:17">
      <c r="A3" s="106">
        <v>30.7</v>
      </c>
      <c r="B3" s="107">
        <v>0.11899999999999999</v>
      </c>
      <c r="C3" s="107">
        <v>1.4E-2</v>
      </c>
      <c r="D3" s="108">
        <v>1.6E-2</v>
      </c>
      <c r="E3" s="109">
        <v>1.7000000000000001E-2</v>
      </c>
      <c r="F3" s="109">
        <v>2E-3</v>
      </c>
      <c r="G3" s="109">
        <v>4.0000000000000001E-3</v>
      </c>
      <c r="H3" s="109">
        <v>3.0000000000000001E-3</v>
      </c>
      <c r="I3" s="109">
        <v>3.0000000000000001E-3</v>
      </c>
      <c r="K3" s="114" t="s">
        <v>72</v>
      </c>
      <c r="L3" s="22">
        <v>37</v>
      </c>
      <c r="M3" s="22" t="s">
        <v>98</v>
      </c>
    </row>
    <row r="4" spans="1:17">
      <c r="A4" s="106">
        <v>30.8</v>
      </c>
      <c r="B4" s="107">
        <v>0.115</v>
      </c>
      <c r="C4" s="107">
        <v>1.6E-2</v>
      </c>
      <c r="D4" s="108">
        <v>0.02</v>
      </c>
      <c r="E4" s="109">
        <v>2.8000000000000001E-2</v>
      </c>
      <c r="F4" s="109">
        <v>2E-3</v>
      </c>
      <c r="G4" s="109">
        <v>3.0000000000000001E-3</v>
      </c>
      <c r="H4" s="109">
        <v>6.0000000000000001E-3</v>
      </c>
      <c r="I4" s="109">
        <v>4.0000000000000001E-3</v>
      </c>
      <c r="K4" s="114" t="s">
        <v>8</v>
      </c>
      <c r="L4" s="22">
        <v>60</v>
      </c>
      <c r="M4" s="22" t="s">
        <v>98</v>
      </c>
    </row>
    <row r="5" spans="1:17">
      <c r="A5" s="106">
        <v>30.9</v>
      </c>
      <c r="B5" s="107">
        <v>0.14599999999999999</v>
      </c>
      <c r="C5" s="107">
        <v>2.5000000000000001E-2</v>
      </c>
      <c r="D5" s="108">
        <v>0.01</v>
      </c>
      <c r="E5" s="109">
        <v>1.6E-2</v>
      </c>
      <c r="F5" s="109">
        <v>3.0000000000000001E-3</v>
      </c>
      <c r="G5" s="109">
        <v>1E-3</v>
      </c>
      <c r="H5" s="109">
        <v>3.0000000000000001E-3</v>
      </c>
      <c r="I5" s="109">
        <v>4.0000000000000001E-3</v>
      </c>
      <c r="K5" s="114" t="s">
        <v>15</v>
      </c>
      <c r="L5" s="22">
        <v>6</v>
      </c>
      <c r="M5" s="22" t="s">
        <v>98</v>
      </c>
    </row>
    <row r="6" spans="1:17">
      <c r="K6" s="114"/>
    </row>
    <row r="7" spans="1:17">
      <c r="K7" s="114"/>
    </row>
    <row r="8" spans="1:17">
      <c r="K8" s="114" t="s">
        <v>94</v>
      </c>
      <c r="L8" s="22">
        <v>23</v>
      </c>
      <c r="M8" s="22" t="s">
        <v>112</v>
      </c>
      <c r="N8" s="22" t="s">
        <v>114</v>
      </c>
    </row>
    <row r="9" spans="1:17">
      <c r="K9" s="114" t="s">
        <v>9</v>
      </c>
      <c r="L9" s="22">
        <v>19</v>
      </c>
      <c r="M9" s="22" t="s">
        <v>99</v>
      </c>
    </row>
    <row r="10" spans="1:17">
      <c r="K10" s="114"/>
    </row>
    <row r="11" spans="1:17" ht="14.4" thickBot="1"/>
    <row r="12" spans="1:17" ht="28.2" thickBot="1">
      <c r="A12" s="65" t="s">
        <v>111</v>
      </c>
      <c r="B12" s="66" t="s">
        <v>78</v>
      </c>
      <c r="C12" s="66" t="s">
        <v>110</v>
      </c>
      <c r="D12" s="66" t="s">
        <v>80</v>
      </c>
      <c r="E12" s="67" t="s">
        <v>65</v>
      </c>
      <c r="F12" s="90" t="s">
        <v>81</v>
      </c>
      <c r="G12" s="90" t="s">
        <v>68</v>
      </c>
      <c r="H12" s="90" t="s">
        <v>50</v>
      </c>
      <c r="I12" s="90" t="s">
        <v>51</v>
      </c>
      <c r="J12" s="90" t="s">
        <v>109</v>
      </c>
      <c r="K12" s="91" t="s">
        <v>86</v>
      </c>
      <c r="L12" s="92" t="s">
        <v>83</v>
      </c>
      <c r="M12" s="93" t="s">
        <v>44</v>
      </c>
      <c r="N12" s="94" t="s">
        <v>84</v>
      </c>
      <c r="O12" s="95" t="s">
        <v>85</v>
      </c>
    </row>
    <row r="13" spans="1:17" s="57" customFormat="1">
      <c r="A13" s="70">
        <v>5</v>
      </c>
      <c r="B13" s="71" t="s">
        <v>20</v>
      </c>
      <c r="C13" s="71" t="s">
        <v>40</v>
      </c>
      <c r="D13" s="82">
        <v>630</v>
      </c>
      <c r="E13" s="86">
        <v>175</v>
      </c>
      <c r="F13" s="72">
        <v>30</v>
      </c>
      <c r="G13" s="72">
        <v>20</v>
      </c>
      <c r="H13" s="72">
        <v>40</v>
      </c>
      <c r="I13" s="72">
        <v>20</v>
      </c>
      <c r="J13" s="72"/>
      <c r="K13" s="72">
        <f t="shared" ref="K13:K29" si="0">SUM(F13:J13)</f>
        <v>110</v>
      </c>
      <c r="L13" s="72">
        <v>15</v>
      </c>
      <c r="M13" s="72">
        <v>10</v>
      </c>
      <c r="N13" s="72">
        <v>30</v>
      </c>
      <c r="O13" s="73">
        <v>10</v>
      </c>
      <c r="P13" s="62">
        <f>SUM(F13:J13,L13:O13)</f>
        <v>175</v>
      </c>
      <c r="Q13" s="62"/>
    </row>
    <row r="14" spans="1:17" s="57" customFormat="1">
      <c r="A14" s="68">
        <v>10</v>
      </c>
      <c r="B14" s="58" t="s">
        <v>12</v>
      </c>
      <c r="C14" s="63" t="s">
        <v>31</v>
      </c>
      <c r="D14" s="83">
        <v>1850</v>
      </c>
      <c r="E14" s="87">
        <v>520</v>
      </c>
      <c r="F14" s="64">
        <v>100</v>
      </c>
      <c r="G14" s="64">
        <v>80</v>
      </c>
      <c r="H14" s="64">
        <v>100</v>
      </c>
      <c r="I14" s="64">
        <v>50</v>
      </c>
      <c r="J14" s="64"/>
      <c r="K14" s="64">
        <f t="shared" si="0"/>
        <v>330</v>
      </c>
      <c r="L14" s="64">
        <v>40</v>
      </c>
      <c r="M14" s="64">
        <v>30</v>
      </c>
      <c r="N14" s="64">
        <v>100</v>
      </c>
      <c r="O14" s="69">
        <v>20</v>
      </c>
      <c r="P14" s="62">
        <f t="shared" ref="P14:P29" si="1">SUM(F14:J14,L14:O14)</f>
        <v>520</v>
      </c>
      <c r="Q14" s="62"/>
    </row>
    <row r="15" spans="1:17" s="57" customFormat="1">
      <c r="A15" s="76">
        <v>10</v>
      </c>
      <c r="B15" s="74" t="s">
        <v>13</v>
      </c>
      <c r="C15" s="74" t="s">
        <v>32</v>
      </c>
      <c r="D15" s="84">
        <v>2310</v>
      </c>
      <c r="E15" s="88">
        <v>650</v>
      </c>
      <c r="F15" s="75">
        <v>100</v>
      </c>
      <c r="G15" s="75">
        <v>100</v>
      </c>
      <c r="H15" s="75">
        <v>140</v>
      </c>
      <c r="I15" s="75">
        <v>80</v>
      </c>
      <c r="J15" s="75"/>
      <c r="K15" s="75">
        <f t="shared" si="0"/>
        <v>420</v>
      </c>
      <c r="L15" s="75">
        <v>50</v>
      </c>
      <c r="M15" s="75">
        <v>30</v>
      </c>
      <c r="N15" s="75">
        <v>120</v>
      </c>
      <c r="O15" s="77">
        <v>30</v>
      </c>
      <c r="P15" s="62">
        <f t="shared" si="1"/>
        <v>650</v>
      </c>
      <c r="Q15" s="62"/>
    </row>
    <row r="16" spans="1:17" s="57" customFormat="1">
      <c r="A16" s="68">
        <v>10</v>
      </c>
      <c r="B16" s="58" t="s">
        <v>70</v>
      </c>
      <c r="C16" s="63" t="s">
        <v>73</v>
      </c>
      <c r="D16" s="83">
        <v>760</v>
      </c>
      <c r="E16" s="87">
        <v>215</v>
      </c>
      <c r="F16" s="64">
        <v>40</v>
      </c>
      <c r="G16" s="64">
        <v>25</v>
      </c>
      <c r="H16" s="64">
        <v>50</v>
      </c>
      <c r="I16" s="64">
        <v>20</v>
      </c>
      <c r="J16" s="64"/>
      <c r="K16" s="64">
        <f t="shared" si="0"/>
        <v>135</v>
      </c>
      <c r="L16" s="64">
        <v>15</v>
      </c>
      <c r="M16" s="64">
        <v>10</v>
      </c>
      <c r="N16" s="64">
        <v>45</v>
      </c>
      <c r="O16" s="69">
        <v>10</v>
      </c>
      <c r="P16" s="62">
        <f t="shared" si="1"/>
        <v>215</v>
      </c>
      <c r="Q16" s="62"/>
    </row>
    <row r="17" spans="1:17" s="57" customFormat="1">
      <c r="A17" s="76">
        <v>5</v>
      </c>
      <c r="B17" s="74" t="s">
        <v>17</v>
      </c>
      <c r="C17" s="74" t="s">
        <v>103</v>
      </c>
      <c r="D17" s="84">
        <v>720</v>
      </c>
      <c r="E17" s="88">
        <v>128</v>
      </c>
      <c r="F17" s="75">
        <v>25</v>
      </c>
      <c r="G17" s="75">
        <v>18</v>
      </c>
      <c r="H17" s="75">
        <v>30</v>
      </c>
      <c r="I17" s="75">
        <v>15</v>
      </c>
      <c r="J17" s="75"/>
      <c r="K17" s="75">
        <f t="shared" si="0"/>
        <v>88</v>
      </c>
      <c r="L17" s="75">
        <v>10</v>
      </c>
      <c r="M17" s="75">
        <v>10</v>
      </c>
      <c r="N17" s="75">
        <v>15</v>
      </c>
      <c r="O17" s="77">
        <v>5</v>
      </c>
      <c r="P17" s="62">
        <f t="shared" si="1"/>
        <v>128</v>
      </c>
      <c r="Q17" s="62"/>
    </row>
    <row r="18" spans="1:17" s="57" customFormat="1">
      <c r="A18" s="68">
        <v>10</v>
      </c>
      <c r="B18" s="58" t="s">
        <v>6</v>
      </c>
      <c r="C18" s="63" t="s">
        <v>25</v>
      </c>
      <c r="D18" s="83">
        <v>550</v>
      </c>
      <c r="E18" s="87">
        <v>98</v>
      </c>
      <c r="F18" s="64">
        <v>20</v>
      </c>
      <c r="G18" s="64">
        <v>10</v>
      </c>
      <c r="H18" s="64">
        <v>20</v>
      </c>
      <c r="I18" s="64">
        <v>10</v>
      </c>
      <c r="J18" s="64">
        <v>3</v>
      </c>
      <c r="K18" s="64">
        <f t="shared" si="0"/>
        <v>63</v>
      </c>
      <c r="L18" s="64">
        <v>10</v>
      </c>
      <c r="M18" s="64">
        <v>10</v>
      </c>
      <c r="N18" s="64">
        <v>10</v>
      </c>
      <c r="O18" s="69">
        <v>5</v>
      </c>
      <c r="P18" s="62">
        <f t="shared" si="1"/>
        <v>98</v>
      </c>
      <c r="Q18" s="62"/>
    </row>
    <row r="19" spans="1:17" s="57" customFormat="1">
      <c r="A19" s="76">
        <v>10</v>
      </c>
      <c r="B19" s="74" t="s">
        <v>7</v>
      </c>
      <c r="C19" s="74" t="s">
        <v>26</v>
      </c>
      <c r="D19" s="84">
        <v>1120</v>
      </c>
      <c r="E19" s="88">
        <v>200</v>
      </c>
      <c r="F19" s="75">
        <v>20</v>
      </c>
      <c r="G19" s="75"/>
      <c r="H19" s="75">
        <v>20</v>
      </c>
      <c r="I19" s="75"/>
      <c r="J19" s="75">
        <v>80</v>
      </c>
      <c r="K19" s="75">
        <f t="shared" si="0"/>
        <v>120</v>
      </c>
      <c r="L19" s="75">
        <v>20</v>
      </c>
      <c r="M19" s="75">
        <v>20</v>
      </c>
      <c r="N19" s="75">
        <v>30</v>
      </c>
      <c r="O19" s="77">
        <v>10</v>
      </c>
      <c r="P19" s="62">
        <f t="shared" si="1"/>
        <v>200</v>
      </c>
      <c r="Q19" s="62"/>
    </row>
    <row r="20" spans="1:17" s="57" customFormat="1">
      <c r="A20" s="68">
        <v>10</v>
      </c>
      <c r="B20" s="58" t="s">
        <v>18</v>
      </c>
      <c r="C20" s="63" t="s">
        <v>38</v>
      </c>
      <c r="D20" s="83">
        <v>1160</v>
      </c>
      <c r="E20" s="87">
        <v>205</v>
      </c>
      <c r="F20" s="64">
        <v>20</v>
      </c>
      <c r="G20" s="64">
        <v>10</v>
      </c>
      <c r="H20" s="64">
        <v>20</v>
      </c>
      <c r="I20" s="64">
        <v>10</v>
      </c>
      <c r="J20" s="64">
        <v>65</v>
      </c>
      <c r="K20" s="64">
        <f t="shared" si="0"/>
        <v>125</v>
      </c>
      <c r="L20" s="64">
        <v>20</v>
      </c>
      <c r="M20" s="64">
        <v>20</v>
      </c>
      <c r="N20" s="64">
        <v>30</v>
      </c>
      <c r="O20" s="69">
        <v>10</v>
      </c>
      <c r="P20" s="62">
        <f t="shared" si="1"/>
        <v>205</v>
      </c>
      <c r="Q20" s="62"/>
    </row>
    <row r="21" spans="1:17" s="57" customFormat="1">
      <c r="A21" s="76"/>
      <c r="B21" s="74" t="s">
        <v>8</v>
      </c>
      <c r="C21" s="74" t="s">
        <v>27</v>
      </c>
      <c r="D21" s="84">
        <v>440</v>
      </c>
      <c r="E21" s="88">
        <v>85</v>
      </c>
      <c r="F21" s="75"/>
      <c r="G21" s="75"/>
      <c r="H21" s="75"/>
      <c r="I21" s="75"/>
      <c r="J21" s="75">
        <v>50</v>
      </c>
      <c r="K21" s="75">
        <f t="shared" si="0"/>
        <v>50</v>
      </c>
      <c r="L21" s="75">
        <v>5</v>
      </c>
      <c r="M21" s="75">
        <v>10</v>
      </c>
      <c r="N21" s="75">
        <v>15</v>
      </c>
      <c r="O21" s="77">
        <v>5</v>
      </c>
      <c r="P21" s="62">
        <f t="shared" si="1"/>
        <v>85</v>
      </c>
      <c r="Q21" s="62"/>
    </row>
    <row r="22" spans="1:17" s="57" customFormat="1">
      <c r="A22" s="68">
        <v>10</v>
      </c>
      <c r="B22" s="58" t="s">
        <v>71</v>
      </c>
      <c r="C22" s="63" t="s">
        <v>74</v>
      </c>
      <c r="D22" s="83">
        <v>110</v>
      </c>
      <c r="E22" s="87">
        <v>21</v>
      </c>
      <c r="F22" s="64"/>
      <c r="G22" s="64"/>
      <c r="H22" s="64">
        <v>5</v>
      </c>
      <c r="I22" s="64"/>
      <c r="J22" s="64">
        <v>8</v>
      </c>
      <c r="K22" s="64">
        <f t="shared" si="0"/>
        <v>13</v>
      </c>
      <c r="L22" s="64">
        <v>2</v>
      </c>
      <c r="M22" s="64">
        <v>2</v>
      </c>
      <c r="N22" s="64">
        <v>2</v>
      </c>
      <c r="O22" s="69">
        <v>2</v>
      </c>
      <c r="P22" s="62">
        <f t="shared" si="1"/>
        <v>21</v>
      </c>
      <c r="Q22" s="62"/>
    </row>
    <row r="23" spans="1:17" s="57" customFormat="1">
      <c r="A23" s="76">
        <v>5</v>
      </c>
      <c r="B23" s="74" t="s">
        <v>16</v>
      </c>
      <c r="C23" s="74" t="s">
        <v>35</v>
      </c>
      <c r="D23" s="84">
        <v>350</v>
      </c>
      <c r="E23" s="88">
        <v>68</v>
      </c>
      <c r="F23" s="75">
        <v>10</v>
      </c>
      <c r="G23" s="75">
        <v>5</v>
      </c>
      <c r="H23" s="75">
        <v>10</v>
      </c>
      <c r="I23" s="75">
        <v>5</v>
      </c>
      <c r="J23" s="75">
        <v>13</v>
      </c>
      <c r="K23" s="75">
        <f t="shared" si="0"/>
        <v>43</v>
      </c>
      <c r="L23" s="75">
        <v>5</v>
      </c>
      <c r="M23" s="75">
        <v>5</v>
      </c>
      <c r="N23" s="75">
        <v>10</v>
      </c>
      <c r="O23" s="77">
        <v>5</v>
      </c>
      <c r="P23" s="62">
        <f t="shared" si="1"/>
        <v>68</v>
      </c>
      <c r="Q23" s="62"/>
    </row>
    <row r="24" spans="1:17" s="57" customFormat="1">
      <c r="A24" s="68">
        <v>10</v>
      </c>
      <c r="B24" s="58" t="s">
        <v>72</v>
      </c>
      <c r="C24" s="63" t="s">
        <v>75</v>
      </c>
      <c r="D24" s="83">
        <v>50</v>
      </c>
      <c r="E24" s="87">
        <v>10</v>
      </c>
      <c r="F24" s="64"/>
      <c r="G24" s="64"/>
      <c r="H24" s="64"/>
      <c r="I24" s="64"/>
      <c r="J24" s="64"/>
      <c r="K24" s="64">
        <f t="shared" si="0"/>
        <v>0</v>
      </c>
      <c r="L24" s="64"/>
      <c r="M24" s="64">
        <v>10</v>
      </c>
      <c r="N24" s="64"/>
      <c r="O24" s="69"/>
      <c r="P24" s="62">
        <f t="shared" si="1"/>
        <v>10</v>
      </c>
      <c r="Q24" s="62"/>
    </row>
    <row r="25" spans="1:17" s="57" customFormat="1">
      <c r="A25" s="76">
        <v>10</v>
      </c>
      <c r="B25" s="74" t="s">
        <v>3</v>
      </c>
      <c r="C25" s="74" t="s">
        <v>22</v>
      </c>
      <c r="D25" s="84">
        <v>760</v>
      </c>
      <c r="E25" s="88">
        <v>148</v>
      </c>
      <c r="F25" s="75">
        <v>20</v>
      </c>
      <c r="G25" s="75">
        <v>20</v>
      </c>
      <c r="H25" s="75">
        <v>20</v>
      </c>
      <c r="I25" s="75">
        <v>10</v>
      </c>
      <c r="J25" s="75">
        <v>28</v>
      </c>
      <c r="K25" s="75">
        <f t="shared" si="0"/>
        <v>98</v>
      </c>
      <c r="L25" s="75">
        <v>10</v>
      </c>
      <c r="M25" s="75">
        <v>10</v>
      </c>
      <c r="N25" s="75">
        <v>20</v>
      </c>
      <c r="O25" s="77">
        <v>10</v>
      </c>
      <c r="P25" s="62">
        <f t="shared" si="1"/>
        <v>148</v>
      </c>
      <c r="Q25" s="62"/>
    </row>
    <row r="26" spans="1:17" s="57" customFormat="1">
      <c r="A26" s="68">
        <v>10</v>
      </c>
      <c r="B26" s="58" t="s">
        <v>104</v>
      </c>
      <c r="C26" s="63" t="s">
        <v>105</v>
      </c>
      <c r="D26" s="83">
        <v>1220</v>
      </c>
      <c r="E26" s="87">
        <v>235</v>
      </c>
      <c r="F26" s="64">
        <v>30</v>
      </c>
      <c r="G26" s="64">
        <v>20</v>
      </c>
      <c r="H26" s="64">
        <v>30</v>
      </c>
      <c r="I26" s="64">
        <v>10</v>
      </c>
      <c r="J26" s="64">
        <v>45</v>
      </c>
      <c r="K26" s="64">
        <f t="shared" si="0"/>
        <v>135</v>
      </c>
      <c r="L26" s="64">
        <v>20</v>
      </c>
      <c r="M26" s="64">
        <v>30</v>
      </c>
      <c r="N26" s="64">
        <v>40</v>
      </c>
      <c r="O26" s="69">
        <v>10</v>
      </c>
      <c r="P26" s="62">
        <f t="shared" si="1"/>
        <v>235</v>
      </c>
      <c r="Q26" s="62"/>
    </row>
    <row r="27" spans="1:17" s="57" customFormat="1">
      <c r="A27" s="76">
        <v>5</v>
      </c>
      <c r="B27" s="74" t="s">
        <v>101</v>
      </c>
      <c r="C27" s="74" t="s">
        <v>102</v>
      </c>
      <c r="D27" s="84">
        <v>80</v>
      </c>
      <c r="E27" s="88">
        <v>17</v>
      </c>
      <c r="F27" s="75">
        <v>5</v>
      </c>
      <c r="G27" s="75"/>
      <c r="H27" s="75">
        <v>5</v>
      </c>
      <c r="I27" s="75"/>
      <c r="J27" s="75"/>
      <c r="K27" s="75">
        <f t="shared" si="0"/>
        <v>10</v>
      </c>
      <c r="L27" s="75">
        <v>1</v>
      </c>
      <c r="M27" s="75">
        <v>2</v>
      </c>
      <c r="N27" s="75">
        <v>2</v>
      </c>
      <c r="O27" s="77">
        <v>2</v>
      </c>
      <c r="P27" s="62">
        <f t="shared" si="1"/>
        <v>17</v>
      </c>
      <c r="Q27" s="62"/>
    </row>
    <row r="28" spans="1:17" s="57" customFormat="1">
      <c r="A28" s="68">
        <v>10</v>
      </c>
      <c r="B28" s="58" t="s">
        <v>106</v>
      </c>
      <c r="C28" s="63" t="s">
        <v>107</v>
      </c>
      <c r="D28" s="83">
        <v>30</v>
      </c>
      <c r="E28" s="87">
        <v>6</v>
      </c>
      <c r="F28" s="64"/>
      <c r="G28" s="64"/>
      <c r="H28" s="64"/>
      <c r="I28" s="64"/>
      <c r="J28" s="64">
        <v>6</v>
      </c>
      <c r="K28" s="64">
        <f t="shared" si="0"/>
        <v>6</v>
      </c>
      <c r="L28" s="64"/>
      <c r="M28" s="64"/>
      <c r="N28" s="64"/>
      <c r="O28" s="69"/>
      <c r="P28" s="62">
        <f t="shared" si="1"/>
        <v>6</v>
      </c>
      <c r="Q28" s="62"/>
    </row>
    <row r="29" spans="1:17" s="57" customFormat="1" ht="14.4" thickBot="1">
      <c r="A29" s="76">
        <v>10</v>
      </c>
      <c r="B29" s="74" t="s">
        <v>100</v>
      </c>
      <c r="C29" s="74" t="s">
        <v>108</v>
      </c>
      <c r="D29" s="84">
        <v>220</v>
      </c>
      <c r="E29" s="88">
        <v>46</v>
      </c>
      <c r="F29" s="75"/>
      <c r="G29" s="75"/>
      <c r="H29" s="75"/>
      <c r="I29" s="75"/>
      <c r="J29" s="75">
        <v>32</v>
      </c>
      <c r="K29" s="75">
        <f t="shared" si="0"/>
        <v>32</v>
      </c>
      <c r="L29" s="75">
        <v>2</v>
      </c>
      <c r="M29" s="75">
        <v>5</v>
      </c>
      <c r="N29" s="75">
        <v>5</v>
      </c>
      <c r="O29" s="77">
        <v>2</v>
      </c>
      <c r="P29" s="62">
        <f t="shared" si="1"/>
        <v>46</v>
      </c>
      <c r="Q29" s="62"/>
    </row>
    <row r="30" spans="1:17" ht="14.4" thickBot="1">
      <c r="A30" s="65"/>
      <c r="B30" s="66"/>
      <c r="C30" s="66"/>
      <c r="D30" s="104"/>
      <c r="E30" s="104">
        <f>SUM(E13:E29)</f>
        <v>2827</v>
      </c>
      <c r="F30" s="104">
        <f t="shared" ref="F30:K30" si="2">SUM(F13:F29)</f>
        <v>420</v>
      </c>
      <c r="G30" s="104">
        <f t="shared" si="2"/>
        <v>308</v>
      </c>
      <c r="H30" s="104">
        <f t="shared" si="2"/>
        <v>490</v>
      </c>
      <c r="I30" s="104">
        <f t="shared" si="2"/>
        <v>230</v>
      </c>
      <c r="J30" s="104">
        <f t="shared" si="2"/>
        <v>330</v>
      </c>
      <c r="K30" s="104">
        <f t="shared" si="2"/>
        <v>1778</v>
      </c>
      <c r="L30" s="104">
        <f t="shared" ref="L30:O30" si="3">SUM(L13:L29)</f>
        <v>225</v>
      </c>
      <c r="M30" s="104">
        <f t="shared" si="3"/>
        <v>214</v>
      </c>
      <c r="N30" s="104">
        <f t="shared" si="3"/>
        <v>474</v>
      </c>
      <c r="O30" s="104">
        <f t="shared" si="3"/>
        <v>136</v>
      </c>
      <c r="P30" s="22">
        <f>SUM(K30:O30)</f>
        <v>2827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4"/>
  <sheetViews>
    <sheetView workbookViewId="0">
      <selection activeCell="E29" sqref="E29"/>
    </sheetView>
  </sheetViews>
  <sheetFormatPr defaultRowHeight="13.8"/>
  <cols>
    <col min="1" max="1" width="11.21875" style="22" bestFit="1" customWidth="1"/>
    <col min="2" max="2" width="33.88671875" style="22" bestFit="1" customWidth="1"/>
    <col min="3" max="3" width="22" style="22" customWidth="1"/>
    <col min="4" max="4" width="6.33203125" style="22" bestFit="1" customWidth="1"/>
    <col min="5" max="5" width="8.44140625" style="22" customWidth="1"/>
    <col min="6" max="9" width="8.77734375" style="22" customWidth="1"/>
    <col min="10" max="10" width="9.5546875" style="22" customWidth="1"/>
    <col min="11" max="11" width="26" style="22" bestFit="1" customWidth="1"/>
    <col min="12" max="12" width="7.77734375" style="22" customWidth="1"/>
    <col min="13" max="13" width="7.33203125" style="22" bestFit="1" customWidth="1"/>
    <col min="14" max="16" width="9" style="22" bestFit="1" customWidth="1"/>
    <col min="17" max="16384" width="8.88671875" style="22"/>
  </cols>
  <sheetData>
    <row r="1" spans="1:18" ht="27.6">
      <c r="A1" s="110" t="s">
        <v>95</v>
      </c>
      <c r="B1" s="111" t="s">
        <v>42</v>
      </c>
      <c r="C1" s="111" t="s">
        <v>43</v>
      </c>
      <c r="D1" s="111" t="s">
        <v>44</v>
      </c>
      <c r="E1" s="112" t="s">
        <v>45</v>
      </c>
      <c r="F1" s="112" t="s">
        <v>46</v>
      </c>
      <c r="G1" s="112" t="s">
        <v>48</v>
      </c>
      <c r="H1" s="113" t="s">
        <v>47</v>
      </c>
      <c r="I1" s="113" t="s">
        <v>96</v>
      </c>
      <c r="K1" s="114" t="s">
        <v>14</v>
      </c>
      <c r="L1" s="22">
        <v>13</v>
      </c>
      <c r="M1" s="22" t="s">
        <v>98</v>
      </c>
      <c r="N1" s="22" t="s">
        <v>113</v>
      </c>
    </row>
    <row r="2" spans="1:18">
      <c r="A2" s="105" t="s">
        <v>97</v>
      </c>
      <c r="B2" s="107">
        <v>0.17699999999999999</v>
      </c>
      <c r="C2" s="107">
        <v>2.1999999999999999E-2</v>
      </c>
      <c r="D2" s="108">
        <v>1.4999999999999999E-2</v>
      </c>
      <c r="E2" s="109">
        <v>4.3999999999999997E-2</v>
      </c>
      <c r="F2" s="109">
        <v>2E-3</v>
      </c>
      <c r="G2" s="109">
        <v>8.0000000000000002E-3</v>
      </c>
      <c r="H2" s="109">
        <v>8.9999999999999993E-3</v>
      </c>
      <c r="I2" s="109">
        <v>4.0000000000000001E-3</v>
      </c>
      <c r="K2" s="114" t="s">
        <v>7</v>
      </c>
      <c r="L2" s="22">
        <v>91</v>
      </c>
      <c r="M2" s="22" t="s">
        <v>98</v>
      </c>
    </row>
    <row r="3" spans="1:18">
      <c r="A3" s="106">
        <v>30.7</v>
      </c>
      <c r="B3" s="107">
        <v>0.11899999999999999</v>
      </c>
      <c r="C3" s="107">
        <v>1.4E-2</v>
      </c>
      <c r="D3" s="108">
        <v>1.6E-2</v>
      </c>
      <c r="E3" s="109">
        <v>1.7000000000000001E-2</v>
      </c>
      <c r="F3" s="109">
        <v>2E-3</v>
      </c>
      <c r="G3" s="109">
        <v>4.0000000000000001E-3</v>
      </c>
      <c r="H3" s="109">
        <v>3.0000000000000001E-3</v>
      </c>
      <c r="I3" s="109">
        <v>3.0000000000000001E-3</v>
      </c>
      <c r="K3" s="114" t="s">
        <v>72</v>
      </c>
      <c r="L3" s="22">
        <v>37</v>
      </c>
      <c r="M3" s="22" t="s">
        <v>98</v>
      </c>
    </row>
    <row r="4" spans="1:18">
      <c r="A4" s="106">
        <v>30.8</v>
      </c>
      <c r="B4" s="107">
        <v>0.115</v>
      </c>
      <c r="C4" s="107">
        <v>1.6E-2</v>
      </c>
      <c r="D4" s="108">
        <v>0.02</v>
      </c>
      <c r="E4" s="109">
        <v>2.8000000000000001E-2</v>
      </c>
      <c r="F4" s="109">
        <v>2E-3</v>
      </c>
      <c r="G4" s="109">
        <v>3.0000000000000001E-3</v>
      </c>
      <c r="H4" s="109">
        <v>6.0000000000000001E-3</v>
      </c>
      <c r="I4" s="109">
        <v>4.0000000000000001E-3</v>
      </c>
      <c r="K4" s="114" t="s">
        <v>8</v>
      </c>
      <c r="L4" s="22">
        <v>60</v>
      </c>
      <c r="M4" s="22" t="s">
        <v>98</v>
      </c>
    </row>
    <row r="5" spans="1:18">
      <c r="A5" s="106">
        <v>30.9</v>
      </c>
      <c r="B5" s="107">
        <v>0.14599999999999999</v>
      </c>
      <c r="C5" s="107">
        <v>2.5000000000000001E-2</v>
      </c>
      <c r="D5" s="108">
        <v>0.01</v>
      </c>
      <c r="E5" s="109">
        <v>1.6E-2</v>
      </c>
      <c r="F5" s="109">
        <v>3.0000000000000001E-3</v>
      </c>
      <c r="G5" s="109">
        <v>1E-3</v>
      </c>
      <c r="H5" s="109">
        <v>3.0000000000000001E-3</v>
      </c>
      <c r="I5" s="109">
        <v>4.0000000000000001E-3</v>
      </c>
      <c r="K5" s="125" t="s">
        <v>15</v>
      </c>
      <c r="L5" s="126">
        <v>0</v>
      </c>
      <c r="M5" s="126" t="s">
        <v>98</v>
      </c>
      <c r="N5" s="126" t="s">
        <v>166</v>
      </c>
    </row>
    <row r="6" spans="1:18">
      <c r="K6" s="114"/>
    </row>
    <row r="7" spans="1:18">
      <c r="K7" s="114"/>
    </row>
    <row r="8" spans="1:18">
      <c r="K8" s="114" t="s">
        <v>94</v>
      </c>
      <c r="L8" s="22">
        <v>23</v>
      </c>
      <c r="M8" s="22" t="s">
        <v>112</v>
      </c>
      <c r="N8" s="22" t="s">
        <v>114</v>
      </c>
    </row>
    <row r="9" spans="1:18">
      <c r="K9" s="114" t="s">
        <v>9</v>
      </c>
      <c r="L9" s="22">
        <v>19</v>
      </c>
      <c r="M9" s="22" t="s">
        <v>99</v>
      </c>
    </row>
    <row r="11" spans="1:18" ht="14.4" thickBot="1"/>
    <row r="12" spans="1:18" ht="28.2" thickBot="1">
      <c r="A12" s="65" t="s">
        <v>111</v>
      </c>
      <c r="B12" s="66" t="s">
        <v>78</v>
      </c>
      <c r="C12" s="66" t="s">
        <v>110</v>
      </c>
      <c r="D12" s="66" t="s">
        <v>80</v>
      </c>
      <c r="E12" s="67" t="s">
        <v>65</v>
      </c>
      <c r="F12" s="115" t="s">
        <v>81</v>
      </c>
      <c r="G12" s="115" t="s">
        <v>68</v>
      </c>
      <c r="H12" s="115" t="s">
        <v>50</v>
      </c>
      <c r="I12" s="115" t="s">
        <v>51</v>
      </c>
      <c r="J12" s="115" t="s">
        <v>121</v>
      </c>
      <c r="K12" s="115" t="s">
        <v>109</v>
      </c>
      <c r="L12" s="91" t="s">
        <v>86</v>
      </c>
      <c r="M12" s="92" t="s">
        <v>83</v>
      </c>
      <c r="N12" s="93" t="s">
        <v>44</v>
      </c>
      <c r="O12" s="94" t="s">
        <v>84</v>
      </c>
      <c r="P12" s="95" t="s">
        <v>85</v>
      </c>
    </row>
    <row r="13" spans="1:18" s="57" customFormat="1">
      <c r="A13" s="76">
        <v>5</v>
      </c>
      <c r="B13" s="74" t="s">
        <v>20</v>
      </c>
      <c r="C13" s="74" t="s">
        <v>40</v>
      </c>
      <c r="D13" s="84">
        <v>500</v>
      </c>
      <c r="E13" s="88">
        <v>141</v>
      </c>
      <c r="F13" s="75">
        <v>20</v>
      </c>
      <c r="G13" s="75">
        <v>20</v>
      </c>
      <c r="H13" s="75">
        <v>20</v>
      </c>
      <c r="I13" s="75">
        <v>10</v>
      </c>
      <c r="J13" s="75">
        <v>10</v>
      </c>
      <c r="K13" s="75">
        <v>13</v>
      </c>
      <c r="L13" s="75">
        <f t="shared" ref="L13:L33" si="0">SUM(F13:K13)</f>
        <v>93</v>
      </c>
      <c r="M13" s="75">
        <v>10</v>
      </c>
      <c r="N13" s="75">
        <v>8</v>
      </c>
      <c r="O13" s="75">
        <v>25</v>
      </c>
      <c r="P13" s="77">
        <v>5</v>
      </c>
      <c r="Q13" s="62">
        <f t="shared" ref="Q13:Q33" si="1">SUM(F13:K13,M13:P13)</f>
        <v>141</v>
      </c>
      <c r="R13" s="62"/>
    </row>
    <row r="14" spans="1:18" s="57" customFormat="1">
      <c r="A14" s="68">
        <v>10</v>
      </c>
      <c r="B14" s="58" t="s">
        <v>11</v>
      </c>
      <c r="C14" s="63" t="s">
        <v>30</v>
      </c>
      <c r="D14" s="83">
        <v>80</v>
      </c>
      <c r="E14" s="87">
        <v>23</v>
      </c>
      <c r="F14" s="64"/>
      <c r="G14" s="64"/>
      <c r="H14" s="64">
        <v>10</v>
      </c>
      <c r="I14" s="64"/>
      <c r="J14" s="64"/>
      <c r="K14" s="64">
        <v>3</v>
      </c>
      <c r="L14" s="64">
        <f t="shared" si="0"/>
        <v>13</v>
      </c>
      <c r="M14" s="64">
        <v>0</v>
      </c>
      <c r="N14" s="64">
        <v>0</v>
      </c>
      <c r="O14" s="64">
        <v>5</v>
      </c>
      <c r="P14" s="69">
        <v>5</v>
      </c>
      <c r="Q14" s="62">
        <f t="shared" si="1"/>
        <v>23</v>
      </c>
      <c r="R14" s="62"/>
    </row>
    <row r="15" spans="1:18" s="57" customFormat="1">
      <c r="A15" s="76">
        <v>10</v>
      </c>
      <c r="B15" s="74" t="s">
        <v>12</v>
      </c>
      <c r="C15" s="74" t="s">
        <v>117</v>
      </c>
      <c r="D15" s="84">
        <v>460</v>
      </c>
      <c r="E15" s="88">
        <v>129</v>
      </c>
      <c r="F15" s="75">
        <v>10</v>
      </c>
      <c r="G15" s="75">
        <v>20</v>
      </c>
      <c r="H15" s="75">
        <v>20</v>
      </c>
      <c r="I15" s="75">
        <v>10</v>
      </c>
      <c r="J15" s="75">
        <v>9</v>
      </c>
      <c r="K15" s="75"/>
      <c r="L15" s="75">
        <f t="shared" si="0"/>
        <v>69</v>
      </c>
      <c r="M15" s="75">
        <v>10</v>
      </c>
      <c r="N15" s="75">
        <v>10</v>
      </c>
      <c r="O15" s="75">
        <v>30</v>
      </c>
      <c r="P15" s="77">
        <v>10</v>
      </c>
      <c r="Q15" s="62">
        <f t="shared" si="1"/>
        <v>129</v>
      </c>
      <c r="R15" s="62"/>
    </row>
    <row r="16" spans="1:18" s="57" customFormat="1">
      <c r="A16" s="68">
        <v>10</v>
      </c>
      <c r="B16" s="58" t="s">
        <v>13</v>
      </c>
      <c r="C16" s="63" t="s">
        <v>32</v>
      </c>
      <c r="D16" s="83">
        <v>780</v>
      </c>
      <c r="E16" s="87">
        <v>219</v>
      </c>
      <c r="F16" s="64">
        <v>30</v>
      </c>
      <c r="G16" s="64">
        <v>20</v>
      </c>
      <c r="H16" s="64">
        <v>40</v>
      </c>
      <c r="I16" s="64">
        <v>30</v>
      </c>
      <c r="J16" s="64">
        <v>9</v>
      </c>
      <c r="K16" s="64"/>
      <c r="L16" s="64">
        <f t="shared" si="0"/>
        <v>129</v>
      </c>
      <c r="M16" s="64">
        <v>20</v>
      </c>
      <c r="N16" s="64">
        <v>20</v>
      </c>
      <c r="O16" s="64">
        <v>40</v>
      </c>
      <c r="P16" s="69">
        <v>10</v>
      </c>
      <c r="Q16" s="62">
        <f t="shared" si="1"/>
        <v>219</v>
      </c>
      <c r="R16" s="62"/>
    </row>
    <row r="17" spans="1:18" s="57" customFormat="1">
      <c r="A17" s="76">
        <v>10</v>
      </c>
      <c r="B17" s="74" t="s">
        <v>70</v>
      </c>
      <c r="C17" s="74" t="s">
        <v>73</v>
      </c>
      <c r="D17" s="84">
        <v>910</v>
      </c>
      <c r="E17" s="88">
        <v>260</v>
      </c>
      <c r="F17" s="75">
        <v>20</v>
      </c>
      <c r="G17" s="75">
        <v>30</v>
      </c>
      <c r="H17" s="75">
        <v>50</v>
      </c>
      <c r="I17" s="75">
        <v>40</v>
      </c>
      <c r="J17" s="75">
        <v>10</v>
      </c>
      <c r="K17" s="75"/>
      <c r="L17" s="75">
        <f t="shared" si="0"/>
        <v>150</v>
      </c>
      <c r="M17" s="75">
        <v>20</v>
      </c>
      <c r="N17" s="75">
        <v>20</v>
      </c>
      <c r="O17" s="75">
        <v>50</v>
      </c>
      <c r="P17" s="77">
        <v>20</v>
      </c>
      <c r="Q17" s="62">
        <f t="shared" si="1"/>
        <v>260</v>
      </c>
      <c r="R17" s="62"/>
    </row>
    <row r="18" spans="1:18" s="57" customFormat="1">
      <c r="A18" s="68">
        <v>5</v>
      </c>
      <c r="B18" s="58" t="s">
        <v>17</v>
      </c>
      <c r="C18" s="63" t="s">
        <v>37</v>
      </c>
      <c r="D18" s="83">
        <v>540</v>
      </c>
      <c r="E18" s="87">
        <v>96</v>
      </c>
      <c r="F18" s="64">
        <v>10</v>
      </c>
      <c r="G18" s="64">
        <v>10</v>
      </c>
      <c r="H18" s="64">
        <v>20</v>
      </c>
      <c r="I18" s="64">
        <v>10</v>
      </c>
      <c r="J18" s="64">
        <v>5</v>
      </c>
      <c r="K18" s="64">
        <v>6</v>
      </c>
      <c r="L18" s="64">
        <f t="shared" si="0"/>
        <v>61</v>
      </c>
      <c r="M18" s="64">
        <v>10</v>
      </c>
      <c r="N18" s="64">
        <v>10</v>
      </c>
      <c r="O18" s="64">
        <v>10</v>
      </c>
      <c r="P18" s="69">
        <v>5</v>
      </c>
      <c r="Q18" s="62">
        <f t="shared" si="1"/>
        <v>96</v>
      </c>
      <c r="R18" s="62"/>
    </row>
    <row r="19" spans="1:18" s="57" customFormat="1">
      <c r="A19" s="76">
        <v>10</v>
      </c>
      <c r="B19" s="74" t="s">
        <v>6</v>
      </c>
      <c r="C19" s="74" t="s">
        <v>118</v>
      </c>
      <c r="D19" s="84">
        <v>740</v>
      </c>
      <c r="E19" s="88">
        <v>132</v>
      </c>
      <c r="F19" s="75">
        <v>20</v>
      </c>
      <c r="G19" s="75">
        <v>20</v>
      </c>
      <c r="H19" s="75">
        <v>20</v>
      </c>
      <c r="I19" s="75">
        <v>10</v>
      </c>
      <c r="J19" s="75">
        <v>10</v>
      </c>
      <c r="K19" s="75">
        <v>2</v>
      </c>
      <c r="L19" s="75">
        <f t="shared" si="0"/>
        <v>82</v>
      </c>
      <c r="M19" s="75">
        <v>10</v>
      </c>
      <c r="N19" s="75">
        <v>10</v>
      </c>
      <c r="O19" s="75">
        <v>20</v>
      </c>
      <c r="P19" s="77">
        <v>10</v>
      </c>
      <c r="Q19" s="62">
        <f t="shared" si="1"/>
        <v>132</v>
      </c>
      <c r="R19" s="62"/>
    </row>
    <row r="20" spans="1:18" s="57" customFormat="1">
      <c r="A20" s="68">
        <v>10</v>
      </c>
      <c r="B20" s="58" t="s">
        <v>7</v>
      </c>
      <c r="C20" s="63" t="s">
        <v>26</v>
      </c>
      <c r="D20" s="83">
        <v>1400</v>
      </c>
      <c r="E20" s="87">
        <v>250</v>
      </c>
      <c r="F20" s="64">
        <v>20</v>
      </c>
      <c r="G20" s="64">
        <v>20</v>
      </c>
      <c r="H20" s="64">
        <v>50</v>
      </c>
      <c r="I20" s="64">
        <v>30</v>
      </c>
      <c r="J20" s="64">
        <v>10</v>
      </c>
      <c r="K20" s="64">
        <v>40</v>
      </c>
      <c r="L20" s="64">
        <f t="shared" si="0"/>
        <v>170</v>
      </c>
      <c r="M20" s="64">
        <v>20</v>
      </c>
      <c r="N20" s="64">
        <v>20</v>
      </c>
      <c r="O20" s="64">
        <v>30</v>
      </c>
      <c r="P20" s="69">
        <v>10</v>
      </c>
      <c r="Q20" s="62">
        <f t="shared" si="1"/>
        <v>250</v>
      </c>
      <c r="R20" s="62"/>
    </row>
    <row r="21" spans="1:18" s="57" customFormat="1">
      <c r="A21" s="76">
        <v>10</v>
      </c>
      <c r="B21" s="74" t="s">
        <v>18</v>
      </c>
      <c r="C21" s="74" t="s">
        <v>38</v>
      </c>
      <c r="D21" s="84">
        <v>1040</v>
      </c>
      <c r="E21" s="88">
        <v>185</v>
      </c>
      <c r="F21" s="75">
        <v>20</v>
      </c>
      <c r="G21" s="75">
        <v>30</v>
      </c>
      <c r="H21" s="75">
        <v>50</v>
      </c>
      <c r="I21" s="75">
        <v>20</v>
      </c>
      <c r="J21" s="75">
        <v>10</v>
      </c>
      <c r="K21" s="75">
        <v>5</v>
      </c>
      <c r="L21" s="75">
        <f t="shared" si="0"/>
        <v>135</v>
      </c>
      <c r="M21" s="75">
        <v>10</v>
      </c>
      <c r="N21" s="75">
        <v>10</v>
      </c>
      <c r="O21" s="75">
        <v>20</v>
      </c>
      <c r="P21" s="77">
        <v>10</v>
      </c>
      <c r="Q21" s="62">
        <f t="shared" si="1"/>
        <v>185</v>
      </c>
      <c r="R21" s="62"/>
    </row>
    <row r="22" spans="1:18" s="57" customFormat="1">
      <c r="A22" s="68">
        <v>5</v>
      </c>
      <c r="B22" s="58" t="s">
        <v>8</v>
      </c>
      <c r="C22" s="63" t="s">
        <v>27</v>
      </c>
      <c r="D22" s="83">
        <v>440</v>
      </c>
      <c r="E22" s="87">
        <v>86</v>
      </c>
      <c r="F22" s="64">
        <v>10</v>
      </c>
      <c r="G22" s="64">
        <v>10</v>
      </c>
      <c r="H22" s="64">
        <v>10</v>
      </c>
      <c r="I22" s="64">
        <v>10</v>
      </c>
      <c r="J22" s="64">
        <v>5</v>
      </c>
      <c r="K22" s="64">
        <v>11</v>
      </c>
      <c r="L22" s="64">
        <f t="shared" si="0"/>
        <v>56</v>
      </c>
      <c r="M22" s="64">
        <v>5</v>
      </c>
      <c r="N22" s="64">
        <v>10</v>
      </c>
      <c r="O22" s="64">
        <v>10</v>
      </c>
      <c r="P22" s="69">
        <v>5</v>
      </c>
      <c r="Q22" s="62">
        <f t="shared" si="1"/>
        <v>86</v>
      </c>
      <c r="R22" s="62"/>
    </row>
    <row r="23" spans="1:18" s="57" customFormat="1">
      <c r="A23" s="76">
        <v>4</v>
      </c>
      <c r="B23" s="74" t="s">
        <v>87</v>
      </c>
      <c r="C23" s="74" t="s">
        <v>119</v>
      </c>
      <c r="D23" s="84">
        <v>140</v>
      </c>
      <c r="E23" s="88">
        <v>28</v>
      </c>
      <c r="F23" s="75">
        <v>5</v>
      </c>
      <c r="G23" s="75">
        <v>5</v>
      </c>
      <c r="H23" s="75">
        <v>5</v>
      </c>
      <c r="I23" s="75"/>
      <c r="J23" s="75"/>
      <c r="K23" s="75">
        <v>1</v>
      </c>
      <c r="L23" s="75">
        <f t="shared" si="0"/>
        <v>16</v>
      </c>
      <c r="M23" s="75">
        <v>2</v>
      </c>
      <c r="N23" s="75">
        <v>3</v>
      </c>
      <c r="O23" s="75">
        <v>5</v>
      </c>
      <c r="P23" s="77">
        <v>2</v>
      </c>
      <c r="Q23" s="62">
        <f t="shared" si="1"/>
        <v>28</v>
      </c>
      <c r="R23" s="62"/>
    </row>
    <row r="24" spans="1:18" s="57" customFormat="1">
      <c r="A24" s="68">
        <v>10</v>
      </c>
      <c r="B24" s="58" t="s">
        <v>72</v>
      </c>
      <c r="C24" s="63" t="s">
        <v>75</v>
      </c>
      <c r="D24" s="83">
        <v>10</v>
      </c>
      <c r="E24" s="87">
        <v>0</v>
      </c>
      <c r="F24" s="64"/>
      <c r="G24" s="64"/>
      <c r="H24" s="64"/>
      <c r="I24" s="64"/>
      <c r="J24" s="64"/>
      <c r="K24" s="64"/>
      <c r="L24" s="64">
        <f t="shared" si="0"/>
        <v>0</v>
      </c>
      <c r="M24" s="64"/>
      <c r="N24" s="64"/>
      <c r="O24" s="64">
        <v>0</v>
      </c>
      <c r="P24" s="69">
        <v>0</v>
      </c>
      <c r="Q24" s="62">
        <f t="shared" si="1"/>
        <v>0</v>
      </c>
      <c r="R24" s="62"/>
    </row>
    <row r="25" spans="1:18" s="57" customFormat="1">
      <c r="A25" s="76">
        <v>10</v>
      </c>
      <c r="B25" s="74" t="s">
        <v>2</v>
      </c>
      <c r="C25" s="74" t="s">
        <v>21</v>
      </c>
      <c r="D25" s="84">
        <v>480</v>
      </c>
      <c r="E25" s="88">
        <v>93</v>
      </c>
      <c r="F25" s="75">
        <v>10</v>
      </c>
      <c r="G25" s="75">
        <v>10</v>
      </c>
      <c r="H25" s="75">
        <v>10</v>
      </c>
      <c r="I25" s="75">
        <v>5</v>
      </c>
      <c r="J25" s="75">
        <v>5</v>
      </c>
      <c r="K25" s="75">
        <v>3</v>
      </c>
      <c r="L25" s="75">
        <f t="shared" si="0"/>
        <v>43</v>
      </c>
      <c r="M25" s="75">
        <v>10</v>
      </c>
      <c r="N25" s="75">
        <v>10</v>
      </c>
      <c r="O25" s="75">
        <v>20</v>
      </c>
      <c r="P25" s="77">
        <v>10</v>
      </c>
      <c r="Q25" s="62">
        <f t="shared" si="1"/>
        <v>93</v>
      </c>
      <c r="R25" s="62"/>
    </row>
    <row r="26" spans="1:18" s="57" customFormat="1">
      <c r="A26" s="68">
        <v>10</v>
      </c>
      <c r="B26" s="58" t="s">
        <v>3</v>
      </c>
      <c r="C26" s="63" t="s">
        <v>22</v>
      </c>
      <c r="D26" s="83">
        <v>770</v>
      </c>
      <c r="E26" s="87">
        <v>150</v>
      </c>
      <c r="F26" s="64">
        <v>20</v>
      </c>
      <c r="G26" s="64">
        <v>20</v>
      </c>
      <c r="H26" s="64">
        <v>20</v>
      </c>
      <c r="I26" s="64">
        <v>20</v>
      </c>
      <c r="J26" s="64">
        <v>5</v>
      </c>
      <c r="K26" s="64">
        <v>10</v>
      </c>
      <c r="L26" s="64">
        <f t="shared" si="0"/>
        <v>95</v>
      </c>
      <c r="M26" s="64">
        <v>10</v>
      </c>
      <c r="N26" s="64">
        <v>15</v>
      </c>
      <c r="O26" s="64">
        <v>20</v>
      </c>
      <c r="P26" s="69">
        <v>10</v>
      </c>
      <c r="Q26" s="62">
        <f t="shared" si="1"/>
        <v>150</v>
      </c>
      <c r="R26" s="62"/>
    </row>
    <row r="27" spans="1:18" s="57" customFormat="1">
      <c r="A27" s="76"/>
      <c r="B27" s="74" t="s">
        <v>115</v>
      </c>
      <c r="C27" s="74" t="s">
        <v>120</v>
      </c>
      <c r="D27" s="84">
        <v>100</v>
      </c>
      <c r="E27" s="88">
        <v>19</v>
      </c>
      <c r="F27" s="75"/>
      <c r="G27" s="75"/>
      <c r="H27" s="75"/>
      <c r="I27" s="75"/>
      <c r="J27" s="75"/>
      <c r="K27" s="75">
        <v>15</v>
      </c>
      <c r="L27" s="75">
        <f t="shared" si="0"/>
        <v>15</v>
      </c>
      <c r="M27" s="75">
        <v>2</v>
      </c>
      <c r="N27" s="75">
        <v>2</v>
      </c>
      <c r="O27" s="75"/>
      <c r="P27" s="77"/>
      <c r="Q27" s="62">
        <f t="shared" si="1"/>
        <v>19</v>
      </c>
      <c r="R27" s="62"/>
    </row>
    <row r="28" spans="1:18" s="57" customFormat="1">
      <c r="A28" s="68">
        <v>10</v>
      </c>
      <c r="B28" s="58" t="s">
        <v>9</v>
      </c>
      <c r="C28" s="63" t="s">
        <v>28</v>
      </c>
      <c r="D28" s="83">
        <v>1040</v>
      </c>
      <c r="E28" s="87">
        <v>205</v>
      </c>
      <c r="F28" s="64">
        <v>20</v>
      </c>
      <c r="G28" s="64">
        <v>20</v>
      </c>
      <c r="H28" s="64">
        <v>30</v>
      </c>
      <c r="I28" s="64">
        <v>20</v>
      </c>
      <c r="J28" s="64">
        <v>10</v>
      </c>
      <c r="K28" s="64">
        <v>25</v>
      </c>
      <c r="L28" s="64">
        <f t="shared" si="0"/>
        <v>125</v>
      </c>
      <c r="M28" s="64">
        <v>10</v>
      </c>
      <c r="N28" s="64">
        <v>20</v>
      </c>
      <c r="O28" s="64">
        <v>40</v>
      </c>
      <c r="P28" s="69">
        <v>10</v>
      </c>
      <c r="Q28" s="62">
        <f t="shared" si="1"/>
        <v>205</v>
      </c>
      <c r="R28" s="62"/>
    </row>
    <row r="29" spans="1:18" s="57" customFormat="1">
      <c r="A29" s="76">
        <v>5</v>
      </c>
      <c r="B29" s="74" t="s">
        <v>15</v>
      </c>
      <c r="C29" s="74" t="s">
        <v>116</v>
      </c>
      <c r="D29" s="84">
        <v>270</v>
      </c>
      <c r="E29" s="88">
        <v>56</v>
      </c>
      <c r="F29" s="75">
        <v>5</v>
      </c>
      <c r="G29" s="75">
        <v>10</v>
      </c>
      <c r="H29" s="75">
        <v>10</v>
      </c>
      <c r="I29" s="75">
        <v>5</v>
      </c>
      <c r="J29" s="75">
        <v>5</v>
      </c>
      <c r="K29" s="75">
        <v>4</v>
      </c>
      <c r="L29" s="75">
        <f t="shared" si="0"/>
        <v>39</v>
      </c>
      <c r="M29" s="75">
        <v>5</v>
      </c>
      <c r="N29" s="75">
        <v>5</v>
      </c>
      <c r="O29" s="75">
        <v>5</v>
      </c>
      <c r="P29" s="77">
        <v>2</v>
      </c>
      <c r="Q29" s="62">
        <f t="shared" si="1"/>
        <v>56</v>
      </c>
      <c r="R29" s="62"/>
    </row>
    <row r="30" spans="1:18" s="57" customFormat="1">
      <c r="A30" s="68">
        <v>5</v>
      </c>
      <c r="B30" s="58" t="s">
        <v>101</v>
      </c>
      <c r="C30" s="63" t="s">
        <v>102</v>
      </c>
      <c r="D30" s="83">
        <v>5</v>
      </c>
      <c r="E30" s="87">
        <v>5</v>
      </c>
      <c r="F30" s="64"/>
      <c r="G30" s="64"/>
      <c r="H30" s="64">
        <v>5</v>
      </c>
      <c r="I30" s="64"/>
      <c r="J30" s="64"/>
      <c r="K30" s="64"/>
      <c r="L30" s="64">
        <f t="shared" si="0"/>
        <v>5</v>
      </c>
      <c r="M30" s="64"/>
      <c r="N30" s="64"/>
      <c r="O30" s="64">
        <v>0</v>
      </c>
      <c r="P30" s="69">
        <v>0</v>
      </c>
      <c r="Q30" s="62">
        <f t="shared" si="1"/>
        <v>5</v>
      </c>
      <c r="R30" s="62"/>
    </row>
    <row r="31" spans="1:18" s="57" customFormat="1">
      <c r="A31" s="76">
        <v>10</v>
      </c>
      <c r="B31" s="74" t="s">
        <v>4</v>
      </c>
      <c r="C31" s="74" t="s">
        <v>107</v>
      </c>
      <c r="D31" s="84">
        <v>20</v>
      </c>
      <c r="E31" s="88">
        <v>4</v>
      </c>
      <c r="F31" s="75"/>
      <c r="G31" s="75"/>
      <c r="H31" s="75"/>
      <c r="I31" s="75"/>
      <c r="J31" s="75">
        <v>4</v>
      </c>
      <c r="K31" s="75"/>
      <c r="L31" s="75">
        <f t="shared" si="0"/>
        <v>4</v>
      </c>
      <c r="M31" s="75"/>
      <c r="N31" s="75"/>
      <c r="O31" s="75">
        <v>0</v>
      </c>
      <c r="P31" s="77">
        <v>0</v>
      </c>
      <c r="Q31" s="62">
        <f t="shared" si="1"/>
        <v>4</v>
      </c>
      <c r="R31" s="62"/>
    </row>
    <row r="32" spans="1:18" s="57" customFormat="1">
      <c r="A32" s="68">
        <v>10</v>
      </c>
      <c r="B32" s="58" t="s">
        <v>10</v>
      </c>
      <c r="C32" s="63" t="s">
        <v>29</v>
      </c>
      <c r="D32" s="83">
        <v>460</v>
      </c>
      <c r="E32" s="87">
        <v>100</v>
      </c>
      <c r="F32" s="64"/>
      <c r="G32" s="64">
        <v>70</v>
      </c>
      <c r="H32" s="64"/>
      <c r="I32" s="64"/>
      <c r="J32" s="64"/>
      <c r="K32" s="64"/>
      <c r="L32" s="64">
        <f t="shared" si="0"/>
        <v>70</v>
      </c>
      <c r="M32" s="64">
        <v>20</v>
      </c>
      <c r="N32" s="64"/>
      <c r="O32" s="64"/>
      <c r="P32" s="69">
        <v>10</v>
      </c>
      <c r="Q32" s="62">
        <f t="shared" si="1"/>
        <v>100</v>
      </c>
      <c r="R32" s="62"/>
    </row>
    <row r="33" spans="1:18" s="57" customFormat="1" ht="14.4" thickBot="1">
      <c r="A33" s="76">
        <v>10</v>
      </c>
      <c r="B33" s="74" t="s">
        <v>19</v>
      </c>
      <c r="C33" s="74" t="s">
        <v>39</v>
      </c>
      <c r="D33" s="84">
        <v>50</v>
      </c>
      <c r="E33" s="88">
        <v>10</v>
      </c>
      <c r="F33" s="75"/>
      <c r="G33" s="75"/>
      <c r="H33" s="75">
        <v>5</v>
      </c>
      <c r="I33" s="75"/>
      <c r="J33" s="75">
        <v>1</v>
      </c>
      <c r="K33" s="75"/>
      <c r="L33" s="75">
        <f t="shared" si="0"/>
        <v>6</v>
      </c>
      <c r="M33" s="75">
        <v>1</v>
      </c>
      <c r="N33" s="75">
        <v>1</v>
      </c>
      <c r="O33" s="75">
        <v>1</v>
      </c>
      <c r="P33" s="77">
        <v>1</v>
      </c>
      <c r="Q33" s="62">
        <f t="shared" si="1"/>
        <v>10</v>
      </c>
      <c r="R33" s="62"/>
    </row>
    <row r="34" spans="1:18" ht="14.4" thickBot="1">
      <c r="A34" s="65"/>
      <c r="B34" s="66"/>
      <c r="C34" s="66"/>
      <c r="D34" s="104"/>
      <c r="E34" s="104">
        <f>SUM(E13:E33)</f>
        <v>2191</v>
      </c>
      <c r="F34" s="104">
        <f t="shared" ref="F34:Q34" si="2">SUM(F13:F33)</f>
        <v>220</v>
      </c>
      <c r="G34" s="104">
        <f t="shared" si="2"/>
        <v>315</v>
      </c>
      <c r="H34" s="104">
        <f t="shared" si="2"/>
        <v>375</v>
      </c>
      <c r="I34" s="104">
        <f t="shared" si="2"/>
        <v>220</v>
      </c>
      <c r="J34" s="104">
        <f t="shared" si="2"/>
        <v>108</v>
      </c>
      <c r="K34" s="104">
        <f t="shared" si="2"/>
        <v>138</v>
      </c>
      <c r="L34" s="104">
        <f t="shared" si="2"/>
        <v>1376</v>
      </c>
      <c r="M34" s="104">
        <f t="shared" si="2"/>
        <v>175</v>
      </c>
      <c r="N34" s="104">
        <f t="shared" si="2"/>
        <v>174</v>
      </c>
      <c r="O34" s="104">
        <f t="shared" si="2"/>
        <v>331</v>
      </c>
      <c r="P34" s="104">
        <f t="shared" si="2"/>
        <v>135</v>
      </c>
      <c r="Q34" s="104">
        <f t="shared" si="2"/>
        <v>2191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workbookViewId="0">
      <selection activeCell="H30" sqref="B17:H30"/>
    </sheetView>
  </sheetViews>
  <sheetFormatPr defaultRowHeight="13.8"/>
  <cols>
    <col min="1" max="1" width="6" style="22" bestFit="1" customWidth="1"/>
    <col min="2" max="2" width="17.109375" style="22" bestFit="1" customWidth="1"/>
    <col min="3" max="4" width="10.21875" style="22" customWidth="1"/>
    <col min="5" max="10" width="18.109375" style="22" customWidth="1"/>
    <col min="11" max="11" width="28.77734375" style="22" customWidth="1"/>
    <col min="12" max="13" width="18.109375" style="22" customWidth="1"/>
    <col min="14" max="16384" width="8.88671875" style="22"/>
  </cols>
  <sheetData>
    <row r="1" spans="1:13">
      <c r="C1" s="38" t="s">
        <v>63</v>
      </c>
      <c r="D1" s="38" t="s">
        <v>64</v>
      </c>
      <c r="E1" s="122" t="s">
        <v>122</v>
      </c>
      <c r="F1" s="122" t="s">
        <v>139</v>
      </c>
      <c r="G1" s="124" t="s">
        <v>123</v>
      </c>
      <c r="H1" s="124" t="s">
        <v>139</v>
      </c>
      <c r="I1" s="123" t="s">
        <v>124</v>
      </c>
      <c r="J1" s="123" t="s">
        <v>139</v>
      </c>
      <c r="K1" s="121" t="s">
        <v>65</v>
      </c>
      <c r="L1" s="121" t="s">
        <v>162</v>
      </c>
      <c r="M1" s="116" t="s">
        <v>125</v>
      </c>
    </row>
    <row r="2" spans="1:13">
      <c r="A2" s="423">
        <v>3080</v>
      </c>
      <c r="B2" s="114" t="s">
        <v>126</v>
      </c>
      <c r="C2" s="40">
        <v>100</v>
      </c>
      <c r="D2" s="40">
        <v>100</v>
      </c>
      <c r="E2" s="40">
        <v>15</v>
      </c>
      <c r="G2" s="40">
        <v>35</v>
      </c>
      <c r="H2" s="40"/>
      <c r="I2" s="40">
        <v>15</v>
      </c>
      <c r="K2" s="40">
        <v>20</v>
      </c>
      <c r="L2" s="40">
        <f>K2+J2+H2+F2</f>
        <v>20</v>
      </c>
      <c r="M2" s="40">
        <v>15</v>
      </c>
    </row>
    <row r="3" spans="1:13">
      <c r="A3" s="423"/>
      <c r="B3" s="117" t="s">
        <v>127</v>
      </c>
      <c r="C3" s="118">
        <v>350</v>
      </c>
      <c r="D3" s="118">
        <v>350</v>
      </c>
      <c r="E3" s="118">
        <v>50</v>
      </c>
      <c r="F3" s="118"/>
      <c r="G3" s="118">
        <v>125</v>
      </c>
      <c r="H3" s="118"/>
      <c r="I3" s="118">
        <v>65</v>
      </c>
      <c r="J3" s="118"/>
      <c r="K3" s="118">
        <v>65</v>
      </c>
      <c r="L3" s="118">
        <f t="shared" ref="L3:L14" si="0">K3+J3+H3+F3</f>
        <v>65</v>
      </c>
      <c r="M3" s="118">
        <v>45</v>
      </c>
    </row>
    <row r="4" spans="1:13">
      <c r="A4" s="423"/>
      <c r="B4" s="114" t="s">
        <v>128</v>
      </c>
      <c r="C4" s="40">
        <v>740</v>
      </c>
      <c r="D4" s="40">
        <v>740</v>
      </c>
      <c r="E4" s="40" t="s">
        <v>140</v>
      </c>
      <c r="F4" s="40">
        <v>30</v>
      </c>
      <c r="G4" s="40" t="s">
        <v>153</v>
      </c>
      <c r="H4" s="40">
        <v>30</v>
      </c>
      <c r="I4" s="40" t="s">
        <v>141</v>
      </c>
      <c r="J4" s="40">
        <v>20</v>
      </c>
      <c r="K4" s="40">
        <v>145</v>
      </c>
      <c r="L4" s="40">
        <f t="shared" si="0"/>
        <v>225</v>
      </c>
      <c r="M4" s="40">
        <v>95</v>
      </c>
    </row>
    <row r="5" spans="1:13" ht="14.4" thickBot="1">
      <c r="A5" s="424"/>
      <c r="B5" s="119" t="s">
        <v>129</v>
      </c>
      <c r="C5" s="120">
        <v>940</v>
      </c>
      <c r="D5" s="120">
        <v>940</v>
      </c>
      <c r="E5" s="120" t="s">
        <v>141</v>
      </c>
      <c r="F5" s="120">
        <v>20</v>
      </c>
      <c r="G5" s="120" t="s">
        <v>154</v>
      </c>
      <c r="H5" s="120">
        <v>30</v>
      </c>
      <c r="I5" s="120" t="s">
        <v>142</v>
      </c>
      <c r="J5" s="120">
        <v>10</v>
      </c>
      <c r="K5" s="120">
        <v>185</v>
      </c>
      <c r="L5" s="120">
        <f t="shared" si="0"/>
        <v>245</v>
      </c>
      <c r="M5" s="120">
        <v>120</v>
      </c>
    </row>
    <row r="6" spans="1:13">
      <c r="A6" s="422">
        <v>3070</v>
      </c>
      <c r="B6" s="114" t="s">
        <v>143</v>
      </c>
      <c r="C6" s="40">
        <v>1110</v>
      </c>
      <c r="D6" s="40">
        <v>1110</v>
      </c>
      <c r="E6" s="40">
        <v>210</v>
      </c>
      <c r="G6" s="40">
        <v>375</v>
      </c>
      <c r="H6" s="40"/>
      <c r="I6" s="40">
        <v>195</v>
      </c>
      <c r="K6" s="40">
        <v>200</v>
      </c>
      <c r="L6" s="40">
        <f t="shared" si="0"/>
        <v>200</v>
      </c>
      <c r="M6" s="40">
        <v>130</v>
      </c>
    </row>
    <row r="7" spans="1:13">
      <c r="A7" s="423"/>
      <c r="B7" s="117" t="s">
        <v>130</v>
      </c>
      <c r="C7" s="118">
        <v>3120</v>
      </c>
      <c r="D7" s="118">
        <v>3120</v>
      </c>
      <c r="E7" s="118" t="s">
        <v>144</v>
      </c>
      <c r="F7" s="118">
        <v>100</v>
      </c>
      <c r="G7" s="118" t="s">
        <v>155</v>
      </c>
      <c r="H7" s="118">
        <v>200</v>
      </c>
      <c r="I7" s="118" t="s">
        <v>145</v>
      </c>
      <c r="J7" s="118">
        <v>45</v>
      </c>
      <c r="K7" s="118">
        <v>555</v>
      </c>
      <c r="L7" s="118">
        <f t="shared" si="0"/>
        <v>900</v>
      </c>
      <c r="M7" s="118">
        <v>370</v>
      </c>
    </row>
    <row r="8" spans="1:13">
      <c r="A8" s="423"/>
      <c r="B8" s="114" t="s">
        <v>131</v>
      </c>
      <c r="C8" s="40">
        <v>1540</v>
      </c>
      <c r="D8" s="40">
        <v>1540</v>
      </c>
      <c r="E8" s="40" t="s">
        <v>146</v>
      </c>
      <c r="F8" s="40">
        <v>20</v>
      </c>
      <c r="G8" s="40" t="s">
        <v>156</v>
      </c>
      <c r="H8" s="40">
        <v>75</v>
      </c>
      <c r="I8" s="40" t="s">
        <v>147</v>
      </c>
      <c r="J8" s="40">
        <v>10</v>
      </c>
      <c r="K8" s="40">
        <v>275</v>
      </c>
      <c r="L8" s="40">
        <f t="shared" si="0"/>
        <v>380</v>
      </c>
      <c r="M8" s="40">
        <v>180</v>
      </c>
    </row>
    <row r="9" spans="1:13" ht="14.4" thickBot="1">
      <c r="A9" s="424"/>
      <c r="B9" s="119" t="s">
        <v>132</v>
      </c>
      <c r="C9" s="120">
        <v>1520</v>
      </c>
      <c r="D9" s="120">
        <v>1520</v>
      </c>
      <c r="E9" s="120" t="s">
        <v>148</v>
      </c>
      <c r="F9" s="120">
        <v>20</v>
      </c>
      <c r="G9" s="120" t="s">
        <v>157</v>
      </c>
      <c r="H9" s="120">
        <v>120</v>
      </c>
      <c r="I9" s="120" t="s">
        <v>149</v>
      </c>
      <c r="J9" s="120">
        <v>15</v>
      </c>
      <c r="K9" s="120">
        <v>270</v>
      </c>
      <c r="L9" s="120">
        <f t="shared" si="0"/>
        <v>425</v>
      </c>
      <c r="M9" s="120">
        <v>180</v>
      </c>
    </row>
    <row r="10" spans="1:13">
      <c r="A10" s="422" t="s">
        <v>133</v>
      </c>
      <c r="B10" s="114" t="s">
        <v>134</v>
      </c>
      <c r="C10" s="40">
        <v>790</v>
      </c>
      <c r="D10" s="40">
        <v>790</v>
      </c>
      <c r="E10" s="40">
        <v>85</v>
      </c>
      <c r="G10" s="40">
        <v>175</v>
      </c>
      <c r="H10" s="40"/>
      <c r="I10" s="40">
        <v>140</v>
      </c>
      <c r="K10" s="40">
        <v>220</v>
      </c>
      <c r="L10" s="40">
        <f t="shared" si="0"/>
        <v>220</v>
      </c>
      <c r="M10" s="40">
        <v>170</v>
      </c>
    </row>
    <row r="11" spans="1:13">
      <c r="A11" s="423"/>
      <c r="B11" s="117" t="s">
        <v>135</v>
      </c>
      <c r="C11" s="118">
        <v>1600</v>
      </c>
      <c r="D11" s="118">
        <v>1600</v>
      </c>
      <c r="E11" s="118">
        <v>180</v>
      </c>
      <c r="F11" s="118"/>
      <c r="G11" s="118">
        <v>350</v>
      </c>
      <c r="H11" s="118"/>
      <c r="I11" s="118">
        <v>280</v>
      </c>
      <c r="J11" s="118"/>
      <c r="K11" s="118">
        <v>450</v>
      </c>
      <c r="L11" s="118">
        <f t="shared" si="0"/>
        <v>450</v>
      </c>
      <c r="M11" s="118">
        <v>340</v>
      </c>
    </row>
    <row r="12" spans="1:13">
      <c r="A12" s="423"/>
      <c r="B12" s="114" t="s">
        <v>136</v>
      </c>
      <c r="C12" s="40">
        <v>2400</v>
      </c>
      <c r="D12" s="40">
        <v>2400</v>
      </c>
      <c r="E12" s="40">
        <v>270</v>
      </c>
      <c r="G12" s="40" t="s">
        <v>158</v>
      </c>
      <c r="H12" s="40">
        <v>30</v>
      </c>
      <c r="I12" s="40" t="s">
        <v>150</v>
      </c>
      <c r="J12" s="40">
        <v>20</v>
      </c>
      <c r="K12" s="40">
        <v>670</v>
      </c>
      <c r="L12" s="40">
        <f t="shared" si="0"/>
        <v>720</v>
      </c>
      <c r="M12" s="40">
        <v>510</v>
      </c>
    </row>
    <row r="13" spans="1:13">
      <c r="A13" s="423"/>
      <c r="B13" s="117" t="s">
        <v>137</v>
      </c>
      <c r="C13" s="118">
        <v>1910</v>
      </c>
      <c r="D13" s="118">
        <v>1910</v>
      </c>
      <c r="E13" s="118">
        <v>210</v>
      </c>
      <c r="F13" s="118"/>
      <c r="G13" s="118" t="s">
        <v>159</v>
      </c>
      <c r="H13" s="118">
        <v>20</v>
      </c>
      <c r="I13" s="118">
        <v>330</v>
      </c>
      <c r="J13" s="118"/>
      <c r="K13" s="118">
        <v>540</v>
      </c>
      <c r="L13" s="118">
        <f t="shared" si="0"/>
        <v>560</v>
      </c>
      <c r="M13" s="118">
        <v>410</v>
      </c>
    </row>
    <row r="14" spans="1:13">
      <c r="A14" s="423"/>
      <c r="B14" s="114" t="s">
        <v>138</v>
      </c>
      <c r="C14" s="40">
        <v>400</v>
      </c>
      <c r="D14" s="40">
        <v>400</v>
      </c>
      <c r="E14" s="40" t="s">
        <v>151</v>
      </c>
      <c r="F14" s="40">
        <v>15</v>
      </c>
      <c r="G14" s="40" t="s">
        <v>160</v>
      </c>
      <c r="H14" s="40">
        <v>30</v>
      </c>
      <c r="I14" s="40" t="s">
        <v>152</v>
      </c>
      <c r="J14" s="40">
        <v>20</v>
      </c>
      <c r="K14" s="40">
        <v>110</v>
      </c>
      <c r="L14" s="40">
        <f t="shared" si="0"/>
        <v>175</v>
      </c>
      <c r="M14" s="40">
        <v>85</v>
      </c>
    </row>
    <row r="16" spans="1:13" ht="14.4" thickBot="1"/>
    <row r="17" spans="1:11" ht="14.4" thickBot="1">
      <c r="C17" s="38" t="s">
        <v>63</v>
      </c>
      <c r="D17" s="121" t="s">
        <v>161</v>
      </c>
      <c r="E17" s="115" t="s">
        <v>81</v>
      </c>
      <c r="F17" s="115" t="s">
        <v>68</v>
      </c>
      <c r="G17" s="115" t="s">
        <v>50</v>
      </c>
      <c r="H17" s="115" t="s">
        <v>51</v>
      </c>
      <c r="J17" s="65" t="s">
        <v>111</v>
      </c>
      <c r="K17" s="66" t="s">
        <v>78</v>
      </c>
    </row>
    <row r="18" spans="1:11">
      <c r="A18" s="423">
        <v>3080</v>
      </c>
      <c r="B18" s="114" t="s">
        <v>126</v>
      </c>
      <c r="C18" s="40">
        <v>100</v>
      </c>
      <c r="D18" s="40">
        <v>20</v>
      </c>
      <c r="E18" s="40"/>
      <c r="F18" s="40"/>
      <c r="G18" s="40">
        <v>10</v>
      </c>
      <c r="H18" s="40">
        <v>10</v>
      </c>
      <c r="I18" s="22">
        <f>SUM(E18:H18)</f>
        <v>20</v>
      </c>
      <c r="J18" s="40">
        <v>10</v>
      </c>
      <c r="K18" s="40" t="s">
        <v>71</v>
      </c>
    </row>
    <row r="19" spans="1:11">
      <c r="A19" s="423"/>
      <c r="B19" s="117" t="s">
        <v>127</v>
      </c>
      <c r="C19" s="118">
        <v>350</v>
      </c>
      <c r="D19" s="118">
        <v>65</v>
      </c>
      <c r="E19" s="118">
        <v>20</v>
      </c>
      <c r="F19" s="118">
        <v>15</v>
      </c>
      <c r="G19" s="118">
        <v>20</v>
      </c>
      <c r="H19" s="118">
        <v>10</v>
      </c>
      <c r="I19" s="22">
        <f t="shared" ref="I19:I30" si="1">SUM(E19:H19)</f>
        <v>65</v>
      </c>
      <c r="J19" s="118">
        <v>5</v>
      </c>
      <c r="K19" s="118" t="s">
        <v>16</v>
      </c>
    </row>
    <row r="20" spans="1:11">
      <c r="A20" s="423"/>
      <c r="B20" s="114" t="s">
        <v>128</v>
      </c>
      <c r="C20" s="40">
        <v>740</v>
      </c>
      <c r="D20" s="40">
        <v>225</v>
      </c>
      <c r="E20" s="40">
        <v>40</v>
      </c>
      <c r="F20" s="40">
        <v>45</v>
      </c>
      <c r="G20" s="40">
        <v>100</v>
      </c>
      <c r="H20" s="40">
        <v>40</v>
      </c>
      <c r="I20" s="22">
        <f t="shared" si="1"/>
        <v>225</v>
      </c>
      <c r="J20" s="40">
        <v>10</v>
      </c>
      <c r="K20" s="40" t="s">
        <v>3</v>
      </c>
    </row>
    <row r="21" spans="1:11" ht="14.4" thickBot="1">
      <c r="A21" s="424"/>
      <c r="B21" s="119" t="s">
        <v>129</v>
      </c>
      <c r="C21" s="120">
        <v>940</v>
      </c>
      <c r="D21" s="120">
        <v>245</v>
      </c>
      <c r="E21" s="120">
        <v>50</v>
      </c>
      <c r="F21" s="120">
        <v>55</v>
      </c>
      <c r="G21" s="120">
        <v>100</v>
      </c>
      <c r="H21" s="120">
        <v>40</v>
      </c>
      <c r="I21" s="22">
        <f t="shared" si="1"/>
        <v>245</v>
      </c>
      <c r="J21" s="120">
        <v>10</v>
      </c>
      <c r="K21" s="120" t="s">
        <v>104</v>
      </c>
    </row>
    <row r="22" spans="1:11">
      <c r="A22" s="422">
        <v>3070</v>
      </c>
      <c r="B22" s="114" t="s">
        <v>143</v>
      </c>
      <c r="C22" s="40">
        <v>1110</v>
      </c>
      <c r="D22" s="40">
        <v>200</v>
      </c>
      <c r="E22" s="40">
        <v>40</v>
      </c>
      <c r="F22" s="40">
        <v>40</v>
      </c>
      <c r="G22" s="40">
        <v>80</v>
      </c>
      <c r="H22" s="40">
        <v>40</v>
      </c>
      <c r="I22" s="22">
        <f t="shared" si="1"/>
        <v>200</v>
      </c>
      <c r="J22" s="40">
        <v>5</v>
      </c>
      <c r="K22" s="40" t="s">
        <v>17</v>
      </c>
    </row>
    <row r="23" spans="1:11">
      <c r="A23" s="423"/>
      <c r="B23" s="117" t="s">
        <v>130</v>
      </c>
      <c r="C23" s="118">
        <v>3120</v>
      </c>
      <c r="D23" s="118">
        <v>900</v>
      </c>
      <c r="E23" s="118">
        <v>200</v>
      </c>
      <c r="F23" s="118">
        <v>200</v>
      </c>
      <c r="G23" s="118">
        <v>400</v>
      </c>
      <c r="H23" s="118">
        <v>100</v>
      </c>
      <c r="I23" s="22">
        <f t="shared" si="1"/>
        <v>900</v>
      </c>
      <c r="J23" s="118">
        <v>10</v>
      </c>
      <c r="K23" s="118" t="s">
        <v>7</v>
      </c>
    </row>
    <row r="24" spans="1:11">
      <c r="A24" s="423"/>
      <c r="B24" s="114" t="s">
        <v>131</v>
      </c>
      <c r="C24" s="40">
        <v>1540</v>
      </c>
      <c r="D24" s="40">
        <v>380</v>
      </c>
      <c r="E24" s="40">
        <v>60</v>
      </c>
      <c r="F24" s="40">
        <v>80</v>
      </c>
      <c r="G24" s="40">
        <v>200</v>
      </c>
      <c r="H24" s="40">
        <v>40</v>
      </c>
      <c r="I24" s="22">
        <f t="shared" si="1"/>
        <v>380</v>
      </c>
      <c r="J24" s="40">
        <v>10</v>
      </c>
      <c r="K24" s="40" t="s">
        <v>18</v>
      </c>
    </row>
    <row r="25" spans="1:11" ht="14.4" thickBot="1">
      <c r="A25" s="424"/>
      <c r="B25" s="119" t="s">
        <v>132</v>
      </c>
      <c r="C25" s="120">
        <v>1520</v>
      </c>
      <c r="D25" s="120">
        <v>425</v>
      </c>
      <c r="E25" s="120">
        <v>80</v>
      </c>
      <c r="F25" s="120">
        <v>85</v>
      </c>
      <c r="G25" s="120">
        <v>200</v>
      </c>
      <c r="H25" s="120">
        <v>60</v>
      </c>
      <c r="I25" s="22">
        <f t="shared" si="1"/>
        <v>425</v>
      </c>
      <c r="J25" s="120">
        <v>10</v>
      </c>
      <c r="K25" s="120" t="s">
        <v>6</v>
      </c>
    </row>
    <row r="26" spans="1:11">
      <c r="A26" s="422" t="s">
        <v>133</v>
      </c>
      <c r="B26" s="114" t="s">
        <v>134</v>
      </c>
      <c r="C26" s="40">
        <v>790</v>
      </c>
      <c r="D26" s="40">
        <v>220</v>
      </c>
      <c r="E26" s="40">
        <v>40</v>
      </c>
      <c r="F26" s="40">
        <v>40</v>
      </c>
      <c r="G26" s="40">
        <v>100</v>
      </c>
      <c r="H26" s="40">
        <v>40</v>
      </c>
      <c r="I26" s="22">
        <f t="shared" si="1"/>
        <v>220</v>
      </c>
      <c r="J26" s="40">
        <v>5</v>
      </c>
      <c r="K26" s="40" t="s">
        <v>163</v>
      </c>
    </row>
    <row r="27" spans="1:11">
      <c r="A27" s="423"/>
      <c r="B27" s="117" t="s">
        <v>135</v>
      </c>
      <c r="C27" s="118">
        <v>1600</v>
      </c>
      <c r="D27" s="118">
        <v>450</v>
      </c>
      <c r="E27" s="118">
        <v>100</v>
      </c>
      <c r="F27" s="118">
        <v>100</v>
      </c>
      <c r="G27" s="118">
        <v>200</v>
      </c>
      <c r="H27" s="118">
        <v>50</v>
      </c>
      <c r="I27" s="22">
        <f t="shared" si="1"/>
        <v>450</v>
      </c>
      <c r="J27" s="118">
        <v>10</v>
      </c>
      <c r="K27" s="118" t="s">
        <v>164</v>
      </c>
    </row>
    <row r="28" spans="1:11">
      <c r="A28" s="423"/>
      <c r="B28" s="114" t="s">
        <v>136</v>
      </c>
      <c r="C28" s="40">
        <v>2400</v>
      </c>
      <c r="D28" s="40">
        <v>720</v>
      </c>
      <c r="E28" s="40">
        <v>160</v>
      </c>
      <c r="F28" s="40">
        <v>160</v>
      </c>
      <c r="G28" s="40">
        <v>300</v>
      </c>
      <c r="H28" s="40">
        <v>100</v>
      </c>
      <c r="I28" s="22">
        <f t="shared" si="1"/>
        <v>720</v>
      </c>
      <c r="J28" s="40">
        <v>10</v>
      </c>
      <c r="K28" s="40" t="s">
        <v>13</v>
      </c>
    </row>
    <row r="29" spans="1:11">
      <c r="A29" s="423"/>
      <c r="B29" s="117" t="s">
        <v>137</v>
      </c>
      <c r="C29" s="118">
        <v>1910</v>
      </c>
      <c r="D29" s="118">
        <v>560</v>
      </c>
      <c r="E29" s="118">
        <v>140</v>
      </c>
      <c r="F29" s="118">
        <v>120</v>
      </c>
      <c r="G29" s="118">
        <v>200</v>
      </c>
      <c r="H29" s="118">
        <v>100</v>
      </c>
      <c r="I29" s="22">
        <f t="shared" si="1"/>
        <v>560</v>
      </c>
      <c r="J29" s="118">
        <v>10</v>
      </c>
      <c r="K29" s="118" t="s">
        <v>12</v>
      </c>
    </row>
    <row r="30" spans="1:11">
      <c r="A30" s="423"/>
      <c r="B30" s="114" t="s">
        <v>138</v>
      </c>
      <c r="C30" s="40">
        <v>400</v>
      </c>
      <c r="D30" s="40">
        <v>175</v>
      </c>
      <c r="E30" s="40"/>
      <c r="F30" s="40">
        <v>75</v>
      </c>
      <c r="G30" s="40">
        <v>100</v>
      </c>
      <c r="H30" s="40"/>
      <c r="I30" s="22">
        <f t="shared" si="1"/>
        <v>175</v>
      </c>
      <c r="J30" s="40">
        <v>10</v>
      </c>
      <c r="K30" s="40" t="s">
        <v>165</v>
      </c>
    </row>
    <row r="31" spans="1:11">
      <c r="D31" s="22">
        <f>SUM(D18:D30)</f>
        <v>4585</v>
      </c>
      <c r="E31" s="22">
        <f t="shared" ref="E31:H31" si="2">SUM(E18:E30)</f>
        <v>930</v>
      </c>
      <c r="F31" s="22">
        <f t="shared" si="2"/>
        <v>1015</v>
      </c>
      <c r="G31" s="22">
        <f t="shared" si="2"/>
        <v>2010</v>
      </c>
      <c r="H31" s="22">
        <f t="shared" si="2"/>
        <v>630</v>
      </c>
      <c r="I31" s="22">
        <f>SUM(I18:I30)</f>
        <v>4585</v>
      </c>
    </row>
  </sheetData>
  <sortState ref="J19:K34">
    <sortCondition ref="K18"/>
  </sortState>
  <mergeCells count="6">
    <mergeCell ref="A26:A30"/>
    <mergeCell ref="A2:A5"/>
    <mergeCell ref="A6:A9"/>
    <mergeCell ref="A10:A14"/>
    <mergeCell ref="A18:A21"/>
    <mergeCell ref="A22:A25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O8" sqref="O1:O8"/>
    </sheetView>
  </sheetViews>
  <sheetFormatPr defaultRowHeight="13.8"/>
  <cols>
    <col min="1" max="1" width="8.33203125" style="22" bestFit="1" customWidth="1"/>
    <col min="2" max="2" width="27.77734375" style="22" bestFit="1" customWidth="1"/>
    <col min="3" max="3" width="18.5546875" style="22" bestFit="1" customWidth="1"/>
    <col min="4" max="4" width="7.6640625" style="22" bestFit="1" customWidth="1"/>
    <col min="5" max="5" width="9" style="22" customWidth="1"/>
    <col min="6" max="6" width="7.77734375" style="22" bestFit="1" customWidth="1"/>
    <col min="7" max="7" width="6.44140625" style="22" bestFit="1" customWidth="1"/>
    <col min="8" max="9" width="6.33203125" style="22" bestFit="1" customWidth="1"/>
    <col min="10" max="10" width="6.5546875" style="22" bestFit="1" customWidth="1"/>
    <col min="11" max="11" width="7.5546875" style="22" bestFit="1" customWidth="1"/>
    <col min="12" max="12" width="25.88671875" style="22" bestFit="1" customWidth="1"/>
    <col min="13" max="13" width="7.21875" style="22" bestFit="1" customWidth="1"/>
    <col min="14" max="14" width="6.6640625" style="22" bestFit="1" customWidth="1"/>
    <col min="15" max="15" width="37.109375" style="22" customWidth="1"/>
    <col min="16" max="16" width="7" style="22" bestFit="1" customWidth="1"/>
    <col min="17" max="16384" width="8.88671875" style="22"/>
  </cols>
  <sheetData>
    <row r="1" spans="1:17" ht="27.6">
      <c r="B1" s="110" t="s">
        <v>95</v>
      </c>
      <c r="C1" s="111" t="s">
        <v>42</v>
      </c>
      <c r="D1" s="111" t="s">
        <v>43</v>
      </c>
      <c r="E1" s="111" t="s">
        <v>44</v>
      </c>
      <c r="F1" s="112" t="s">
        <v>45</v>
      </c>
      <c r="G1" s="112" t="s">
        <v>46</v>
      </c>
      <c r="H1" s="112" t="s">
        <v>48</v>
      </c>
      <c r="I1" s="113" t="s">
        <v>47</v>
      </c>
      <c r="J1" s="113" t="s">
        <v>96</v>
      </c>
      <c r="L1" s="114" t="s">
        <v>184</v>
      </c>
      <c r="M1" s="22">
        <v>13</v>
      </c>
      <c r="N1" s="22" t="s">
        <v>98</v>
      </c>
      <c r="O1" s="5" t="s">
        <v>185</v>
      </c>
    </row>
    <row r="2" spans="1:17" ht="69">
      <c r="B2" s="105" t="s">
        <v>97</v>
      </c>
      <c r="C2" s="107">
        <v>0.17699999999999999</v>
      </c>
      <c r="D2" s="107">
        <v>2.1999999999999999E-2</v>
      </c>
      <c r="E2" s="108">
        <v>1.4999999999999999E-2</v>
      </c>
      <c r="F2" s="109">
        <v>4.3999999999999997E-2</v>
      </c>
      <c r="G2" s="109">
        <v>2E-3</v>
      </c>
      <c r="H2" s="109">
        <v>8.0000000000000002E-3</v>
      </c>
      <c r="I2" s="109">
        <v>8.9999999999999993E-3</v>
      </c>
      <c r="J2" s="109">
        <v>4.0000000000000001E-3</v>
      </c>
      <c r="L2" s="114" t="s">
        <v>176</v>
      </c>
      <c r="M2" s="22">
        <v>41</v>
      </c>
      <c r="N2" s="22" t="s">
        <v>98</v>
      </c>
      <c r="O2" s="5" t="s">
        <v>183</v>
      </c>
    </row>
    <row r="3" spans="1:17" ht="27.6">
      <c r="B3" s="106">
        <v>30.7</v>
      </c>
      <c r="C3" s="107">
        <v>0.11899999999999999</v>
      </c>
      <c r="D3" s="107">
        <v>1.4E-2</v>
      </c>
      <c r="E3" s="108">
        <v>1.6E-2</v>
      </c>
      <c r="F3" s="109">
        <v>1.7000000000000001E-2</v>
      </c>
      <c r="G3" s="109">
        <v>2E-3</v>
      </c>
      <c r="H3" s="109">
        <v>4.0000000000000001E-3</v>
      </c>
      <c r="I3" s="109">
        <v>3.0000000000000001E-3</v>
      </c>
      <c r="J3" s="109">
        <v>3.0000000000000001E-3</v>
      </c>
      <c r="L3" s="114" t="s">
        <v>180</v>
      </c>
      <c r="M3" s="22">
        <v>20</v>
      </c>
      <c r="N3" s="22" t="s">
        <v>98</v>
      </c>
      <c r="O3" s="5" t="s">
        <v>186</v>
      </c>
    </row>
    <row r="4" spans="1:17" ht="27.6">
      <c r="B4" s="106">
        <v>30.8</v>
      </c>
      <c r="C4" s="107">
        <v>0.115</v>
      </c>
      <c r="D4" s="107">
        <v>1.6E-2</v>
      </c>
      <c r="E4" s="108">
        <v>0.02</v>
      </c>
      <c r="F4" s="109">
        <v>2.8000000000000001E-2</v>
      </c>
      <c r="G4" s="109">
        <v>2E-3</v>
      </c>
      <c r="H4" s="109">
        <v>3.0000000000000001E-3</v>
      </c>
      <c r="I4" s="109">
        <v>6.0000000000000001E-3</v>
      </c>
      <c r="J4" s="109">
        <v>4.0000000000000001E-3</v>
      </c>
      <c r="L4" s="114" t="s">
        <v>172</v>
      </c>
      <c r="M4" s="22">
        <v>20</v>
      </c>
      <c r="N4" s="22" t="s">
        <v>98</v>
      </c>
      <c r="O4" s="5" t="s">
        <v>187</v>
      </c>
    </row>
    <row r="5" spans="1:17">
      <c r="B5" s="106">
        <v>30.9</v>
      </c>
      <c r="C5" s="107">
        <v>0.14599999999999999</v>
      </c>
      <c r="D5" s="107">
        <v>2.5000000000000001E-2</v>
      </c>
      <c r="E5" s="108">
        <v>0.01</v>
      </c>
      <c r="F5" s="109">
        <v>1.6E-2</v>
      </c>
      <c r="G5" s="109">
        <v>3.0000000000000001E-3</v>
      </c>
      <c r="H5" s="109">
        <v>1E-3</v>
      </c>
      <c r="I5" s="109">
        <v>3.0000000000000001E-3</v>
      </c>
      <c r="J5" s="109">
        <v>4.0000000000000001E-3</v>
      </c>
      <c r="L5" s="125" t="s">
        <v>15</v>
      </c>
      <c r="M5" s="126">
        <v>0</v>
      </c>
      <c r="N5" s="126" t="s">
        <v>98</v>
      </c>
      <c r="O5" s="126" t="s">
        <v>166</v>
      </c>
    </row>
    <row r="6" spans="1:17">
      <c r="L6" s="114"/>
    </row>
    <row r="7" spans="1:17">
      <c r="L7" s="114" t="s">
        <v>177</v>
      </c>
      <c r="M7" s="22">
        <v>0</v>
      </c>
      <c r="N7" s="22" t="s">
        <v>99</v>
      </c>
      <c r="O7" s="22" t="s">
        <v>181</v>
      </c>
    </row>
    <row r="8" spans="1:17" ht="27.6">
      <c r="L8" s="114" t="s">
        <v>94</v>
      </c>
      <c r="M8" s="22">
        <v>23</v>
      </c>
      <c r="N8" s="22" t="s">
        <v>112</v>
      </c>
      <c r="O8" s="5" t="s">
        <v>179</v>
      </c>
    </row>
    <row r="9" spans="1:17">
      <c r="L9" s="114" t="s">
        <v>182</v>
      </c>
      <c r="M9" s="22">
        <v>19</v>
      </c>
      <c r="N9" s="22" t="s">
        <v>99</v>
      </c>
    </row>
    <row r="10" spans="1:17" ht="14.4" thickBot="1"/>
    <row r="11" spans="1:17" ht="14.4" thickBot="1">
      <c r="C11" s="96"/>
    </row>
    <row r="12" spans="1:17" ht="14.4" thickBot="1">
      <c r="A12" s="65" t="s">
        <v>111</v>
      </c>
      <c r="B12" s="66" t="s">
        <v>78</v>
      </c>
      <c r="C12" s="66" t="s">
        <v>110</v>
      </c>
      <c r="D12" s="66" t="s">
        <v>80</v>
      </c>
      <c r="E12" s="67" t="s">
        <v>65</v>
      </c>
      <c r="F12" s="115" t="s">
        <v>81</v>
      </c>
      <c r="G12" s="115" t="s">
        <v>68</v>
      </c>
      <c r="H12" s="115" t="s">
        <v>50</v>
      </c>
      <c r="I12" s="115" t="s">
        <v>51</v>
      </c>
      <c r="J12" s="115" t="s">
        <v>82</v>
      </c>
      <c r="K12" s="115" t="s">
        <v>109</v>
      </c>
      <c r="L12" s="91" t="s">
        <v>86</v>
      </c>
      <c r="M12" s="92" t="s">
        <v>83</v>
      </c>
      <c r="N12" s="93" t="s">
        <v>44</v>
      </c>
      <c r="O12" s="94" t="s">
        <v>84</v>
      </c>
      <c r="P12" s="95" t="s">
        <v>85</v>
      </c>
    </row>
    <row r="13" spans="1:17" s="57" customFormat="1">
      <c r="A13" s="74">
        <v>10</v>
      </c>
      <c r="B13" s="74" t="s">
        <v>70</v>
      </c>
      <c r="C13" s="84" t="s">
        <v>73</v>
      </c>
      <c r="D13" s="88">
        <v>60</v>
      </c>
      <c r="E13" s="75">
        <v>60</v>
      </c>
      <c r="F13" s="75">
        <v>20</v>
      </c>
      <c r="G13" s="75">
        <v>20</v>
      </c>
      <c r="H13" s="75"/>
      <c r="I13" s="75">
        <v>20</v>
      </c>
      <c r="J13" s="75"/>
      <c r="K13" s="75"/>
      <c r="L13" s="75">
        <f>SUM(F13:K13)</f>
        <v>60</v>
      </c>
      <c r="M13" s="75"/>
      <c r="N13" s="75"/>
      <c r="O13" s="75"/>
      <c r="P13" s="77"/>
      <c r="Q13" s="62">
        <f>SUM(F13:K13,M13:P13)</f>
        <v>60</v>
      </c>
    </row>
    <row r="14" spans="1:17" s="57" customFormat="1">
      <c r="A14" s="58">
        <v>5</v>
      </c>
      <c r="B14" s="63" t="s">
        <v>17</v>
      </c>
      <c r="C14" s="83" t="s">
        <v>37</v>
      </c>
      <c r="D14" s="87">
        <v>800</v>
      </c>
      <c r="E14" s="64">
        <v>145</v>
      </c>
      <c r="F14" s="64">
        <v>25</v>
      </c>
      <c r="G14" s="64">
        <v>20</v>
      </c>
      <c r="H14" s="64">
        <v>30</v>
      </c>
      <c r="I14" s="64">
        <v>10</v>
      </c>
      <c r="J14" s="64"/>
      <c r="K14" s="64"/>
      <c r="L14" s="64">
        <f t="shared" ref="L14:L31" si="0">SUM(F14:K14)</f>
        <v>85</v>
      </c>
      <c r="M14" s="64">
        <v>10</v>
      </c>
      <c r="N14" s="64">
        <v>20</v>
      </c>
      <c r="O14" s="64">
        <v>20</v>
      </c>
      <c r="P14" s="69">
        <v>10</v>
      </c>
      <c r="Q14" s="62">
        <f t="shared" ref="Q14:Q31" si="1">SUM(F14:K14,M14:P14)</f>
        <v>145</v>
      </c>
    </row>
    <row r="15" spans="1:17" s="57" customFormat="1">
      <c r="A15" s="74">
        <v>10</v>
      </c>
      <c r="B15" s="74" t="s">
        <v>171</v>
      </c>
      <c r="C15" s="84" t="s">
        <v>33</v>
      </c>
      <c r="D15" s="88">
        <v>25</v>
      </c>
      <c r="E15" s="75">
        <v>25</v>
      </c>
      <c r="F15" s="75">
        <v>10</v>
      </c>
      <c r="G15" s="75"/>
      <c r="H15" s="75">
        <v>15</v>
      </c>
      <c r="I15" s="75"/>
      <c r="J15" s="75"/>
      <c r="K15" s="75"/>
      <c r="L15" s="75">
        <f t="shared" si="0"/>
        <v>25</v>
      </c>
      <c r="M15" s="75"/>
      <c r="N15" s="75"/>
      <c r="O15" s="75"/>
      <c r="P15" s="77"/>
      <c r="Q15" s="62">
        <f t="shared" si="1"/>
        <v>25</v>
      </c>
    </row>
    <row r="16" spans="1:17" s="57" customFormat="1">
      <c r="A16" s="58">
        <v>10</v>
      </c>
      <c r="B16" s="63" t="s">
        <v>6</v>
      </c>
      <c r="C16" s="83" t="s">
        <v>25</v>
      </c>
      <c r="D16" s="87">
        <v>880</v>
      </c>
      <c r="E16" s="64">
        <v>155</v>
      </c>
      <c r="F16" s="64">
        <v>30</v>
      </c>
      <c r="G16" s="64">
        <v>20</v>
      </c>
      <c r="H16" s="64">
        <v>35</v>
      </c>
      <c r="I16" s="64">
        <v>10</v>
      </c>
      <c r="J16" s="64"/>
      <c r="K16" s="64"/>
      <c r="L16" s="64">
        <f t="shared" si="0"/>
        <v>95</v>
      </c>
      <c r="M16" s="64">
        <v>10</v>
      </c>
      <c r="N16" s="64">
        <v>20</v>
      </c>
      <c r="O16" s="64">
        <v>20</v>
      </c>
      <c r="P16" s="69">
        <v>10</v>
      </c>
      <c r="Q16" s="62">
        <f t="shared" si="1"/>
        <v>155</v>
      </c>
    </row>
    <row r="17" spans="1:17" s="57" customFormat="1">
      <c r="A17" s="74">
        <v>10</v>
      </c>
      <c r="B17" s="74" t="s">
        <v>7</v>
      </c>
      <c r="C17" s="84" t="s">
        <v>26</v>
      </c>
      <c r="D17" s="88">
        <v>2900</v>
      </c>
      <c r="E17" s="75">
        <v>515</v>
      </c>
      <c r="F17" s="75">
        <v>100</v>
      </c>
      <c r="G17" s="75">
        <v>75</v>
      </c>
      <c r="H17" s="75">
        <v>120</v>
      </c>
      <c r="I17" s="75">
        <v>40</v>
      </c>
      <c r="J17" s="75"/>
      <c r="K17" s="75"/>
      <c r="L17" s="75">
        <f t="shared" si="0"/>
        <v>335</v>
      </c>
      <c r="M17" s="75">
        <v>40</v>
      </c>
      <c r="N17" s="75">
        <v>50</v>
      </c>
      <c r="O17" s="75">
        <v>70</v>
      </c>
      <c r="P17" s="77">
        <v>20</v>
      </c>
      <c r="Q17" s="62">
        <f t="shared" si="1"/>
        <v>515</v>
      </c>
    </row>
    <row r="18" spans="1:17" s="57" customFormat="1">
      <c r="A18" s="58">
        <v>10</v>
      </c>
      <c r="B18" s="63" t="s">
        <v>18</v>
      </c>
      <c r="C18" s="83" t="s">
        <v>38</v>
      </c>
      <c r="D18" s="87">
        <v>1220</v>
      </c>
      <c r="E18" s="64">
        <v>220</v>
      </c>
      <c r="F18" s="64">
        <v>40</v>
      </c>
      <c r="G18" s="64">
        <v>30</v>
      </c>
      <c r="H18" s="64">
        <v>40</v>
      </c>
      <c r="I18" s="64">
        <v>30</v>
      </c>
      <c r="J18" s="64"/>
      <c r="K18" s="64"/>
      <c r="L18" s="64">
        <f t="shared" si="0"/>
        <v>140</v>
      </c>
      <c r="M18" s="64">
        <v>20</v>
      </c>
      <c r="N18" s="64">
        <v>20</v>
      </c>
      <c r="O18" s="64">
        <v>30</v>
      </c>
      <c r="P18" s="69">
        <v>10</v>
      </c>
      <c r="Q18" s="62">
        <f t="shared" si="1"/>
        <v>220</v>
      </c>
    </row>
    <row r="19" spans="1:17" s="57" customFormat="1">
      <c r="A19" s="74">
        <v>5</v>
      </c>
      <c r="B19" s="74" t="s">
        <v>172</v>
      </c>
      <c r="C19" s="84" t="s">
        <v>27</v>
      </c>
      <c r="D19" s="88">
        <v>680</v>
      </c>
      <c r="E19" s="75">
        <v>130</v>
      </c>
      <c r="F19" s="75">
        <v>20</v>
      </c>
      <c r="G19" s="75">
        <v>20</v>
      </c>
      <c r="H19" s="75">
        <v>20</v>
      </c>
      <c r="I19" s="75">
        <v>20</v>
      </c>
      <c r="J19" s="75"/>
      <c r="K19" s="75"/>
      <c r="L19" s="75">
        <f t="shared" si="0"/>
        <v>80</v>
      </c>
      <c r="M19" s="75">
        <v>10</v>
      </c>
      <c r="N19" s="75">
        <v>15</v>
      </c>
      <c r="O19" s="75">
        <v>20</v>
      </c>
      <c r="P19" s="77">
        <v>5</v>
      </c>
      <c r="Q19" s="62">
        <f t="shared" si="1"/>
        <v>130</v>
      </c>
    </row>
    <row r="20" spans="1:17" s="57" customFormat="1">
      <c r="A20" s="58">
        <v>10</v>
      </c>
      <c r="B20" s="63" t="s">
        <v>178</v>
      </c>
      <c r="C20" s="83" t="s">
        <v>74</v>
      </c>
      <c r="D20" s="87">
        <v>110</v>
      </c>
      <c r="E20" s="64">
        <v>21</v>
      </c>
      <c r="F20" s="64">
        <v>5</v>
      </c>
      <c r="G20" s="127">
        <v>2</v>
      </c>
      <c r="H20" s="64">
        <v>5</v>
      </c>
      <c r="I20" s="64"/>
      <c r="J20" s="64"/>
      <c r="K20" s="64"/>
      <c r="L20" s="64">
        <f t="shared" si="0"/>
        <v>12</v>
      </c>
      <c r="M20" s="64">
        <v>2</v>
      </c>
      <c r="N20" s="64"/>
      <c r="O20" s="64">
        <v>5</v>
      </c>
      <c r="P20" s="69">
        <v>2</v>
      </c>
      <c r="Q20" s="62">
        <f t="shared" si="1"/>
        <v>21</v>
      </c>
    </row>
    <row r="21" spans="1:17" s="57" customFormat="1">
      <c r="A21" s="74">
        <v>5</v>
      </c>
      <c r="B21" s="74" t="s">
        <v>16</v>
      </c>
      <c r="C21" s="84" t="s">
        <v>35</v>
      </c>
      <c r="D21" s="88">
        <v>600</v>
      </c>
      <c r="E21" s="75">
        <v>115</v>
      </c>
      <c r="F21" s="75">
        <v>20</v>
      </c>
      <c r="G21" s="75">
        <v>15</v>
      </c>
      <c r="H21" s="75">
        <v>30</v>
      </c>
      <c r="I21" s="75">
        <v>10</v>
      </c>
      <c r="J21" s="75"/>
      <c r="K21" s="75"/>
      <c r="L21" s="75">
        <f t="shared" si="0"/>
        <v>75</v>
      </c>
      <c r="M21" s="75">
        <v>10</v>
      </c>
      <c r="N21" s="75">
        <v>10</v>
      </c>
      <c r="O21" s="75">
        <v>10</v>
      </c>
      <c r="P21" s="77">
        <v>10</v>
      </c>
      <c r="Q21" s="62">
        <f t="shared" si="1"/>
        <v>115</v>
      </c>
    </row>
    <row r="22" spans="1:17" s="57" customFormat="1">
      <c r="A22" s="58">
        <v>10</v>
      </c>
      <c r="B22" s="63" t="s">
        <v>2</v>
      </c>
      <c r="C22" s="83" t="s">
        <v>21</v>
      </c>
      <c r="D22" s="87">
        <v>2280</v>
      </c>
      <c r="E22" s="64">
        <v>445</v>
      </c>
      <c r="F22" s="64">
        <v>60</v>
      </c>
      <c r="G22" s="64">
        <v>55</v>
      </c>
      <c r="H22" s="64">
        <v>100</v>
      </c>
      <c r="I22" s="64">
        <v>40</v>
      </c>
      <c r="J22" s="64"/>
      <c r="K22" s="64"/>
      <c r="L22" s="64">
        <f t="shared" si="0"/>
        <v>255</v>
      </c>
      <c r="M22" s="64">
        <v>40</v>
      </c>
      <c r="N22" s="64">
        <v>50</v>
      </c>
      <c r="O22" s="64">
        <v>70</v>
      </c>
      <c r="P22" s="69">
        <v>30</v>
      </c>
      <c r="Q22" s="62">
        <f t="shared" si="1"/>
        <v>445</v>
      </c>
    </row>
    <row r="23" spans="1:17" s="57" customFormat="1">
      <c r="A23" s="74">
        <v>10</v>
      </c>
      <c r="B23" s="74" t="s">
        <v>94</v>
      </c>
      <c r="C23" s="84" t="s">
        <v>22</v>
      </c>
      <c r="D23" s="88">
        <v>3680</v>
      </c>
      <c r="E23" s="75">
        <v>710</v>
      </c>
      <c r="F23" s="75">
        <v>120</v>
      </c>
      <c r="G23" s="75">
        <v>80</v>
      </c>
      <c r="H23" s="75">
        <v>150</v>
      </c>
      <c r="I23" s="75">
        <v>60</v>
      </c>
      <c r="J23" s="75"/>
      <c r="K23" s="75"/>
      <c r="L23" s="75">
        <f t="shared" si="0"/>
        <v>410</v>
      </c>
      <c r="M23" s="75">
        <v>60</v>
      </c>
      <c r="N23" s="75">
        <v>80</v>
      </c>
      <c r="O23" s="75">
        <v>120</v>
      </c>
      <c r="P23" s="77">
        <v>40</v>
      </c>
      <c r="Q23" s="62">
        <f t="shared" si="1"/>
        <v>710</v>
      </c>
    </row>
    <row r="24" spans="1:17" s="57" customFormat="1">
      <c r="A24" s="58">
        <v>10</v>
      </c>
      <c r="B24" s="63" t="s">
        <v>9</v>
      </c>
      <c r="C24" s="83" t="s">
        <v>28</v>
      </c>
      <c r="D24" s="87">
        <v>1880</v>
      </c>
      <c r="E24" s="64">
        <v>365</v>
      </c>
      <c r="F24" s="64">
        <v>60</v>
      </c>
      <c r="G24" s="64">
        <v>45</v>
      </c>
      <c r="H24" s="64">
        <v>80</v>
      </c>
      <c r="I24" s="64">
        <v>30</v>
      </c>
      <c r="J24" s="64"/>
      <c r="K24" s="64"/>
      <c r="L24" s="64">
        <f t="shared" si="0"/>
        <v>215</v>
      </c>
      <c r="M24" s="64">
        <v>30</v>
      </c>
      <c r="N24" s="64">
        <v>40</v>
      </c>
      <c r="O24" s="64">
        <v>60</v>
      </c>
      <c r="P24" s="69">
        <v>20</v>
      </c>
      <c r="Q24" s="62">
        <f t="shared" si="1"/>
        <v>365</v>
      </c>
    </row>
    <row r="25" spans="1:17" s="57" customFormat="1">
      <c r="A25" s="74">
        <v>5</v>
      </c>
      <c r="B25" s="74" t="s">
        <v>15</v>
      </c>
      <c r="C25" s="84" t="s">
        <v>34</v>
      </c>
      <c r="D25" s="88">
        <v>310</v>
      </c>
      <c r="E25" s="75">
        <v>64</v>
      </c>
      <c r="F25" s="75">
        <v>10</v>
      </c>
      <c r="G25" s="75">
        <v>10</v>
      </c>
      <c r="H25" s="75">
        <v>14</v>
      </c>
      <c r="I25" s="75">
        <v>10</v>
      </c>
      <c r="J25" s="75"/>
      <c r="K25" s="75"/>
      <c r="L25" s="75">
        <f t="shared" si="0"/>
        <v>44</v>
      </c>
      <c r="M25" s="75">
        <v>5</v>
      </c>
      <c r="N25" s="75">
        <v>5</v>
      </c>
      <c r="O25" s="75">
        <v>5</v>
      </c>
      <c r="P25" s="77">
        <v>5</v>
      </c>
      <c r="Q25" s="62">
        <f t="shared" si="1"/>
        <v>64</v>
      </c>
    </row>
    <row r="26" spans="1:17" s="57" customFormat="1">
      <c r="A26" s="58">
        <v>4</v>
      </c>
      <c r="B26" s="63" t="s">
        <v>167</v>
      </c>
      <c r="C26" s="83" t="s">
        <v>168</v>
      </c>
      <c r="D26" s="87">
        <v>85</v>
      </c>
      <c r="E26" s="64">
        <v>19</v>
      </c>
      <c r="F26" s="64">
        <v>4</v>
      </c>
      <c r="G26" s="127">
        <v>4</v>
      </c>
      <c r="H26" s="64">
        <v>4</v>
      </c>
      <c r="I26" s="64"/>
      <c r="J26" s="64"/>
      <c r="K26" s="64"/>
      <c r="L26" s="64">
        <f t="shared" si="0"/>
        <v>12</v>
      </c>
      <c r="M26" s="64">
        <v>2</v>
      </c>
      <c r="N26" s="64">
        <v>4</v>
      </c>
      <c r="O26" s="64"/>
      <c r="P26" s="69">
        <v>1</v>
      </c>
      <c r="Q26" s="62">
        <f t="shared" si="1"/>
        <v>19</v>
      </c>
    </row>
    <row r="27" spans="1:17" s="57" customFormat="1">
      <c r="A27" s="74">
        <v>10</v>
      </c>
      <c r="B27" s="74" t="s">
        <v>173</v>
      </c>
      <c r="C27" s="84" t="s">
        <v>169</v>
      </c>
      <c r="D27" s="88">
        <v>100</v>
      </c>
      <c r="E27" s="75">
        <v>21</v>
      </c>
      <c r="F27" s="75">
        <v>4</v>
      </c>
      <c r="G27" s="128">
        <v>10</v>
      </c>
      <c r="H27" s="75">
        <v>4</v>
      </c>
      <c r="I27" s="75"/>
      <c r="J27" s="75"/>
      <c r="K27" s="75"/>
      <c r="L27" s="75">
        <f t="shared" si="0"/>
        <v>18</v>
      </c>
      <c r="M27" s="75">
        <v>2</v>
      </c>
      <c r="N27" s="75"/>
      <c r="O27" s="75"/>
      <c r="P27" s="77">
        <v>1</v>
      </c>
      <c r="Q27" s="62">
        <f t="shared" si="1"/>
        <v>21</v>
      </c>
    </row>
    <row r="28" spans="1:17" s="57" customFormat="1">
      <c r="A28" s="58">
        <v>10</v>
      </c>
      <c r="B28" s="63" t="s">
        <v>5</v>
      </c>
      <c r="C28" s="83" t="s">
        <v>24</v>
      </c>
      <c r="D28" s="87">
        <v>340</v>
      </c>
      <c r="E28" s="64">
        <v>70</v>
      </c>
      <c r="F28" s="64">
        <v>10</v>
      </c>
      <c r="G28" s="64">
        <v>10</v>
      </c>
      <c r="H28" s="64">
        <v>10</v>
      </c>
      <c r="I28" s="64">
        <v>8</v>
      </c>
      <c r="J28" s="64"/>
      <c r="K28" s="64"/>
      <c r="L28" s="64">
        <f t="shared" si="0"/>
        <v>38</v>
      </c>
      <c r="M28" s="64">
        <v>10</v>
      </c>
      <c r="N28" s="64">
        <v>10</v>
      </c>
      <c r="O28" s="64">
        <v>10</v>
      </c>
      <c r="P28" s="69">
        <v>2</v>
      </c>
      <c r="Q28" s="62">
        <f t="shared" si="1"/>
        <v>70</v>
      </c>
    </row>
    <row r="29" spans="1:17" s="57" customFormat="1">
      <c r="A29" s="74">
        <v>1</v>
      </c>
      <c r="B29" s="74" t="s">
        <v>175</v>
      </c>
      <c r="C29" s="84" t="s">
        <v>170</v>
      </c>
      <c r="D29" s="88">
        <v>30</v>
      </c>
      <c r="E29" s="75">
        <v>6</v>
      </c>
      <c r="F29" s="75"/>
      <c r="G29" s="75">
        <v>2</v>
      </c>
      <c r="H29" s="75">
        <v>2</v>
      </c>
      <c r="I29" s="75">
        <v>2</v>
      </c>
      <c r="J29" s="75"/>
      <c r="K29" s="75"/>
      <c r="L29" s="75">
        <f t="shared" si="0"/>
        <v>6</v>
      </c>
      <c r="M29" s="75"/>
      <c r="N29" s="75"/>
      <c r="O29" s="75"/>
      <c r="P29" s="77"/>
      <c r="Q29" s="62">
        <f t="shared" si="1"/>
        <v>6</v>
      </c>
    </row>
    <row r="30" spans="1:17" s="57" customFormat="1">
      <c r="A30" s="58">
        <v>10</v>
      </c>
      <c r="B30" s="63" t="s">
        <v>10</v>
      </c>
      <c r="C30" s="83" t="s">
        <v>29</v>
      </c>
      <c r="D30" s="87">
        <v>900</v>
      </c>
      <c r="E30" s="64">
        <v>0</v>
      </c>
      <c r="F30" s="64"/>
      <c r="G30" s="64"/>
      <c r="H30" s="64"/>
      <c r="I30" s="64"/>
      <c r="J30" s="64"/>
      <c r="K30" s="64"/>
      <c r="L30" s="64">
        <f t="shared" si="0"/>
        <v>0</v>
      </c>
      <c r="M30" s="64"/>
      <c r="N30" s="64"/>
      <c r="O30" s="64">
        <v>0</v>
      </c>
      <c r="P30" s="69">
        <v>0</v>
      </c>
      <c r="Q30" s="62">
        <f t="shared" si="1"/>
        <v>0</v>
      </c>
    </row>
    <row r="31" spans="1:17" s="57" customFormat="1" ht="14.4" thickBot="1">
      <c r="A31" s="74">
        <v>10</v>
      </c>
      <c r="B31" s="74" t="s">
        <v>174</v>
      </c>
      <c r="C31" s="84" t="s">
        <v>39</v>
      </c>
      <c r="D31" s="88">
        <v>460</v>
      </c>
      <c r="E31" s="75">
        <v>95</v>
      </c>
      <c r="F31" s="75">
        <v>20</v>
      </c>
      <c r="G31" s="75">
        <v>10</v>
      </c>
      <c r="H31" s="75">
        <v>20</v>
      </c>
      <c r="I31" s="75">
        <v>10</v>
      </c>
      <c r="J31" s="75"/>
      <c r="K31" s="75"/>
      <c r="L31" s="75">
        <f t="shared" si="0"/>
        <v>60</v>
      </c>
      <c r="M31" s="75">
        <v>10</v>
      </c>
      <c r="N31" s="75">
        <v>10</v>
      </c>
      <c r="O31" s="75">
        <v>10</v>
      </c>
      <c r="P31" s="77">
        <v>5</v>
      </c>
      <c r="Q31" s="62">
        <f t="shared" si="1"/>
        <v>95</v>
      </c>
    </row>
    <row r="32" spans="1:17" ht="14.4" thickBot="1">
      <c r="A32" s="66"/>
      <c r="B32" s="66"/>
      <c r="C32" s="104"/>
      <c r="D32" s="104">
        <f>SUM(D11:D31)</f>
        <v>17340</v>
      </c>
      <c r="E32" s="104">
        <f t="shared" ref="E32:P32" si="2">SUM(E11:E31)</f>
        <v>3181</v>
      </c>
      <c r="F32" s="104">
        <f t="shared" si="2"/>
        <v>558</v>
      </c>
      <c r="G32" s="104">
        <f t="shared" si="2"/>
        <v>428</v>
      </c>
      <c r="H32" s="104">
        <f t="shared" si="2"/>
        <v>679</v>
      </c>
      <c r="I32" s="104">
        <f t="shared" si="2"/>
        <v>300</v>
      </c>
      <c r="J32" s="104">
        <f t="shared" si="2"/>
        <v>0</v>
      </c>
      <c r="K32" s="104">
        <f t="shared" si="2"/>
        <v>0</v>
      </c>
      <c r="L32" s="104">
        <f t="shared" si="2"/>
        <v>1965</v>
      </c>
      <c r="M32" s="104">
        <f t="shared" si="2"/>
        <v>261</v>
      </c>
      <c r="N32" s="104">
        <f t="shared" si="2"/>
        <v>334</v>
      </c>
      <c r="O32" s="104">
        <f t="shared" si="2"/>
        <v>450</v>
      </c>
      <c r="P32" s="104">
        <f t="shared" si="2"/>
        <v>171</v>
      </c>
      <c r="Q32" s="104">
        <f t="shared" ref="Q32" si="3">SUM(Q11:Q31)</f>
        <v>3181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7"/>
  <sheetViews>
    <sheetView topLeftCell="A4" workbookViewId="0">
      <selection activeCell="J14" sqref="J14"/>
    </sheetView>
  </sheetViews>
  <sheetFormatPr defaultRowHeight="13.8"/>
  <cols>
    <col min="1" max="1" width="8.88671875" style="22"/>
    <col min="2" max="2" width="25.44140625" style="22" customWidth="1"/>
    <col min="3" max="3" width="19.109375" style="22" customWidth="1"/>
    <col min="4" max="11" width="8.88671875" style="22"/>
    <col min="12" max="12" width="26.6640625" style="22" bestFit="1" customWidth="1"/>
    <col min="13" max="14" width="8.88671875" style="22"/>
    <col min="15" max="15" width="36" style="22" customWidth="1"/>
    <col min="16" max="16384" width="8.88671875" style="22"/>
  </cols>
  <sheetData>
    <row r="1" spans="1:17" ht="27.6">
      <c r="B1" s="110" t="s">
        <v>95</v>
      </c>
      <c r="C1" s="111" t="s">
        <v>42</v>
      </c>
      <c r="D1" s="111" t="s">
        <v>43</v>
      </c>
      <c r="E1" s="111" t="s">
        <v>44</v>
      </c>
      <c r="F1" s="112" t="s">
        <v>45</v>
      </c>
      <c r="G1" s="112" t="s">
        <v>46</v>
      </c>
      <c r="H1" s="112" t="s">
        <v>48</v>
      </c>
      <c r="I1" s="113" t="s">
        <v>47</v>
      </c>
      <c r="J1" s="113" t="s">
        <v>96</v>
      </c>
      <c r="L1" s="125" t="s">
        <v>184</v>
      </c>
      <c r="M1" s="126">
        <v>0</v>
      </c>
      <c r="N1" s="126" t="s">
        <v>98</v>
      </c>
      <c r="O1" s="126" t="s">
        <v>185</v>
      </c>
    </row>
    <row r="2" spans="1:17" ht="110.4">
      <c r="B2" s="105" t="s">
        <v>97</v>
      </c>
      <c r="C2" s="107">
        <v>0.17699999999999999</v>
      </c>
      <c r="D2" s="107">
        <v>2.1999999999999999E-2</v>
      </c>
      <c r="E2" s="108">
        <v>1.4999999999999999E-2</v>
      </c>
      <c r="F2" s="109">
        <v>4.3999999999999997E-2</v>
      </c>
      <c r="G2" s="109">
        <v>2E-3</v>
      </c>
      <c r="H2" s="109">
        <v>8.0000000000000002E-3</v>
      </c>
      <c r="I2" s="109">
        <v>8.9999999999999993E-3</v>
      </c>
      <c r="J2" s="109">
        <v>4.0000000000000001E-3</v>
      </c>
      <c r="L2" s="114" t="s">
        <v>176</v>
      </c>
      <c r="M2" s="22">
        <v>41</v>
      </c>
      <c r="N2" s="22" t="s">
        <v>98</v>
      </c>
      <c r="O2" s="5" t="s">
        <v>204</v>
      </c>
    </row>
    <row r="3" spans="1:17" ht="27.6">
      <c r="B3" s="106">
        <v>30.7</v>
      </c>
      <c r="C3" s="107">
        <v>0.11899999999999999</v>
      </c>
      <c r="D3" s="107">
        <v>1.4E-2</v>
      </c>
      <c r="E3" s="108">
        <v>1.6E-2</v>
      </c>
      <c r="F3" s="109">
        <v>1.7000000000000001E-2</v>
      </c>
      <c r="G3" s="109">
        <v>2E-3</v>
      </c>
      <c r="H3" s="109">
        <v>4.0000000000000001E-3</v>
      </c>
      <c r="I3" s="109">
        <v>3.0000000000000001E-3</v>
      </c>
      <c r="J3" s="109">
        <v>3.0000000000000001E-3</v>
      </c>
      <c r="L3" s="114" t="s">
        <v>180</v>
      </c>
      <c r="M3" s="22">
        <v>20</v>
      </c>
      <c r="N3" s="22" t="s">
        <v>98</v>
      </c>
      <c r="O3" s="5" t="s">
        <v>186</v>
      </c>
    </row>
    <row r="4" spans="1:17" ht="41.4">
      <c r="B4" s="106">
        <v>30.8</v>
      </c>
      <c r="C4" s="107">
        <v>0.115</v>
      </c>
      <c r="D4" s="107">
        <v>1.6E-2</v>
      </c>
      <c r="E4" s="108">
        <v>0.02</v>
      </c>
      <c r="F4" s="109">
        <v>2.8000000000000001E-2</v>
      </c>
      <c r="G4" s="109">
        <v>2E-3</v>
      </c>
      <c r="H4" s="109">
        <v>3.0000000000000001E-3</v>
      </c>
      <c r="I4" s="109">
        <v>6.0000000000000001E-3</v>
      </c>
      <c r="J4" s="109">
        <v>4.0000000000000001E-3</v>
      </c>
      <c r="L4" s="114" t="s">
        <v>172</v>
      </c>
      <c r="M4" s="22">
        <v>20</v>
      </c>
      <c r="N4" s="22" t="s">
        <v>98</v>
      </c>
      <c r="O4" s="5" t="s">
        <v>187</v>
      </c>
    </row>
    <row r="5" spans="1:17">
      <c r="B5" s="106">
        <v>30.9</v>
      </c>
      <c r="C5" s="107">
        <v>0.14599999999999999</v>
      </c>
      <c r="D5" s="107">
        <v>2.5000000000000001E-2</v>
      </c>
      <c r="E5" s="108">
        <v>0.01</v>
      </c>
      <c r="F5" s="109">
        <v>1.6E-2</v>
      </c>
      <c r="G5" s="109">
        <v>3.0000000000000001E-3</v>
      </c>
      <c r="H5" s="109">
        <v>1E-3</v>
      </c>
      <c r="I5" s="109">
        <v>3.0000000000000001E-3</v>
      </c>
      <c r="J5" s="109">
        <v>4.0000000000000001E-3</v>
      </c>
      <c r="L5" s="125" t="s">
        <v>15</v>
      </c>
      <c r="M5" s="126">
        <v>0</v>
      </c>
      <c r="N5" s="126" t="s">
        <v>98</v>
      </c>
      <c r="O5" s="126" t="s">
        <v>166</v>
      </c>
    </row>
    <row r="6" spans="1:17">
      <c r="L6" s="114"/>
    </row>
    <row r="7" spans="1:17">
      <c r="L7" s="114" t="s">
        <v>177</v>
      </c>
      <c r="M7" s="22">
        <v>0</v>
      </c>
      <c r="N7" s="22" t="s">
        <v>99</v>
      </c>
      <c r="O7" s="22" t="s">
        <v>181</v>
      </c>
    </row>
    <row r="8" spans="1:17" ht="27.6">
      <c r="L8" s="114" t="s">
        <v>94</v>
      </c>
      <c r="M8" s="22">
        <v>23</v>
      </c>
      <c r="N8" s="22" t="s">
        <v>112</v>
      </c>
      <c r="O8" s="5" t="s">
        <v>179</v>
      </c>
    </row>
    <row r="9" spans="1:17">
      <c r="L9" s="114" t="s">
        <v>104</v>
      </c>
      <c r="M9" s="22">
        <v>19</v>
      </c>
      <c r="N9" s="22" t="s">
        <v>99</v>
      </c>
    </row>
    <row r="10" spans="1:17" ht="14.4" thickBot="1"/>
    <row r="11" spans="1:17" ht="28.2" thickBot="1">
      <c r="A11" s="65" t="s">
        <v>111</v>
      </c>
      <c r="B11" s="66" t="s">
        <v>78</v>
      </c>
      <c r="C11" s="66" t="s">
        <v>110</v>
      </c>
      <c r="D11" s="66" t="s">
        <v>80</v>
      </c>
      <c r="E11" s="67" t="s">
        <v>65</v>
      </c>
      <c r="F11" s="115" t="s">
        <v>81</v>
      </c>
      <c r="G11" s="115" t="s">
        <v>68</v>
      </c>
      <c r="H11" s="115" t="s">
        <v>50</v>
      </c>
      <c r="I11" s="115" t="s">
        <v>51</v>
      </c>
      <c r="J11" s="115" t="s">
        <v>82</v>
      </c>
      <c r="K11" s="115" t="s">
        <v>109</v>
      </c>
      <c r="L11" s="91" t="s">
        <v>86</v>
      </c>
      <c r="M11" s="92" t="s">
        <v>83</v>
      </c>
      <c r="N11" s="93" t="s">
        <v>44</v>
      </c>
      <c r="O11" s="94" t="s">
        <v>84</v>
      </c>
      <c r="P11" s="95" t="s">
        <v>85</v>
      </c>
    </row>
    <row r="12" spans="1:17" s="57" customFormat="1">
      <c r="A12" s="74">
        <v>5</v>
      </c>
      <c r="B12" s="74" t="s">
        <v>20</v>
      </c>
      <c r="C12" s="84" t="s">
        <v>40</v>
      </c>
      <c r="D12" s="88">
        <v>390</v>
      </c>
      <c r="E12" s="75">
        <v>70</v>
      </c>
      <c r="F12" s="75">
        <v>10</v>
      </c>
      <c r="G12" s="75">
        <v>10</v>
      </c>
      <c r="H12" s="75">
        <v>10</v>
      </c>
      <c r="I12" s="75"/>
      <c r="J12" s="75"/>
      <c r="K12" s="75"/>
      <c r="L12" s="75">
        <f>SUM(F12:K12)</f>
        <v>30</v>
      </c>
      <c r="M12" s="75">
        <v>10</v>
      </c>
      <c r="N12" s="75">
        <v>5</v>
      </c>
      <c r="O12" s="75">
        <v>20</v>
      </c>
      <c r="P12" s="77">
        <v>5</v>
      </c>
      <c r="Q12" s="62">
        <f t="shared" ref="Q12:Q35" si="0">SUM(F12:K12,M12:P12)</f>
        <v>70</v>
      </c>
    </row>
    <row r="13" spans="1:17" s="57" customFormat="1">
      <c r="A13" s="58">
        <v>10</v>
      </c>
      <c r="B13" s="63" t="s">
        <v>11</v>
      </c>
      <c r="C13" s="83" t="s">
        <v>30</v>
      </c>
      <c r="D13" s="87">
        <v>10</v>
      </c>
      <c r="E13" s="64">
        <v>10</v>
      </c>
      <c r="F13" s="64"/>
      <c r="G13" s="64"/>
      <c r="H13" s="64">
        <v>10</v>
      </c>
      <c r="I13" s="64"/>
      <c r="J13" s="64"/>
      <c r="K13" s="64"/>
      <c r="L13" s="64">
        <f t="shared" ref="L13:L35" si="1">SUM(F13:K13)</f>
        <v>10</v>
      </c>
      <c r="M13" s="64"/>
      <c r="N13" s="64"/>
      <c r="O13" s="64">
        <v>0</v>
      </c>
      <c r="P13" s="69">
        <v>0</v>
      </c>
      <c r="Q13" s="62">
        <f t="shared" si="0"/>
        <v>10</v>
      </c>
    </row>
    <row r="14" spans="1:17" s="57" customFormat="1">
      <c r="A14" s="74">
        <v>10</v>
      </c>
      <c r="B14" s="74" t="s">
        <v>190</v>
      </c>
      <c r="C14" s="84" t="s">
        <v>31</v>
      </c>
      <c r="D14" s="88">
        <v>1300</v>
      </c>
      <c r="E14" s="75">
        <v>230</v>
      </c>
      <c r="F14" s="75">
        <v>40</v>
      </c>
      <c r="G14" s="75">
        <v>20</v>
      </c>
      <c r="H14" s="75">
        <v>20</v>
      </c>
      <c r="I14" s="75"/>
      <c r="J14" s="75">
        <v>10</v>
      </c>
      <c r="K14" s="75"/>
      <c r="L14" s="75">
        <f t="shared" si="1"/>
        <v>90</v>
      </c>
      <c r="M14" s="75">
        <v>30</v>
      </c>
      <c r="N14" s="75">
        <v>20</v>
      </c>
      <c r="O14" s="75">
        <v>70</v>
      </c>
      <c r="P14" s="77">
        <v>20</v>
      </c>
      <c r="Q14" s="62">
        <f t="shared" si="0"/>
        <v>230</v>
      </c>
    </row>
    <row r="15" spans="1:17" s="57" customFormat="1">
      <c r="A15" s="58">
        <v>10</v>
      </c>
      <c r="B15" s="63" t="s">
        <v>13</v>
      </c>
      <c r="C15" s="83" t="s">
        <v>32</v>
      </c>
      <c r="D15" s="87">
        <v>1720</v>
      </c>
      <c r="E15" s="64">
        <v>305</v>
      </c>
      <c r="F15" s="64">
        <v>50</v>
      </c>
      <c r="G15" s="64">
        <v>35</v>
      </c>
      <c r="H15" s="64">
        <v>30</v>
      </c>
      <c r="I15" s="64"/>
      <c r="J15" s="64">
        <v>20</v>
      </c>
      <c r="K15" s="64"/>
      <c r="L15" s="64">
        <f t="shared" si="1"/>
        <v>135</v>
      </c>
      <c r="M15" s="64">
        <v>30</v>
      </c>
      <c r="N15" s="64">
        <v>30</v>
      </c>
      <c r="O15" s="64">
        <v>90</v>
      </c>
      <c r="P15" s="69">
        <v>20</v>
      </c>
      <c r="Q15" s="62">
        <f t="shared" si="0"/>
        <v>305</v>
      </c>
    </row>
    <row r="16" spans="1:17" s="57" customFormat="1">
      <c r="A16" s="74">
        <v>10</v>
      </c>
      <c r="B16" s="74" t="s">
        <v>164</v>
      </c>
      <c r="C16" s="84" t="s">
        <v>73</v>
      </c>
      <c r="D16" s="88">
        <v>950</v>
      </c>
      <c r="E16" s="75">
        <v>170</v>
      </c>
      <c r="F16" s="75">
        <v>30</v>
      </c>
      <c r="G16" s="75">
        <v>20</v>
      </c>
      <c r="H16" s="75">
        <v>20</v>
      </c>
      <c r="I16" s="75"/>
      <c r="J16" s="75"/>
      <c r="K16" s="75"/>
      <c r="L16" s="75">
        <f t="shared" si="1"/>
        <v>70</v>
      </c>
      <c r="M16" s="75">
        <v>20</v>
      </c>
      <c r="N16" s="75">
        <v>20</v>
      </c>
      <c r="O16" s="75">
        <v>50</v>
      </c>
      <c r="P16" s="77">
        <v>10</v>
      </c>
      <c r="Q16" s="62">
        <f t="shared" si="0"/>
        <v>170</v>
      </c>
    </row>
    <row r="17" spans="1:17" s="57" customFormat="1">
      <c r="A17" s="58">
        <v>5</v>
      </c>
      <c r="B17" s="63" t="s">
        <v>17</v>
      </c>
      <c r="C17" s="83" t="s">
        <v>37</v>
      </c>
      <c r="D17" s="87">
        <v>1160</v>
      </c>
      <c r="E17" s="64">
        <v>135</v>
      </c>
      <c r="F17" s="64">
        <v>20</v>
      </c>
      <c r="G17" s="64">
        <v>20</v>
      </c>
      <c r="H17" s="64">
        <v>20</v>
      </c>
      <c r="I17" s="64"/>
      <c r="J17" s="64"/>
      <c r="K17" s="64"/>
      <c r="L17" s="64">
        <f t="shared" si="1"/>
        <v>60</v>
      </c>
      <c r="M17" s="64">
        <v>15</v>
      </c>
      <c r="N17" s="64">
        <v>20</v>
      </c>
      <c r="O17" s="64">
        <v>30</v>
      </c>
      <c r="P17" s="69">
        <v>10</v>
      </c>
      <c r="Q17" s="62">
        <f t="shared" si="0"/>
        <v>135</v>
      </c>
    </row>
    <row r="18" spans="1:17" s="57" customFormat="1">
      <c r="A18" s="74">
        <v>10</v>
      </c>
      <c r="B18" s="74" t="s">
        <v>191</v>
      </c>
      <c r="C18" s="84" t="s">
        <v>25</v>
      </c>
      <c r="D18" s="88">
        <v>2480</v>
      </c>
      <c r="E18" s="75">
        <v>290</v>
      </c>
      <c r="F18" s="75">
        <v>40</v>
      </c>
      <c r="G18" s="75">
        <v>30</v>
      </c>
      <c r="H18" s="75">
        <v>40</v>
      </c>
      <c r="I18" s="75"/>
      <c r="J18" s="75">
        <v>20</v>
      </c>
      <c r="K18" s="75"/>
      <c r="L18" s="75">
        <f t="shared" si="1"/>
        <v>130</v>
      </c>
      <c r="M18" s="75">
        <v>40</v>
      </c>
      <c r="N18" s="75">
        <v>40</v>
      </c>
      <c r="O18" s="75">
        <v>60</v>
      </c>
      <c r="P18" s="77">
        <v>20</v>
      </c>
      <c r="Q18" s="62">
        <f t="shared" si="0"/>
        <v>290</v>
      </c>
    </row>
    <row r="19" spans="1:17" s="57" customFormat="1">
      <c r="A19" s="58">
        <v>10</v>
      </c>
      <c r="B19" s="63" t="s">
        <v>176</v>
      </c>
      <c r="C19" s="83" t="s">
        <v>26</v>
      </c>
      <c r="D19" s="87">
        <v>5000</v>
      </c>
      <c r="E19" s="64">
        <v>595</v>
      </c>
      <c r="F19" s="64">
        <v>110</v>
      </c>
      <c r="G19" s="64">
        <v>85</v>
      </c>
      <c r="H19" s="64">
        <v>80</v>
      </c>
      <c r="I19" s="64"/>
      <c r="J19" s="64">
        <v>40</v>
      </c>
      <c r="K19" s="64"/>
      <c r="L19" s="64">
        <f t="shared" si="1"/>
        <v>315</v>
      </c>
      <c r="M19" s="64">
        <v>70</v>
      </c>
      <c r="N19" s="64">
        <v>80</v>
      </c>
      <c r="O19" s="64">
        <v>100</v>
      </c>
      <c r="P19" s="69">
        <v>30</v>
      </c>
      <c r="Q19" s="62">
        <f t="shared" si="0"/>
        <v>595</v>
      </c>
    </row>
    <row r="20" spans="1:17" s="57" customFormat="1">
      <c r="A20" s="74">
        <v>10</v>
      </c>
      <c r="B20" s="74" t="s">
        <v>196</v>
      </c>
      <c r="C20" s="84" t="s">
        <v>38</v>
      </c>
      <c r="D20" s="88">
        <v>1220</v>
      </c>
      <c r="E20" s="75">
        <v>140</v>
      </c>
      <c r="F20" s="75">
        <v>20</v>
      </c>
      <c r="G20" s="75">
        <v>20</v>
      </c>
      <c r="H20" s="75">
        <v>20</v>
      </c>
      <c r="I20" s="75"/>
      <c r="J20" s="75"/>
      <c r="K20" s="75"/>
      <c r="L20" s="75">
        <f t="shared" si="1"/>
        <v>60</v>
      </c>
      <c r="M20" s="75">
        <v>20</v>
      </c>
      <c r="N20" s="75">
        <v>20</v>
      </c>
      <c r="O20" s="75">
        <v>30</v>
      </c>
      <c r="P20" s="77">
        <v>10</v>
      </c>
      <c r="Q20" s="62">
        <f t="shared" si="0"/>
        <v>140</v>
      </c>
    </row>
    <row r="21" spans="1:17" s="57" customFormat="1">
      <c r="A21" s="58">
        <v>4</v>
      </c>
      <c r="B21" s="63" t="s">
        <v>87</v>
      </c>
      <c r="C21" s="83" t="s">
        <v>88</v>
      </c>
      <c r="D21" s="87">
        <v>200</v>
      </c>
      <c r="E21" s="64">
        <v>24</v>
      </c>
      <c r="F21" s="64">
        <v>8</v>
      </c>
      <c r="G21" s="64">
        <v>8</v>
      </c>
      <c r="H21" s="64">
        <v>8</v>
      </c>
      <c r="I21" s="64"/>
      <c r="J21" s="64"/>
      <c r="K21" s="64"/>
      <c r="L21" s="64">
        <f t="shared" si="1"/>
        <v>24</v>
      </c>
      <c r="M21" s="64">
        <v>0</v>
      </c>
      <c r="N21" s="64">
        <v>0</v>
      </c>
      <c r="O21" s="64">
        <v>0</v>
      </c>
      <c r="P21" s="69">
        <v>0</v>
      </c>
      <c r="Q21" s="62">
        <f t="shared" si="0"/>
        <v>24</v>
      </c>
    </row>
    <row r="22" spans="1:17" s="57" customFormat="1">
      <c r="A22" s="74">
        <v>5</v>
      </c>
      <c r="B22" s="74" t="s">
        <v>178</v>
      </c>
      <c r="C22" s="84" t="s">
        <v>74</v>
      </c>
      <c r="D22" s="88">
        <v>35</v>
      </c>
      <c r="E22" s="75">
        <v>5</v>
      </c>
      <c r="F22" s="75"/>
      <c r="G22" s="75">
        <v>5</v>
      </c>
      <c r="H22" s="75"/>
      <c r="I22" s="75"/>
      <c r="J22" s="75"/>
      <c r="K22" s="75"/>
      <c r="L22" s="75">
        <f t="shared" si="1"/>
        <v>5</v>
      </c>
      <c r="M22" s="75">
        <v>0</v>
      </c>
      <c r="N22" s="75">
        <v>0</v>
      </c>
      <c r="O22" s="75">
        <v>0</v>
      </c>
      <c r="P22" s="77">
        <v>0</v>
      </c>
      <c r="Q22" s="62">
        <f t="shared" si="0"/>
        <v>5</v>
      </c>
    </row>
    <row r="23" spans="1:17" s="57" customFormat="1">
      <c r="A23" s="58">
        <v>5</v>
      </c>
      <c r="B23" s="63" t="s">
        <v>16</v>
      </c>
      <c r="C23" s="83" t="s">
        <v>35</v>
      </c>
      <c r="D23" s="87">
        <v>140</v>
      </c>
      <c r="E23" s="64">
        <v>15</v>
      </c>
      <c r="F23" s="64"/>
      <c r="G23" s="64"/>
      <c r="H23" s="64">
        <v>5</v>
      </c>
      <c r="I23" s="64"/>
      <c r="J23" s="64"/>
      <c r="K23" s="64"/>
      <c r="L23" s="64">
        <f t="shared" si="1"/>
        <v>5</v>
      </c>
      <c r="M23" s="64">
        <v>0</v>
      </c>
      <c r="N23" s="64">
        <v>5</v>
      </c>
      <c r="O23" s="64">
        <v>5</v>
      </c>
      <c r="P23" s="69">
        <v>0</v>
      </c>
      <c r="Q23" s="62">
        <f t="shared" si="0"/>
        <v>15</v>
      </c>
    </row>
    <row r="24" spans="1:17" s="57" customFormat="1">
      <c r="A24" s="74">
        <v>10</v>
      </c>
      <c r="B24" s="74" t="s">
        <v>94</v>
      </c>
      <c r="C24" s="84" t="s">
        <v>22</v>
      </c>
      <c r="D24" s="88">
        <v>740</v>
      </c>
      <c r="E24" s="75">
        <v>85</v>
      </c>
      <c r="F24" s="75">
        <v>10</v>
      </c>
      <c r="G24" s="75">
        <v>10</v>
      </c>
      <c r="H24" s="75">
        <v>10</v>
      </c>
      <c r="I24" s="75"/>
      <c r="J24" s="75">
        <v>5</v>
      </c>
      <c r="K24" s="75"/>
      <c r="L24" s="75">
        <f t="shared" si="1"/>
        <v>35</v>
      </c>
      <c r="M24" s="75">
        <v>10</v>
      </c>
      <c r="N24" s="75">
        <v>10</v>
      </c>
      <c r="O24" s="75">
        <v>20</v>
      </c>
      <c r="P24" s="77">
        <v>10</v>
      </c>
      <c r="Q24" s="62">
        <f t="shared" si="0"/>
        <v>85</v>
      </c>
    </row>
    <row r="25" spans="1:17" s="57" customFormat="1">
      <c r="A25" s="58">
        <v>1</v>
      </c>
      <c r="B25" s="63" t="s">
        <v>115</v>
      </c>
      <c r="C25" s="83" t="s">
        <v>188</v>
      </c>
      <c r="D25" s="87">
        <v>50</v>
      </c>
      <c r="E25" s="64">
        <v>5</v>
      </c>
      <c r="F25" s="64">
        <v>1</v>
      </c>
      <c r="G25" s="64">
        <v>1</v>
      </c>
      <c r="H25" s="64">
        <v>3</v>
      </c>
      <c r="I25" s="64"/>
      <c r="J25" s="64"/>
      <c r="K25" s="64"/>
      <c r="L25" s="64">
        <f t="shared" si="1"/>
        <v>5</v>
      </c>
      <c r="M25" s="64">
        <v>0</v>
      </c>
      <c r="N25" s="64">
        <v>0</v>
      </c>
      <c r="O25" s="64">
        <v>0</v>
      </c>
      <c r="P25" s="69">
        <v>0</v>
      </c>
      <c r="Q25" s="62">
        <f t="shared" si="0"/>
        <v>5</v>
      </c>
    </row>
    <row r="26" spans="1:17" s="57" customFormat="1">
      <c r="A26" s="74">
        <v>5</v>
      </c>
      <c r="B26" s="74" t="s">
        <v>192</v>
      </c>
      <c r="C26" s="84" t="s">
        <v>34</v>
      </c>
      <c r="D26" s="88">
        <v>310</v>
      </c>
      <c r="E26" s="75">
        <v>45</v>
      </c>
      <c r="F26" s="75">
        <v>10</v>
      </c>
      <c r="G26" s="75">
        <v>5</v>
      </c>
      <c r="H26" s="75">
        <v>10</v>
      </c>
      <c r="I26" s="75"/>
      <c r="J26" s="75"/>
      <c r="K26" s="75"/>
      <c r="L26" s="75">
        <f t="shared" si="1"/>
        <v>25</v>
      </c>
      <c r="M26" s="75">
        <v>5</v>
      </c>
      <c r="N26" s="75">
        <v>5</v>
      </c>
      <c r="O26" s="75">
        <v>5</v>
      </c>
      <c r="P26" s="77">
        <v>5</v>
      </c>
      <c r="Q26" s="62">
        <f t="shared" si="0"/>
        <v>45</v>
      </c>
    </row>
    <row r="27" spans="1:17" s="57" customFormat="1">
      <c r="A27" s="58">
        <v>4</v>
      </c>
      <c r="B27" s="63" t="s">
        <v>167</v>
      </c>
      <c r="C27" s="83" t="s">
        <v>168</v>
      </c>
      <c r="D27" s="87">
        <v>50</v>
      </c>
      <c r="E27" s="64">
        <v>8</v>
      </c>
      <c r="F27" s="64"/>
      <c r="G27" s="64">
        <v>4</v>
      </c>
      <c r="H27" s="64">
        <v>4</v>
      </c>
      <c r="I27" s="64"/>
      <c r="J27" s="64"/>
      <c r="K27" s="64"/>
      <c r="L27" s="64">
        <f t="shared" si="1"/>
        <v>8</v>
      </c>
      <c r="M27" s="64">
        <v>0</v>
      </c>
      <c r="N27" s="64">
        <v>0</v>
      </c>
      <c r="O27" s="64">
        <v>0</v>
      </c>
      <c r="P27" s="69">
        <v>0</v>
      </c>
      <c r="Q27" s="62">
        <f t="shared" si="0"/>
        <v>8</v>
      </c>
    </row>
    <row r="28" spans="1:17" s="57" customFormat="1">
      <c r="A28" s="74">
        <v>5</v>
      </c>
      <c r="B28" s="74" t="s">
        <v>173</v>
      </c>
      <c r="C28" s="84" t="s">
        <v>169</v>
      </c>
      <c r="D28" s="88">
        <v>50</v>
      </c>
      <c r="E28" s="75">
        <v>5</v>
      </c>
      <c r="F28" s="75"/>
      <c r="G28" s="75">
        <v>5</v>
      </c>
      <c r="H28" s="75"/>
      <c r="I28" s="75"/>
      <c r="J28" s="75"/>
      <c r="K28" s="75"/>
      <c r="L28" s="75">
        <f t="shared" si="1"/>
        <v>5</v>
      </c>
      <c r="M28" s="75">
        <v>0</v>
      </c>
      <c r="N28" s="75">
        <v>0</v>
      </c>
      <c r="O28" s="75">
        <v>0</v>
      </c>
      <c r="P28" s="77">
        <v>0</v>
      </c>
      <c r="Q28" s="62">
        <f t="shared" si="0"/>
        <v>5</v>
      </c>
    </row>
    <row r="29" spans="1:17" s="57" customFormat="1">
      <c r="A29" s="58">
        <v>5</v>
      </c>
      <c r="B29" s="63" t="s">
        <v>195</v>
      </c>
      <c r="C29" s="83" t="s">
        <v>102</v>
      </c>
      <c r="D29" s="87">
        <v>305</v>
      </c>
      <c r="E29" s="64">
        <v>45</v>
      </c>
      <c r="F29" s="64">
        <v>10</v>
      </c>
      <c r="G29" s="64">
        <v>5</v>
      </c>
      <c r="H29" s="64">
        <v>10</v>
      </c>
      <c r="I29" s="64"/>
      <c r="J29" s="64"/>
      <c r="K29" s="64"/>
      <c r="L29" s="64">
        <f t="shared" si="1"/>
        <v>25</v>
      </c>
      <c r="M29" s="64">
        <v>5</v>
      </c>
      <c r="N29" s="64">
        <v>5</v>
      </c>
      <c r="O29" s="64">
        <v>5</v>
      </c>
      <c r="P29" s="69">
        <v>5</v>
      </c>
      <c r="Q29" s="62">
        <f t="shared" si="0"/>
        <v>45</v>
      </c>
    </row>
    <row r="30" spans="1:17" s="57" customFormat="1">
      <c r="A30" s="74">
        <v>10</v>
      </c>
      <c r="B30" s="74" t="s">
        <v>90</v>
      </c>
      <c r="C30" s="84" t="s">
        <v>189</v>
      </c>
      <c r="D30" s="88">
        <v>15</v>
      </c>
      <c r="E30" s="75">
        <v>10</v>
      </c>
      <c r="F30" s="75">
        <v>5</v>
      </c>
      <c r="G30" s="75"/>
      <c r="H30" s="75">
        <v>5</v>
      </c>
      <c r="I30" s="75"/>
      <c r="J30" s="75"/>
      <c r="K30" s="75"/>
      <c r="L30" s="75">
        <f t="shared" si="1"/>
        <v>10</v>
      </c>
      <c r="M30" s="75">
        <v>0</v>
      </c>
      <c r="N30" s="75">
        <v>0</v>
      </c>
      <c r="O30" s="75">
        <v>0</v>
      </c>
      <c r="P30" s="77">
        <v>0</v>
      </c>
      <c r="Q30" s="62">
        <f t="shared" si="0"/>
        <v>10</v>
      </c>
    </row>
    <row r="31" spans="1:17" s="57" customFormat="1">
      <c r="A31" s="58">
        <v>10</v>
      </c>
      <c r="B31" s="63" t="s">
        <v>100</v>
      </c>
      <c r="C31" s="83" t="s">
        <v>24</v>
      </c>
      <c r="D31" s="87">
        <v>680</v>
      </c>
      <c r="E31" s="64">
        <v>100</v>
      </c>
      <c r="F31" s="64">
        <v>20</v>
      </c>
      <c r="G31" s="64">
        <v>20</v>
      </c>
      <c r="H31" s="64">
        <v>10</v>
      </c>
      <c r="I31" s="64"/>
      <c r="J31" s="64">
        <v>10</v>
      </c>
      <c r="K31" s="64"/>
      <c r="L31" s="64">
        <f t="shared" si="1"/>
        <v>60</v>
      </c>
      <c r="M31" s="64">
        <v>10</v>
      </c>
      <c r="N31" s="64">
        <v>10</v>
      </c>
      <c r="O31" s="64">
        <v>10</v>
      </c>
      <c r="P31" s="69">
        <v>10</v>
      </c>
      <c r="Q31" s="62">
        <f t="shared" si="0"/>
        <v>100</v>
      </c>
    </row>
    <row r="32" spans="1:17" s="57" customFormat="1">
      <c r="A32" s="74">
        <v>10</v>
      </c>
      <c r="B32" s="74" t="s">
        <v>193</v>
      </c>
      <c r="C32" s="84" t="s">
        <v>194</v>
      </c>
      <c r="D32" s="88">
        <v>1120</v>
      </c>
      <c r="E32" s="75">
        <v>160</v>
      </c>
      <c r="F32" s="75">
        <v>40</v>
      </c>
      <c r="G32" s="75">
        <v>30</v>
      </c>
      <c r="H32" s="75">
        <v>20</v>
      </c>
      <c r="I32" s="75"/>
      <c r="J32" s="75"/>
      <c r="K32" s="75"/>
      <c r="L32" s="75">
        <f t="shared" si="1"/>
        <v>90</v>
      </c>
      <c r="M32" s="75">
        <v>30</v>
      </c>
      <c r="N32" s="75">
        <v>10</v>
      </c>
      <c r="O32" s="75">
        <v>20</v>
      </c>
      <c r="P32" s="77">
        <v>10</v>
      </c>
      <c r="Q32" s="62">
        <f t="shared" si="0"/>
        <v>160</v>
      </c>
    </row>
    <row r="33" spans="1:17" s="57" customFormat="1">
      <c r="A33" s="58">
        <v>10</v>
      </c>
      <c r="B33" s="63" t="s">
        <v>199</v>
      </c>
      <c r="C33" s="83" t="s">
        <v>197</v>
      </c>
      <c r="D33" s="87">
        <v>270</v>
      </c>
      <c r="E33" s="64">
        <v>29</v>
      </c>
      <c r="F33" s="64">
        <v>5</v>
      </c>
      <c r="G33" s="64">
        <v>4</v>
      </c>
      <c r="H33" s="64">
        <v>5</v>
      </c>
      <c r="I33" s="64"/>
      <c r="J33" s="64"/>
      <c r="K33" s="64"/>
      <c r="L33" s="64">
        <f t="shared" si="1"/>
        <v>14</v>
      </c>
      <c r="M33" s="64">
        <v>5</v>
      </c>
      <c r="N33" s="64">
        <v>5</v>
      </c>
      <c r="O33" s="64">
        <v>5</v>
      </c>
      <c r="P33" s="69"/>
      <c r="Q33" s="62">
        <f t="shared" si="0"/>
        <v>29</v>
      </c>
    </row>
    <row r="34" spans="1:17" s="57" customFormat="1">
      <c r="A34" s="74">
        <v>10</v>
      </c>
      <c r="B34" s="74" t="s">
        <v>200</v>
      </c>
      <c r="C34" s="84" t="s">
        <v>201</v>
      </c>
      <c r="D34" s="88">
        <v>160</v>
      </c>
      <c r="E34" s="75">
        <v>18</v>
      </c>
      <c r="F34" s="75"/>
      <c r="G34" s="75"/>
      <c r="H34" s="75">
        <v>3</v>
      </c>
      <c r="I34" s="75"/>
      <c r="J34" s="75"/>
      <c r="K34" s="75"/>
      <c r="L34" s="75">
        <f t="shared" si="1"/>
        <v>3</v>
      </c>
      <c r="M34" s="75">
        <v>5</v>
      </c>
      <c r="N34" s="75">
        <v>5</v>
      </c>
      <c r="O34" s="75">
        <v>5</v>
      </c>
      <c r="P34" s="77"/>
      <c r="Q34" s="62">
        <f t="shared" si="0"/>
        <v>18</v>
      </c>
    </row>
    <row r="35" spans="1:17" s="57" customFormat="1">
      <c r="A35" s="58">
        <v>10</v>
      </c>
      <c r="B35" s="63" t="s">
        <v>202</v>
      </c>
      <c r="C35" s="83" t="s">
        <v>198</v>
      </c>
      <c r="D35" s="87">
        <v>149</v>
      </c>
      <c r="E35" s="64">
        <v>16</v>
      </c>
      <c r="F35" s="64"/>
      <c r="G35" s="64"/>
      <c r="H35" s="64"/>
      <c r="I35" s="64"/>
      <c r="J35" s="64"/>
      <c r="K35" s="64">
        <v>6</v>
      </c>
      <c r="L35" s="64">
        <f t="shared" si="1"/>
        <v>6</v>
      </c>
      <c r="M35" s="64">
        <v>10</v>
      </c>
      <c r="N35" s="64"/>
      <c r="O35" s="64"/>
      <c r="P35" s="69"/>
      <c r="Q35" s="62">
        <f t="shared" si="0"/>
        <v>16</v>
      </c>
    </row>
    <row r="36" spans="1:17" s="57" customFormat="1" ht="14.4" thickBot="1">
      <c r="A36" s="74"/>
      <c r="B36" s="74"/>
      <c r="C36" s="84"/>
      <c r="D36" s="88"/>
      <c r="E36" s="75"/>
      <c r="F36" s="75"/>
      <c r="G36" s="75"/>
      <c r="H36" s="75"/>
      <c r="I36" s="75"/>
      <c r="J36" s="75"/>
      <c r="K36" s="75"/>
      <c r="L36" s="75"/>
      <c r="M36" s="75"/>
      <c r="N36" s="75"/>
      <c r="O36" s="75"/>
      <c r="P36" s="77"/>
      <c r="Q36" s="62"/>
    </row>
    <row r="37" spans="1:17" s="57" customFormat="1" ht="14.4" thickBot="1">
      <c r="A37" s="66"/>
      <c r="B37" s="66"/>
      <c r="C37" s="104"/>
      <c r="D37" s="104">
        <f>SUM(D12:D32)</f>
        <v>17925</v>
      </c>
      <c r="E37" s="104">
        <f>SUM(E12:E35)</f>
        <v>2515</v>
      </c>
      <c r="F37" s="104">
        <f>SUM(F12:F33)</f>
        <v>429</v>
      </c>
      <c r="G37" s="104">
        <f>SUM(G12:G33)</f>
        <v>337</v>
      </c>
      <c r="H37" s="104">
        <f>SUM(H12:H34)</f>
        <v>343</v>
      </c>
      <c r="I37" s="104">
        <f t="shared" ref="I37:P37" si="2">SUM(I12:I32)</f>
        <v>0</v>
      </c>
      <c r="J37" s="104">
        <f t="shared" si="2"/>
        <v>105</v>
      </c>
      <c r="K37" s="104">
        <f t="shared" si="2"/>
        <v>0</v>
      </c>
      <c r="L37" s="104">
        <f t="shared" si="2"/>
        <v>1197</v>
      </c>
      <c r="M37" s="104">
        <f>SUM(M12:M35)</f>
        <v>315</v>
      </c>
      <c r="N37" s="104">
        <f>SUM(N12:N34)</f>
        <v>290</v>
      </c>
      <c r="O37" s="104">
        <f>SUM(O12:O34)</f>
        <v>525</v>
      </c>
      <c r="P37" s="104">
        <f t="shared" si="2"/>
        <v>165</v>
      </c>
      <c r="Q37" s="104">
        <f>SUM(Q12:Q35)</f>
        <v>2515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31</vt:i4>
      </vt:variant>
    </vt:vector>
  </HeadingPairs>
  <TitlesOfParts>
    <vt:vector size="31" baseType="lpstr">
      <vt:lpstr>工作表1</vt:lpstr>
      <vt:lpstr>WK43</vt:lpstr>
      <vt:lpstr>WK44</vt:lpstr>
      <vt:lpstr>WK45</vt:lpstr>
      <vt:lpstr>WK46</vt:lpstr>
      <vt:lpstr>WK47</vt:lpstr>
      <vt:lpstr>WK47加單</vt:lpstr>
      <vt:lpstr>WK48</vt:lpstr>
      <vt:lpstr>WK49</vt:lpstr>
      <vt:lpstr>工作表3</vt:lpstr>
      <vt:lpstr>WK50</vt:lpstr>
      <vt:lpstr>WK51</vt:lpstr>
      <vt:lpstr>WK52</vt:lpstr>
      <vt:lpstr>WK01</vt:lpstr>
      <vt:lpstr>WK02</vt:lpstr>
      <vt:lpstr>WK03</vt:lpstr>
      <vt:lpstr>WK04</vt:lpstr>
      <vt:lpstr>WK05</vt:lpstr>
      <vt:lpstr>WK06</vt:lpstr>
      <vt:lpstr>WK07</vt:lpstr>
      <vt:lpstr>WK09</vt:lpstr>
      <vt:lpstr>WK10</vt:lpstr>
      <vt:lpstr>WK11</vt:lpstr>
      <vt:lpstr>WK12</vt:lpstr>
      <vt:lpstr>WK13</vt:lpstr>
      <vt:lpstr>WK14</vt:lpstr>
      <vt:lpstr>WK15</vt:lpstr>
      <vt:lpstr>WK16</vt:lpstr>
      <vt:lpstr>WK17</vt:lpstr>
      <vt:lpstr>Channel</vt:lpstr>
      <vt:lpstr>MSRP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peiying.huang (黃焙瑩)</dc:creator>
  <cp:lastModifiedBy>oksana.fan (樊宇珊)</cp:lastModifiedBy>
  <dcterms:created xsi:type="dcterms:W3CDTF">2020-10-15T03:12:24Z</dcterms:created>
  <dcterms:modified xsi:type="dcterms:W3CDTF">2021-04-14T10:55:47Z</dcterms:modified>
</cp:coreProperties>
</file>